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360" yWindow="1530" windowWidth="15480" windowHeight="6750" tabRatio="862" firstSheet="57" activeTab="62"/>
  </bookViews>
  <sheets>
    <sheet name="Grand summary" sheetId="47" r:id="rId1"/>
    <sheet name="IPD Sum" sheetId="48" r:id="rId2"/>
    <sheet name="IPD Meas." sheetId="49" r:id="rId3"/>
    <sheet name="IPD Sub TOS" sheetId="112" r:id="rId4"/>
    <sheet name="IPD Super TOS" sheetId="78" r:id="rId5"/>
    <sheet name="IPD Bar" sheetId="105" r:id="rId6"/>
    <sheet name="OPD Sum" sheetId="50" r:id="rId7"/>
    <sheet name="OPD Meas." sheetId="51" r:id="rId8"/>
    <sheet name="OPD TOS" sheetId="79" r:id="rId9"/>
    <sheet name="OPD Bar" sheetId="20" r:id="rId10"/>
    <sheet name="Staff + SQ  Sum" sheetId="52" r:id="rId11"/>
    <sheet name="Staff + SQ Measu." sheetId="119" r:id="rId12"/>
    <sheet name="Staff TOS" sheetId="99" r:id="rId13"/>
    <sheet name="SQ TOS " sheetId="100" r:id="rId14"/>
    <sheet name="Staff &amp; SQ Reinf" sheetId="24" r:id="rId15"/>
    <sheet name="OR &amp; Delivery Sum" sheetId="55" r:id="rId16"/>
    <sheet name="OR and Delivery" sheetId="54" r:id="rId17"/>
    <sheet name="OR Sub TOS" sheetId="113" r:id="rId18"/>
    <sheet name="OR Super TOS " sheetId="83" r:id="rId19"/>
    <sheet name="OR-Reinf" sheetId="26" r:id="rId20"/>
    <sheet name="Emer. Sum" sheetId="68" r:id="rId21"/>
    <sheet name="Emer. &amp; Wait. Meas." sheetId="69" r:id="rId22"/>
    <sheet name="Emer. Sub TOS" sheetId="114" r:id="rId23"/>
    <sheet name="Wait. Sub TOS" sheetId="115" r:id="rId24"/>
    <sheet name="Emer. Super TOS" sheetId="102" r:id="rId25"/>
    <sheet name="Wait Super TOS" sheetId="104" r:id="rId26"/>
    <sheet name="EMG &amp;Waitng Reinf" sheetId="28" r:id="rId27"/>
    <sheet name="Admin. Sum" sheetId="56" r:id="rId28"/>
    <sheet name="Admin. Meas." sheetId="57" r:id="rId29"/>
    <sheet name="Admin. Sub TOS" sheetId="116" r:id="rId30"/>
    <sheet name="Admin Super TOS " sheetId="84" r:id="rId31"/>
    <sheet name="Admin. Reinf" sheetId="31" r:id="rId32"/>
    <sheet name="Diagno. Sum" sheetId="58" r:id="rId33"/>
    <sheet name="Diagno. Meas" sheetId="59" r:id="rId34"/>
    <sheet name="Diagno. Sub TOS" sheetId="117" r:id="rId35"/>
    <sheet name="Diagno Super TOS" sheetId="85" r:id="rId36"/>
    <sheet name="Daigon Reinf" sheetId="33" r:id="rId37"/>
    <sheet name="Gen + Pump Summary" sheetId="60" r:id="rId38"/>
    <sheet name="Generator+Pump house" sheetId="61" r:id="rId39"/>
    <sheet name="Gen. Sub TOS" sheetId="122" r:id="rId40"/>
    <sheet name="Genera Super TOS" sheetId="86" r:id="rId41"/>
    <sheet name="Tran. Sub TOS" sheetId="123" r:id="rId42"/>
    <sheet name="Trans Super TOS" sheetId="87" r:id="rId43"/>
    <sheet name="Gen Reinf" sheetId="35" r:id="rId44"/>
    <sheet name="Re-bar pump house" sheetId="9" r:id="rId45"/>
    <sheet name="Kitchen Summary  " sheetId="63" r:id="rId46"/>
    <sheet name="Kit. Meas" sheetId="62" r:id="rId47"/>
    <sheet name="Kit. Sub TOS" sheetId="120" r:id="rId48"/>
    <sheet name="Kit Super TOS" sheetId="88" r:id="rId49"/>
    <sheet name="Kit. Rein." sheetId="37" r:id="rId50"/>
    <sheet name="Gua. Sum." sheetId="64" r:id="rId51"/>
    <sheet name="Gua. Meas." sheetId="65" r:id="rId52"/>
    <sheet name="Meas Guard edted " sheetId="111" state="hidden" r:id="rId53"/>
    <sheet name="Gua. Sub TOS" sheetId="121" r:id="rId54"/>
    <sheet name="Gua. Super TOS" sheetId="89" r:id="rId55"/>
    <sheet name="Gua. Reinf" sheetId="39" r:id="rId56"/>
    <sheet name="Mor. Sum." sheetId="66" r:id="rId57"/>
    <sheet name="mor. Mea." sheetId="67" r:id="rId58"/>
    <sheet name="Mor. Sub TOS" sheetId="124" r:id="rId59"/>
    <sheet name="Mor. Super TOS" sheetId="90" r:id="rId60"/>
    <sheet name="Mor. Reinf" sheetId="40" r:id="rId61"/>
    <sheet name="G Su Site" sheetId="95" r:id="rId62"/>
    <sheet name="Site Meas " sheetId="96" r:id="rId63"/>
    <sheet name="Site TOS" sheetId="125" r:id="rId64"/>
    <sheet name="Ramp &amp; Covered Way Rein." sheetId="98" r:id="rId65"/>
    <sheet name="Variation" sheetId="126" r:id="rId66"/>
    <sheet name="Elev. Water Tank Rein." sheetId="127" r:id="rId67"/>
  </sheets>
  <externalReferences>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s>
  <definedNames>
    <definedName name="_____________con25" localSheetId="30">#REF!</definedName>
    <definedName name="_____________con25" localSheetId="29">#REF!</definedName>
    <definedName name="_____________con25" localSheetId="35">#REF!</definedName>
    <definedName name="_____________con25" localSheetId="34">#REF!</definedName>
    <definedName name="_____________con25" localSheetId="66">#REF!</definedName>
    <definedName name="_____________con25" localSheetId="22">#REF!</definedName>
    <definedName name="_____________con25" localSheetId="24">#REF!</definedName>
    <definedName name="_____________con25" localSheetId="39">#REF!</definedName>
    <definedName name="_____________con25" localSheetId="40">#REF!</definedName>
    <definedName name="_____________con25" localSheetId="53">#REF!</definedName>
    <definedName name="_____________con25" localSheetId="54">#REF!</definedName>
    <definedName name="_____________con25" localSheetId="5">#REF!</definedName>
    <definedName name="_____________con25" localSheetId="3">#REF!</definedName>
    <definedName name="_____________con25" localSheetId="48">#REF!</definedName>
    <definedName name="_____________con25" localSheetId="47">#REF!</definedName>
    <definedName name="_____________con25" localSheetId="52">#REF!</definedName>
    <definedName name="_____________con25" localSheetId="58">#REF!</definedName>
    <definedName name="_____________con25" localSheetId="59">#REF!</definedName>
    <definedName name="_____________con25" localSheetId="8">#REF!</definedName>
    <definedName name="_____________con25" localSheetId="17">#REF!</definedName>
    <definedName name="_____________con25" localSheetId="18">#REF!</definedName>
    <definedName name="_____________con25" localSheetId="63">#REF!</definedName>
    <definedName name="_____________con25" localSheetId="13">#REF!</definedName>
    <definedName name="_____________con25" localSheetId="12">#REF!</definedName>
    <definedName name="_____________con25" localSheetId="41">#REF!</definedName>
    <definedName name="_____________con25" localSheetId="42">#REF!</definedName>
    <definedName name="_____________con25" localSheetId="65">#REF!</definedName>
    <definedName name="_____________con25" localSheetId="25">#REF!</definedName>
    <definedName name="_____________con25" localSheetId="23">#REF!</definedName>
    <definedName name="_____________con25">#REF!</definedName>
    <definedName name="_________hcb20" localSheetId="30">#REF!</definedName>
    <definedName name="_________hcb20" localSheetId="29">#REF!</definedName>
    <definedName name="_________hcb20" localSheetId="35">#REF!</definedName>
    <definedName name="_________hcb20" localSheetId="34">#REF!</definedName>
    <definedName name="_________hcb20" localSheetId="66">#REF!</definedName>
    <definedName name="_________hcb20" localSheetId="22">#REF!</definedName>
    <definedName name="_________hcb20" localSheetId="24">#REF!</definedName>
    <definedName name="_________hcb20" localSheetId="39">#REF!</definedName>
    <definedName name="_________hcb20" localSheetId="40">#REF!</definedName>
    <definedName name="_________hcb20" localSheetId="53">#REF!</definedName>
    <definedName name="_________hcb20" localSheetId="54">#REF!</definedName>
    <definedName name="_________hcb20" localSheetId="5">#REF!</definedName>
    <definedName name="_________hcb20" localSheetId="3">#REF!</definedName>
    <definedName name="_________hcb20" localSheetId="48">#REF!</definedName>
    <definedName name="_________hcb20" localSheetId="47">#REF!</definedName>
    <definedName name="_________hcb20" localSheetId="52">#REF!</definedName>
    <definedName name="_________hcb20" localSheetId="58">#REF!</definedName>
    <definedName name="_________hcb20" localSheetId="59">#REF!</definedName>
    <definedName name="_________hcb20" localSheetId="8">#REF!</definedName>
    <definedName name="_________hcb20" localSheetId="17">#REF!</definedName>
    <definedName name="_________hcb20" localSheetId="18">#REF!</definedName>
    <definedName name="_________hcb20" localSheetId="63">#REF!</definedName>
    <definedName name="_________hcb20" localSheetId="13">#REF!</definedName>
    <definedName name="_________hcb20" localSheetId="12">#REF!</definedName>
    <definedName name="_________hcb20" localSheetId="41">#REF!</definedName>
    <definedName name="_________hcb20" localSheetId="42">#REF!</definedName>
    <definedName name="_________hcb20" localSheetId="65">#REF!</definedName>
    <definedName name="_________hcb20" localSheetId="25">#REF!</definedName>
    <definedName name="_________hcb20" localSheetId="23">#REF!</definedName>
    <definedName name="_________hcb20">#REF!</definedName>
    <definedName name="____con25" localSheetId="30">#REF!</definedName>
    <definedName name="____con25" localSheetId="29">#REF!</definedName>
    <definedName name="____con25" localSheetId="35">#REF!</definedName>
    <definedName name="____con25" localSheetId="34">#REF!</definedName>
    <definedName name="____con25" localSheetId="66">#REF!</definedName>
    <definedName name="____con25" localSheetId="22">#REF!</definedName>
    <definedName name="____con25" localSheetId="24">#REF!</definedName>
    <definedName name="____con25" localSheetId="39">#REF!</definedName>
    <definedName name="____con25" localSheetId="40">#REF!</definedName>
    <definedName name="____con25" localSheetId="53">#REF!</definedName>
    <definedName name="____con25" localSheetId="54">#REF!</definedName>
    <definedName name="____con25" localSheetId="5">#REF!</definedName>
    <definedName name="____con25" localSheetId="3">#REF!</definedName>
    <definedName name="____con25" localSheetId="48">#REF!</definedName>
    <definedName name="____con25" localSheetId="47">#REF!</definedName>
    <definedName name="____con25" localSheetId="52">#REF!</definedName>
    <definedName name="____con25" localSheetId="58">#REF!</definedName>
    <definedName name="____con25" localSheetId="59">#REF!</definedName>
    <definedName name="____con25" localSheetId="8">#REF!</definedName>
    <definedName name="____con25" localSheetId="17">#REF!</definedName>
    <definedName name="____con25" localSheetId="18">#REF!</definedName>
    <definedName name="____con25" localSheetId="63">#REF!</definedName>
    <definedName name="____con25" localSheetId="13">#REF!</definedName>
    <definedName name="____con25" localSheetId="12">#REF!</definedName>
    <definedName name="____con25" localSheetId="41">#REF!</definedName>
    <definedName name="____con25" localSheetId="42">#REF!</definedName>
    <definedName name="____con25" localSheetId="65">#REF!</definedName>
    <definedName name="____con25" localSheetId="25">#REF!</definedName>
    <definedName name="____con25" localSheetId="23">#REF!</definedName>
    <definedName name="____con25">#REF!</definedName>
    <definedName name="____hcb20" localSheetId="30">#REF!</definedName>
    <definedName name="____hcb20" localSheetId="29">#REF!</definedName>
    <definedName name="____hcb20" localSheetId="35">#REF!</definedName>
    <definedName name="____hcb20" localSheetId="34">#REF!</definedName>
    <definedName name="____hcb20" localSheetId="66">#REF!</definedName>
    <definedName name="____hcb20" localSheetId="22">#REF!</definedName>
    <definedName name="____hcb20" localSheetId="24">#REF!</definedName>
    <definedName name="____hcb20" localSheetId="39">#REF!</definedName>
    <definedName name="____hcb20" localSheetId="40">#REF!</definedName>
    <definedName name="____hcb20" localSheetId="53">#REF!</definedName>
    <definedName name="____hcb20" localSheetId="54">#REF!</definedName>
    <definedName name="____hcb20" localSheetId="5">#REF!</definedName>
    <definedName name="____hcb20" localSheetId="3">#REF!</definedName>
    <definedName name="____hcb20" localSheetId="48">#REF!</definedName>
    <definedName name="____hcb20" localSheetId="47">#REF!</definedName>
    <definedName name="____hcb20" localSheetId="52">#REF!</definedName>
    <definedName name="____hcb20" localSheetId="58">#REF!</definedName>
    <definedName name="____hcb20" localSheetId="59">#REF!</definedName>
    <definedName name="____hcb20" localSheetId="8">#REF!</definedName>
    <definedName name="____hcb20" localSheetId="17">#REF!</definedName>
    <definedName name="____hcb20" localSheetId="18">#REF!</definedName>
    <definedName name="____hcb20" localSheetId="63">#REF!</definedName>
    <definedName name="____hcb20" localSheetId="13">#REF!</definedName>
    <definedName name="____hcb20" localSheetId="12">#REF!</definedName>
    <definedName name="____hcb20" localSheetId="41">#REF!</definedName>
    <definedName name="____hcb20" localSheetId="42">#REF!</definedName>
    <definedName name="____hcb20" localSheetId="65">#REF!</definedName>
    <definedName name="____hcb20" localSheetId="25">#REF!</definedName>
    <definedName name="____hcb20" localSheetId="23">#REF!</definedName>
    <definedName name="____hcb20">#REF!</definedName>
    <definedName name="__con25" localSheetId="30">#REF!</definedName>
    <definedName name="__con25" localSheetId="29">#REF!</definedName>
    <definedName name="__con25" localSheetId="35">#REF!</definedName>
    <definedName name="__con25" localSheetId="34">#REF!</definedName>
    <definedName name="__con25" localSheetId="66">#REF!</definedName>
    <definedName name="__con25" localSheetId="22">#REF!</definedName>
    <definedName name="__con25" localSheetId="24">#REF!</definedName>
    <definedName name="__con25" localSheetId="39">#REF!</definedName>
    <definedName name="__con25" localSheetId="40">#REF!</definedName>
    <definedName name="__con25" localSheetId="53">#REF!</definedName>
    <definedName name="__con25" localSheetId="54">#REF!</definedName>
    <definedName name="__con25" localSheetId="5">#REF!</definedName>
    <definedName name="__con25" localSheetId="3">#REF!</definedName>
    <definedName name="__con25" localSheetId="48">#REF!</definedName>
    <definedName name="__con25" localSheetId="47">#REF!</definedName>
    <definedName name="__con25" localSheetId="52">#REF!</definedName>
    <definedName name="__con25" localSheetId="58">#REF!</definedName>
    <definedName name="__con25" localSheetId="59">#REF!</definedName>
    <definedName name="__con25" localSheetId="8">#REF!</definedName>
    <definedName name="__con25" localSheetId="17">#REF!</definedName>
    <definedName name="__con25" localSheetId="18">#REF!</definedName>
    <definedName name="__con25" localSheetId="63">#REF!</definedName>
    <definedName name="__con25" localSheetId="13">#REF!</definedName>
    <definedName name="__con25" localSheetId="12">#REF!</definedName>
    <definedName name="__con25" localSheetId="41">#REF!</definedName>
    <definedName name="__con25" localSheetId="42">#REF!</definedName>
    <definedName name="__con25" localSheetId="65">#REF!</definedName>
    <definedName name="__con25" localSheetId="25">#REF!</definedName>
    <definedName name="__con25" localSheetId="23">#REF!</definedName>
    <definedName name="__con25">#REF!</definedName>
    <definedName name="__dim03670" localSheetId="30">#REF!</definedName>
    <definedName name="__dim03670" localSheetId="29">#REF!</definedName>
    <definedName name="__dim03670" localSheetId="35">#REF!</definedName>
    <definedName name="__dim03670" localSheetId="34">#REF!</definedName>
    <definedName name="__dim03670" localSheetId="66">#REF!</definedName>
    <definedName name="__dim03670" localSheetId="22">#REF!</definedName>
    <definedName name="__dim03670" localSheetId="24">#REF!</definedName>
    <definedName name="__dim03670" localSheetId="39">#REF!</definedName>
    <definedName name="__dim03670" localSheetId="40">#REF!</definedName>
    <definedName name="__dim03670" localSheetId="53">#REF!</definedName>
    <definedName name="__dim03670" localSheetId="54">#REF!</definedName>
    <definedName name="__dim03670" localSheetId="5">#REF!</definedName>
    <definedName name="__dim03670" localSheetId="3">#REF!</definedName>
    <definedName name="__dim03670" localSheetId="48">#REF!</definedName>
    <definedName name="__dim03670" localSheetId="47">#REF!</definedName>
    <definedName name="__dim03670" localSheetId="52">#REF!</definedName>
    <definedName name="__dim03670" localSheetId="58">#REF!</definedName>
    <definedName name="__dim03670" localSheetId="59">#REF!</definedName>
    <definedName name="__dim03670" localSheetId="8">#REF!</definedName>
    <definedName name="__dim03670" localSheetId="17">#REF!</definedName>
    <definedName name="__dim03670" localSheetId="18">#REF!</definedName>
    <definedName name="__dim03670" localSheetId="63">#REF!</definedName>
    <definedName name="__dim03670" localSheetId="13">#REF!</definedName>
    <definedName name="__dim03670" localSheetId="12">#REF!</definedName>
    <definedName name="__dim03670" localSheetId="41">#REF!</definedName>
    <definedName name="__dim03670" localSheetId="42">#REF!</definedName>
    <definedName name="__dim03670" localSheetId="65">#REF!</definedName>
    <definedName name="__dim03670" localSheetId="25">#REF!</definedName>
    <definedName name="__dim03670" localSheetId="23">#REF!</definedName>
    <definedName name="__dim03670">#REF!</definedName>
    <definedName name="__gip1" localSheetId="30">#REF!</definedName>
    <definedName name="__gip1" localSheetId="29">#REF!</definedName>
    <definedName name="__gip1" localSheetId="35">#REF!</definedName>
    <definedName name="__gip1" localSheetId="34">#REF!</definedName>
    <definedName name="__gip1" localSheetId="66">#REF!</definedName>
    <definedName name="__gip1" localSheetId="22">#REF!</definedName>
    <definedName name="__gip1" localSheetId="24">#REF!</definedName>
    <definedName name="__gip1" localSheetId="39">#REF!</definedName>
    <definedName name="__gip1" localSheetId="40">#REF!</definedName>
    <definedName name="__gip1" localSheetId="53">#REF!</definedName>
    <definedName name="__gip1" localSheetId="54">#REF!</definedName>
    <definedName name="__gip1" localSheetId="5">#REF!</definedName>
    <definedName name="__gip1" localSheetId="3">#REF!</definedName>
    <definedName name="__gip1" localSheetId="48">#REF!</definedName>
    <definedName name="__gip1" localSheetId="47">#REF!</definedName>
    <definedName name="__gip1" localSheetId="52">#REF!</definedName>
    <definedName name="__gip1" localSheetId="58">#REF!</definedName>
    <definedName name="__gip1" localSheetId="59">#REF!</definedName>
    <definedName name="__gip1" localSheetId="8">#REF!</definedName>
    <definedName name="__gip1" localSheetId="17">#REF!</definedName>
    <definedName name="__gip1" localSheetId="18">#REF!</definedName>
    <definedName name="__gip1" localSheetId="63">#REF!</definedName>
    <definedName name="__gip1" localSheetId="13">#REF!</definedName>
    <definedName name="__gip1" localSheetId="12">#REF!</definedName>
    <definedName name="__gip1" localSheetId="41">#REF!</definedName>
    <definedName name="__gip1" localSheetId="42">#REF!</definedName>
    <definedName name="__gip1" localSheetId="65">#REF!</definedName>
    <definedName name="__gip1" localSheetId="25">#REF!</definedName>
    <definedName name="__gip1" localSheetId="23">#REF!</definedName>
    <definedName name="__gip1">#REF!</definedName>
    <definedName name="__gip2" localSheetId="30">#REF!</definedName>
    <definedName name="__gip2" localSheetId="29">#REF!</definedName>
    <definedName name="__gip2" localSheetId="35">#REF!</definedName>
    <definedName name="__gip2" localSheetId="34">#REF!</definedName>
    <definedName name="__gip2" localSheetId="66">#REF!</definedName>
    <definedName name="__gip2" localSheetId="22">#REF!</definedName>
    <definedName name="__gip2" localSheetId="24">#REF!</definedName>
    <definedName name="__gip2" localSheetId="39">#REF!</definedName>
    <definedName name="__gip2" localSheetId="40">#REF!</definedName>
    <definedName name="__gip2" localSheetId="53">#REF!</definedName>
    <definedName name="__gip2" localSheetId="54">#REF!</definedName>
    <definedName name="__gip2" localSheetId="5">#REF!</definedName>
    <definedName name="__gip2" localSheetId="3">#REF!</definedName>
    <definedName name="__gip2" localSheetId="48">#REF!</definedName>
    <definedName name="__gip2" localSheetId="47">#REF!</definedName>
    <definedName name="__gip2" localSheetId="52">#REF!</definedName>
    <definedName name="__gip2" localSheetId="58">#REF!</definedName>
    <definedName name="__gip2" localSheetId="59">#REF!</definedName>
    <definedName name="__gip2" localSheetId="8">#REF!</definedName>
    <definedName name="__gip2" localSheetId="17">#REF!</definedName>
    <definedName name="__gip2" localSheetId="18">#REF!</definedName>
    <definedName name="__gip2" localSheetId="63">#REF!</definedName>
    <definedName name="__gip2" localSheetId="13">#REF!</definedName>
    <definedName name="__gip2" localSheetId="12">#REF!</definedName>
    <definedName name="__gip2" localSheetId="41">#REF!</definedName>
    <definedName name="__gip2" localSheetId="42">#REF!</definedName>
    <definedName name="__gip2" localSheetId="65">#REF!</definedName>
    <definedName name="__gip2" localSheetId="25">#REF!</definedName>
    <definedName name="__gip2" localSheetId="23">#REF!</definedName>
    <definedName name="__gip2">#REF!</definedName>
    <definedName name="__hcb20" localSheetId="30">#REF!</definedName>
    <definedName name="__hcb20" localSheetId="29">#REF!</definedName>
    <definedName name="__hcb20" localSheetId="35">#REF!</definedName>
    <definedName name="__hcb20" localSheetId="34">#REF!</definedName>
    <definedName name="__hcb20" localSheetId="66">#REF!</definedName>
    <definedName name="__hcb20" localSheetId="22">#REF!</definedName>
    <definedName name="__hcb20" localSheetId="24">#REF!</definedName>
    <definedName name="__hcb20" localSheetId="39">#REF!</definedName>
    <definedName name="__hcb20" localSheetId="40">#REF!</definedName>
    <definedName name="__hcb20" localSheetId="53">#REF!</definedName>
    <definedName name="__hcb20" localSheetId="54">#REF!</definedName>
    <definedName name="__hcb20" localSheetId="5">#REF!</definedName>
    <definedName name="__hcb20" localSheetId="3">#REF!</definedName>
    <definedName name="__hcb20" localSheetId="48">#REF!</definedName>
    <definedName name="__hcb20" localSheetId="47">#REF!</definedName>
    <definedName name="__hcb20" localSheetId="52">#REF!</definedName>
    <definedName name="__hcb20" localSheetId="58">#REF!</definedName>
    <definedName name="__hcb20" localSheetId="59">#REF!</definedName>
    <definedName name="__hcb20" localSheetId="8">#REF!</definedName>
    <definedName name="__hcb20" localSheetId="17">#REF!</definedName>
    <definedName name="__hcb20" localSheetId="18">#REF!</definedName>
    <definedName name="__hcb20" localSheetId="63">#REF!</definedName>
    <definedName name="__hcb20" localSheetId="13">#REF!</definedName>
    <definedName name="__hcb20" localSheetId="12">#REF!</definedName>
    <definedName name="__hcb20" localSheetId="41">#REF!</definedName>
    <definedName name="__hcb20" localSheetId="42">#REF!</definedName>
    <definedName name="__hcb20" localSheetId="65">#REF!</definedName>
    <definedName name="__hcb20" localSheetId="25">#REF!</definedName>
    <definedName name="__hcb20" localSheetId="23">#REF!</definedName>
    <definedName name="__hcb20">#REF!</definedName>
    <definedName name="__snf300250" localSheetId="30">#REF!</definedName>
    <definedName name="__snf300250" localSheetId="29">#REF!</definedName>
    <definedName name="__snf300250" localSheetId="35">#REF!</definedName>
    <definedName name="__snf300250" localSheetId="34">#REF!</definedName>
    <definedName name="__snf300250" localSheetId="66">#REF!</definedName>
    <definedName name="__snf300250" localSheetId="22">#REF!</definedName>
    <definedName name="__snf300250" localSheetId="24">#REF!</definedName>
    <definedName name="__snf300250" localSheetId="39">#REF!</definedName>
    <definedName name="__snf300250" localSheetId="40">#REF!</definedName>
    <definedName name="__snf300250" localSheetId="53">#REF!</definedName>
    <definedName name="__snf300250" localSheetId="54">#REF!</definedName>
    <definedName name="__snf300250" localSheetId="5">#REF!</definedName>
    <definedName name="__snf300250" localSheetId="3">#REF!</definedName>
    <definedName name="__snf300250" localSheetId="48">#REF!</definedName>
    <definedName name="__snf300250" localSheetId="47">#REF!</definedName>
    <definedName name="__snf300250" localSheetId="52">#REF!</definedName>
    <definedName name="__snf300250" localSheetId="58">#REF!</definedName>
    <definedName name="__snf300250" localSheetId="59">#REF!</definedName>
    <definedName name="__snf300250" localSheetId="8">#REF!</definedName>
    <definedName name="__snf300250" localSheetId="17">#REF!</definedName>
    <definedName name="__snf300250" localSheetId="18">#REF!</definedName>
    <definedName name="__snf300250" localSheetId="63">#REF!</definedName>
    <definedName name="__snf300250" localSheetId="13">#REF!</definedName>
    <definedName name="__snf300250" localSheetId="12">#REF!</definedName>
    <definedName name="__snf300250" localSheetId="41">#REF!</definedName>
    <definedName name="__snf300250" localSheetId="42">#REF!</definedName>
    <definedName name="__snf300250" localSheetId="65">#REF!</definedName>
    <definedName name="__snf300250" localSheetId="25">#REF!</definedName>
    <definedName name="__snf300250" localSheetId="23">#REF!</definedName>
    <definedName name="__snf300250">#REF!</definedName>
    <definedName name="__tms118" localSheetId="30">#REF!</definedName>
    <definedName name="__tms118" localSheetId="29">#REF!</definedName>
    <definedName name="__tms118" localSheetId="35">#REF!</definedName>
    <definedName name="__tms118" localSheetId="34">#REF!</definedName>
    <definedName name="__tms118" localSheetId="66">#REF!</definedName>
    <definedName name="__tms118" localSheetId="22">#REF!</definedName>
    <definedName name="__tms118" localSheetId="24">#REF!</definedName>
    <definedName name="__tms118" localSheetId="39">#REF!</definedName>
    <definedName name="__tms118" localSheetId="40">#REF!</definedName>
    <definedName name="__tms118" localSheetId="53">#REF!</definedName>
    <definedName name="__tms118" localSheetId="54">#REF!</definedName>
    <definedName name="__tms118" localSheetId="5">#REF!</definedName>
    <definedName name="__tms118" localSheetId="3">#REF!</definedName>
    <definedName name="__tms118" localSheetId="48">#REF!</definedName>
    <definedName name="__tms118" localSheetId="47">#REF!</definedName>
    <definedName name="__tms118" localSheetId="52">#REF!</definedName>
    <definedName name="__tms118" localSheetId="58">#REF!</definedName>
    <definedName name="__tms118" localSheetId="59">#REF!</definedName>
    <definedName name="__tms118" localSheetId="8">#REF!</definedName>
    <definedName name="__tms118" localSheetId="17">#REF!</definedName>
    <definedName name="__tms118" localSheetId="18">#REF!</definedName>
    <definedName name="__tms118" localSheetId="63">#REF!</definedName>
    <definedName name="__tms118" localSheetId="13">#REF!</definedName>
    <definedName name="__tms118" localSheetId="12">#REF!</definedName>
    <definedName name="__tms118" localSheetId="41">#REF!</definedName>
    <definedName name="__tms118" localSheetId="42">#REF!</definedName>
    <definedName name="__tms118" localSheetId="65">#REF!</definedName>
    <definedName name="__tms118" localSheetId="25">#REF!</definedName>
    <definedName name="__tms118" localSheetId="23">#REF!</definedName>
    <definedName name="__tms118">#REF!</definedName>
    <definedName name="__tms136" localSheetId="30">#REF!</definedName>
    <definedName name="__tms136" localSheetId="29">#REF!</definedName>
    <definedName name="__tms136" localSheetId="35">#REF!</definedName>
    <definedName name="__tms136" localSheetId="34">#REF!</definedName>
    <definedName name="__tms136" localSheetId="66">#REF!</definedName>
    <definedName name="__tms136" localSheetId="22">#REF!</definedName>
    <definedName name="__tms136" localSheetId="24">#REF!</definedName>
    <definedName name="__tms136" localSheetId="39">#REF!</definedName>
    <definedName name="__tms136" localSheetId="40">#REF!</definedName>
    <definedName name="__tms136" localSheetId="53">#REF!</definedName>
    <definedName name="__tms136" localSheetId="54">#REF!</definedName>
    <definedName name="__tms136" localSheetId="5">#REF!</definedName>
    <definedName name="__tms136" localSheetId="3">#REF!</definedName>
    <definedName name="__tms136" localSheetId="48">#REF!</definedName>
    <definedName name="__tms136" localSheetId="47">#REF!</definedName>
    <definedName name="__tms136" localSheetId="52">#REF!</definedName>
    <definedName name="__tms136" localSheetId="58">#REF!</definedName>
    <definedName name="__tms136" localSheetId="59">#REF!</definedName>
    <definedName name="__tms136" localSheetId="8">#REF!</definedName>
    <definedName name="__tms136" localSheetId="17">#REF!</definedName>
    <definedName name="__tms136" localSheetId="18">#REF!</definedName>
    <definedName name="__tms136" localSheetId="63">#REF!</definedName>
    <definedName name="__tms136" localSheetId="13">#REF!</definedName>
    <definedName name="__tms136" localSheetId="12">#REF!</definedName>
    <definedName name="__tms136" localSheetId="41">#REF!</definedName>
    <definedName name="__tms136" localSheetId="42">#REF!</definedName>
    <definedName name="__tms136" localSheetId="65">#REF!</definedName>
    <definedName name="__tms136" localSheetId="25">#REF!</definedName>
    <definedName name="__tms136" localSheetId="23">#REF!</definedName>
    <definedName name="__tms136">#REF!</definedName>
    <definedName name="__tms236" localSheetId="30">#REF!</definedName>
    <definedName name="__tms236" localSheetId="29">#REF!</definedName>
    <definedName name="__tms236" localSheetId="35">#REF!</definedName>
    <definedName name="__tms236" localSheetId="34">#REF!</definedName>
    <definedName name="__tms236" localSheetId="66">#REF!</definedName>
    <definedName name="__tms236" localSheetId="22">#REF!</definedName>
    <definedName name="__tms236" localSheetId="24">#REF!</definedName>
    <definedName name="__tms236" localSheetId="39">#REF!</definedName>
    <definedName name="__tms236" localSheetId="40">#REF!</definedName>
    <definedName name="__tms236" localSheetId="53">#REF!</definedName>
    <definedName name="__tms236" localSheetId="54">#REF!</definedName>
    <definedName name="__tms236" localSheetId="5">#REF!</definedName>
    <definedName name="__tms236" localSheetId="3">#REF!</definedName>
    <definedName name="__tms236" localSheetId="48">#REF!</definedName>
    <definedName name="__tms236" localSheetId="47">#REF!</definedName>
    <definedName name="__tms236" localSheetId="52">#REF!</definedName>
    <definedName name="__tms236" localSheetId="58">#REF!</definedName>
    <definedName name="__tms236" localSheetId="59">#REF!</definedName>
    <definedName name="__tms236" localSheetId="8">#REF!</definedName>
    <definedName name="__tms236" localSheetId="17">#REF!</definedName>
    <definedName name="__tms236" localSheetId="18">#REF!</definedName>
    <definedName name="__tms236" localSheetId="63">#REF!</definedName>
    <definedName name="__tms236" localSheetId="13">#REF!</definedName>
    <definedName name="__tms236" localSheetId="12">#REF!</definedName>
    <definedName name="__tms236" localSheetId="41">#REF!</definedName>
    <definedName name="__tms236" localSheetId="42">#REF!</definedName>
    <definedName name="__tms236" localSheetId="65">#REF!</definedName>
    <definedName name="__tms236" localSheetId="25">#REF!</definedName>
    <definedName name="__tms236" localSheetId="23">#REF!</definedName>
    <definedName name="__tms236">#REF!</definedName>
    <definedName name="__tmw065136" localSheetId="30">#REF!</definedName>
    <definedName name="__tmw065136" localSheetId="29">#REF!</definedName>
    <definedName name="__tmw065136" localSheetId="35">#REF!</definedName>
    <definedName name="__tmw065136" localSheetId="34">#REF!</definedName>
    <definedName name="__tmw065136" localSheetId="66">#REF!</definedName>
    <definedName name="__tmw065136" localSheetId="22">#REF!</definedName>
    <definedName name="__tmw065136" localSheetId="24">#REF!</definedName>
    <definedName name="__tmw065136" localSheetId="39">#REF!</definedName>
    <definedName name="__tmw065136" localSheetId="40">#REF!</definedName>
    <definedName name="__tmw065136" localSheetId="53">#REF!</definedName>
    <definedName name="__tmw065136" localSheetId="54">#REF!</definedName>
    <definedName name="__tmw065136" localSheetId="5">#REF!</definedName>
    <definedName name="__tmw065136" localSheetId="3">#REF!</definedName>
    <definedName name="__tmw065136" localSheetId="48">#REF!</definedName>
    <definedName name="__tmw065136" localSheetId="47">#REF!</definedName>
    <definedName name="__tmw065136" localSheetId="52">#REF!</definedName>
    <definedName name="__tmw065136" localSheetId="58">#REF!</definedName>
    <definedName name="__tmw065136" localSheetId="59">#REF!</definedName>
    <definedName name="__tmw065136" localSheetId="8">#REF!</definedName>
    <definedName name="__tmw065136" localSheetId="17">#REF!</definedName>
    <definedName name="__tmw065136" localSheetId="18">#REF!</definedName>
    <definedName name="__tmw065136" localSheetId="63">#REF!</definedName>
    <definedName name="__tmw065136" localSheetId="13">#REF!</definedName>
    <definedName name="__tmw065136" localSheetId="12">#REF!</definedName>
    <definedName name="__tmw065136" localSheetId="41">#REF!</definedName>
    <definedName name="__tmw065136" localSheetId="42">#REF!</definedName>
    <definedName name="__tmw065136" localSheetId="65">#REF!</definedName>
    <definedName name="__tmw065136" localSheetId="25">#REF!</definedName>
    <definedName name="__tmw065136" localSheetId="23">#REF!</definedName>
    <definedName name="__tmw065136">#REF!</definedName>
    <definedName name="_con25" localSheetId="30">#REF!</definedName>
    <definedName name="_con25" localSheetId="29">#REF!</definedName>
    <definedName name="_con25" localSheetId="35">#REF!</definedName>
    <definedName name="_con25" localSheetId="34">#REF!</definedName>
    <definedName name="_con25" localSheetId="66">#REF!</definedName>
    <definedName name="_con25" localSheetId="22">#REF!</definedName>
    <definedName name="_con25" localSheetId="24">#REF!</definedName>
    <definedName name="_con25" localSheetId="39">#REF!</definedName>
    <definedName name="_con25" localSheetId="40">#REF!</definedName>
    <definedName name="_con25" localSheetId="53">#REF!</definedName>
    <definedName name="_con25" localSheetId="54">#REF!</definedName>
    <definedName name="_con25" localSheetId="5">#REF!</definedName>
    <definedName name="_con25" localSheetId="3">#REF!</definedName>
    <definedName name="_con25" localSheetId="48">#REF!</definedName>
    <definedName name="_con25" localSheetId="47">#REF!</definedName>
    <definedName name="_con25" localSheetId="52">#REF!</definedName>
    <definedName name="_con25" localSheetId="58">#REF!</definedName>
    <definedName name="_con25" localSheetId="59">#REF!</definedName>
    <definedName name="_con25" localSheetId="8">#REF!</definedName>
    <definedName name="_con25" localSheetId="17">#REF!</definedName>
    <definedName name="_con25" localSheetId="18">#REF!</definedName>
    <definedName name="_con25" localSheetId="63">#REF!</definedName>
    <definedName name="_con25" localSheetId="13">#REF!</definedName>
    <definedName name="_con25" localSheetId="12">#REF!</definedName>
    <definedName name="_con25" localSheetId="41">#REF!</definedName>
    <definedName name="_con25" localSheetId="42">#REF!</definedName>
    <definedName name="_con25" localSheetId="65">#REF!</definedName>
    <definedName name="_con25" localSheetId="25">#REF!</definedName>
    <definedName name="_con25" localSheetId="23">#REF!</definedName>
    <definedName name="_con25">#REF!</definedName>
    <definedName name="_dim03670" localSheetId="30">#REF!</definedName>
    <definedName name="_dim03670" localSheetId="29">#REF!</definedName>
    <definedName name="_dim03670" localSheetId="35">#REF!</definedName>
    <definedName name="_dim03670" localSheetId="34">#REF!</definedName>
    <definedName name="_dim03670" localSheetId="66">#REF!</definedName>
    <definedName name="_dim03670" localSheetId="22">#REF!</definedName>
    <definedName name="_dim03670" localSheetId="24">#REF!</definedName>
    <definedName name="_dim03670" localSheetId="39">#REF!</definedName>
    <definedName name="_dim03670" localSheetId="40">#REF!</definedName>
    <definedName name="_dim03670" localSheetId="53">#REF!</definedName>
    <definedName name="_dim03670" localSheetId="54">#REF!</definedName>
    <definedName name="_dim03670" localSheetId="5">#REF!</definedName>
    <definedName name="_dim03670" localSheetId="3">#REF!</definedName>
    <definedName name="_dim03670" localSheetId="48">#REF!</definedName>
    <definedName name="_dim03670" localSheetId="47">#REF!</definedName>
    <definedName name="_dim03670" localSheetId="52">#REF!</definedName>
    <definedName name="_dim03670" localSheetId="58">#REF!</definedName>
    <definedName name="_dim03670" localSheetId="59">#REF!</definedName>
    <definedName name="_dim03670" localSheetId="8">#REF!</definedName>
    <definedName name="_dim03670" localSheetId="17">#REF!</definedName>
    <definedName name="_dim03670" localSheetId="18">#REF!</definedName>
    <definedName name="_dim03670" localSheetId="63">#REF!</definedName>
    <definedName name="_dim03670" localSheetId="13">#REF!</definedName>
    <definedName name="_dim03670" localSheetId="12">#REF!</definedName>
    <definedName name="_dim03670" localSheetId="41">#REF!</definedName>
    <definedName name="_dim03670" localSheetId="42">#REF!</definedName>
    <definedName name="_dim03670" localSheetId="65">#REF!</definedName>
    <definedName name="_dim03670" localSheetId="25">#REF!</definedName>
    <definedName name="_dim03670" localSheetId="23">#REF!</definedName>
    <definedName name="_dim03670">#REF!</definedName>
    <definedName name="_gip1" localSheetId="30">#REF!</definedName>
    <definedName name="_gip1" localSheetId="29">#REF!</definedName>
    <definedName name="_gip1" localSheetId="35">#REF!</definedName>
    <definedName name="_gip1" localSheetId="34">#REF!</definedName>
    <definedName name="_gip1" localSheetId="66">#REF!</definedName>
    <definedName name="_gip1" localSheetId="22">#REF!</definedName>
    <definedName name="_gip1" localSheetId="24">#REF!</definedName>
    <definedName name="_gip1" localSheetId="39">#REF!</definedName>
    <definedName name="_gip1" localSheetId="40">#REF!</definedName>
    <definedName name="_gip1" localSheetId="53">#REF!</definedName>
    <definedName name="_gip1" localSheetId="54">#REF!</definedName>
    <definedName name="_gip1" localSheetId="5">#REF!</definedName>
    <definedName name="_gip1" localSheetId="3">#REF!</definedName>
    <definedName name="_gip1" localSheetId="48">#REF!</definedName>
    <definedName name="_gip1" localSheetId="47">#REF!</definedName>
    <definedName name="_gip1" localSheetId="52">#REF!</definedName>
    <definedName name="_gip1" localSheetId="58">#REF!</definedName>
    <definedName name="_gip1" localSheetId="59">#REF!</definedName>
    <definedName name="_gip1" localSheetId="8">#REF!</definedName>
    <definedName name="_gip1" localSheetId="17">#REF!</definedName>
    <definedName name="_gip1" localSheetId="18">#REF!</definedName>
    <definedName name="_gip1" localSheetId="63">#REF!</definedName>
    <definedName name="_gip1" localSheetId="13">#REF!</definedName>
    <definedName name="_gip1" localSheetId="12">#REF!</definedName>
    <definedName name="_gip1" localSheetId="41">#REF!</definedName>
    <definedName name="_gip1" localSheetId="42">#REF!</definedName>
    <definedName name="_gip1" localSheetId="65">#REF!</definedName>
    <definedName name="_gip1" localSheetId="25">#REF!</definedName>
    <definedName name="_gip1" localSheetId="23">#REF!</definedName>
    <definedName name="_gip1">#REF!</definedName>
    <definedName name="_gip2" localSheetId="30">#REF!</definedName>
    <definedName name="_gip2" localSheetId="29">#REF!</definedName>
    <definedName name="_gip2" localSheetId="35">#REF!</definedName>
    <definedName name="_gip2" localSheetId="34">#REF!</definedName>
    <definedName name="_gip2" localSheetId="66">#REF!</definedName>
    <definedName name="_gip2" localSheetId="22">#REF!</definedName>
    <definedName name="_gip2" localSheetId="24">#REF!</definedName>
    <definedName name="_gip2" localSheetId="39">#REF!</definedName>
    <definedName name="_gip2" localSheetId="40">#REF!</definedName>
    <definedName name="_gip2" localSheetId="53">#REF!</definedName>
    <definedName name="_gip2" localSheetId="54">#REF!</definedName>
    <definedName name="_gip2" localSheetId="5">#REF!</definedName>
    <definedName name="_gip2" localSheetId="3">#REF!</definedName>
    <definedName name="_gip2" localSheetId="48">#REF!</definedName>
    <definedName name="_gip2" localSheetId="47">#REF!</definedName>
    <definedName name="_gip2" localSheetId="52">#REF!</definedName>
    <definedName name="_gip2" localSheetId="58">#REF!</definedName>
    <definedName name="_gip2" localSheetId="59">#REF!</definedName>
    <definedName name="_gip2" localSheetId="8">#REF!</definedName>
    <definedName name="_gip2" localSheetId="17">#REF!</definedName>
    <definedName name="_gip2" localSheetId="18">#REF!</definedName>
    <definedName name="_gip2" localSheetId="63">#REF!</definedName>
    <definedName name="_gip2" localSheetId="13">#REF!</definedName>
    <definedName name="_gip2" localSheetId="12">#REF!</definedName>
    <definedName name="_gip2" localSheetId="41">#REF!</definedName>
    <definedName name="_gip2" localSheetId="42">#REF!</definedName>
    <definedName name="_gip2" localSheetId="65">#REF!</definedName>
    <definedName name="_gip2" localSheetId="25">#REF!</definedName>
    <definedName name="_gip2" localSheetId="23">#REF!</definedName>
    <definedName name="_gip2">#REF!</definedName>
    <definedName name="_hcb20" localSheetId="30">#REF!</definedName>
    <definedName name="_hcb20" localSheetId="29">#REF!</definedName>
    <definedName name="_hcb20" localSheetId="35">#REF!</definedName>
    <definedName name="_hcb20" localSheetId="34">#REF!</definedName>
    <definedName name="_hcb20" localSheetId="66">#REF!</definedName>
    <definedName name="_hcb20" localSheetId="22">#REF!</definedName>
    <definedName name="_hcb20" localSheetId="24">#REF!</definedName>
    <definedName name="_hcb20" localSheetId="39">#REF!</definedName>
    <definedName name="_hcb20" localSheetId="40">#REF!</definedName>
    <definedName name="_hcb20" localSheetId="53">#REF!</definedName>
    <definedName name="_hcb20" localSheetId="54">#REF!</definedName>
    <definedName name="_hcb20" localSheetId="5">#REF!</definedName>
    <definedName name="_hcb20" localSheetId="3">#REF!</definedName>
    <definedName name="_hcb20" localSheetId="48">#REF!</definedName>
    <definedName name="_hcb20" localSheetId="47">#REF!</definedName>
    <definedName name="_hcb20" localSheetId="52">#REF!</definedName>
    <definedName name="_hcb20" localSheetId="58">#REF!</definedName>
    <definedName name="_hcb20" localSheetId="59">#REF!</definedName>
    <definedName name="_hcb20" localSheetId="8">#REF!</definedName>
    <definedName name="_hcb20" localSheetId="17">#REF!</definedName>
    <definedName name="_hcb20" localSheetId="18">#REF!</definedName>
    <definedName name="_hcb20" localSheetId="63">#REF!</definedName>
    <definedName name="_hcb20" localSheetId="13">#REF!</definedName>
    <definedName name="_hcb20" localSheetId="12">#REF!</definedName>
    <definedName name="_hcb20" localSheetId="41">#REF!</definedName>
    <definedName name="_hcb20" localSheetId="42">#REF!</definedName>
    <definedName name="_hcb20" localSheetId="65">#REF!</definedName>
    <definedName name="_hcb20" localSheetId="25">#REF!</definedName>
    <definedName name="_hcb20" localSheetId="23">#REF!</definedName>
    <definedName name="_hcb20">#REF!</definedName>
    <definedName name="_hgt" localSheetId="30">'[1]Break Down  '!#REF!</definedName>
    <definedName name="_hgt" localSheetId="29">'[1]Break Down  '!#REF!</definedName>
    <definedName name="_hgt" localSheetId="35">'[1]Break Down  '!#REF!</definedName>
    <definedName name="_hgt" localSheetId="34">'[1]Break Down  '!#REF!</definedName>
    <definedName name="_hgt" localSheetId="66">'[1]Break Down  '!#REF!</definedName>
    <definedName name="_hgt" localSheetId="22">'[1]Break Down  '!#REF!</definedName>
    <definedName name="_hgt" localSheetId="24">'[1]Break Down  '!#REF!</definedName>
    <definedName name="_hgt" localSheetId="39">'[1]Break Down  '!#REF!</definedName>
    <definedName name="_hgt" localSheetId="40">'[1]Break Down  '!#REF!</definedName>
    <definedName name="_hgt" localSheetId="53">'[1]Break Down  '!#REF!</definedName>
    <definedName name="_hgt" localSheetId="54">'[1]Break Down  '!#REF!</definedName>
    <definedName name="_hgt" localSheetId="5">'[1]Break Down  '!#REF!</definedName>
    <definedName name="_hgt" localSheetId="3">'[1]Break Down  '!#REF!</definedName>
    <definedName name="_hgt" localSheetId="48">'[1]Break Down  '!#REF!</definedName>
    <definedName name="_hgt" localSheetId="47">'[1]Break Down  '!#REF!</definedName>
    <definedName name="_hgt" localSheetId="52">'[1]Break Down  '!#REF!</definedName>
    <definedName name="_hgt" localSheetId="58">'[1]Break Down  '!#REF!</definedName>
    <definedName name="_hgt" localSheetId="59">'[1]Break Down  '!#REF!</definedName>
    <definedName name="_hgt" localSheetId="8">'[1]Break Down  '!#REF!</definedName>
    <definedName name="_hgt" localSheetId="17">'[1]Break Down  '!#REF!</definedName>
    <definedName name="_hgt" localSheetId="18">'[1]Break Down  '!#REF!</definedName>
    <definedName name="_hgt" localSheetId="63">'[1]Break Down  '!#REF!</definedName>
    <definedName name="_hgt" localSheetId="13">'[1]Break Down  '!#REF!</definedName>
    <definedName name="_hgt" localSheetId="12">'[1]Break Down  '!#REF!</definedName>
    <definedName name="_hgt" localSheetId="41">'[1]Break Down  '!#REF!</definedName>
    <definedName name="_hgt" localSheetId="42">'[1]Break Down  '!#REF!</definedName>
    <definedName name="_hgt" localSheetId="65">'[1]Break Down  '!#REF!</definedName>
    <definedName name="_hgt" localSheetId="25">'[1]Break Down  '!#REF!</definedName>
    <definedName name="_hgt" localSheetId="23">'[1]Break Down  '!#REF!</definedName>
    <definedName name="_hgt">'[1]Break Down  '!#REF!</definedName>
    <definedName name="_MatInverse_In" localSheetId="30" hidden="1">#REF!</definedName>
    <definedName name="_MatInverse_In" localSheetId="29" hidden="1">#REF!</definedName>
    <definedName name="_MatInverse_In" localSheetId="35" hidden="1">#REF!</definedName>
    <definedName name="_MatInverse_In" localSheetId="34" hidden="1">#REF!</definedName>
    <definedName name="_MatInverse_In" localSheetId="66" hidden="1">#REF!</definedName>
    <definedName name="_MatInverse_In" localSheetId="22" hidden="1">#REF!</definedName>
    <definedName name="_MatInverse_In" localSheetId="24" hidden="1">#REF!</definedName>
    <definedName name="_MatInverse_In" localSheetId="39" hidden="1">#REF!</definedName>
    <definedName name="_MatInverse_In" localSheetId="40" hidden="1">#REF!</definedName>
    <definedName name="_MatInverse_In" localSheetId="53" hidden="1">#REF!</definedName>
    <definedName name="_MatInverse_In" localSheetId="54" hidden="1">#REF!</definedName>
    <definedName name="_MatInverse_In" localSheetId="5" hidden="1">#REF!</definedName>
    <definedName name="_MatInverse_In" localSheetId="3" hidden="1">#REF!</definedName>
    <definedName name="_MatInverse_In" localSheetId="48" hidden="1">#REF!</definedName>
    <definedName name="_MatInverse_In" localSheetId="47" hidden="1">#REF!</definedName>
    <definedName name="_MatInverse_In" localSheetId="52" hidden="1">#REF!</definedName>
    <definedName name="_MatInverse_In" localSheetId="58" hidden="1">#REF!</definedName>
    <definedName name="_MatInverse_In" localSheetId="59" hidden="1">#REF!</definedName>
    <definedName name="_MatInverse_In" localSheetId="8" hidden="1">#REF!</definedName>
    <definedName name="_MatInverse_In" localSheetId="17" hidden="1">#REF!</definedName>
    <definedName name="_MatInverse_In" localSheetId="18" hidden="1">#REF!</definedName>
    <definedName name="_MatInverse_In" localSheetId="63" hidden="1">#REF!</definedName>
    <definedName name="_MatInverse_In" localSheetId="13" hidden="1">#REF!</definedName>
    <definedName name="_MatInverse_In" localSheetId="12" hidden="1">#REF!</definedName>
    <definedName name="_MatInverse_In" localSheetId="41" hidden="1">#REF!</definedName>
    <definedName name="_MatInverse_In" localSheetId="42" hidden="1">#REF!</definedName>
    <definedName name="_MatInverse_In" localSheetId="65" hidden="1">#REF!</definedName>
    <definedName name="_MatInverse_In" localSheetId="25" hidden="1">#REF!</definedName>
    <definedName name="_MatInverse_In" localSheetId="23" hidden="1">#REF!</definedName>
    <definedName name="_MatInverse_In" hidden="1">#REF!</definedName>
    <definedName name="_Order1" hidden="1">255</definedName>
    <definedName name="_snf300250" localSheetId="30">#REF!</definedName>
    <definedName name="_snf300250" localSheetId="29">#REF!</definedName>
    <definedName name="_snf300250" localSheetId="35">#REF!</definedName>
    <definedName name="_snf300250" localSheetId="34">#REF!</definedName>
    <definedName name="_snf300250" localSheetId="66">#REF!</definedName>
    <definedName name="_snf300250" localSheetId="22">#REF!</definedName>
    <definedName name="_snf300250" localSheetId="24">#REF!</definedName>
    <definedName name="_snf300250" localSheetId="39">#REF!</definedName>
    <definedName name="_snf300250" localSheetId="40">#REF!</definedName>
    <definedName name="_snf300250" localSheetId="53">#REF!</definedName>
    <definedName name="_snf300250" localSheetId="54">#REF!</definedName>
    <definedName name="_snf300250" localSheetId="5">#REF!</definedName>
    <definedName name="_snf300250" localSheetId="3">#REF!</definedName>
    <definedName name="_snf300250" localSheetId="48">#REF!</definedName>
    <definedName name="_snf300250" localSheetId="47">#REF!</definedName>
    <definedName name="_snf300250" localSheetId="52">#REF!</definedName>
    <definedName name="_snf300250" localSheetId="58">#REF!</definedName>
    <definedName name="_snf300250" localSheetId="59">#REF!</definedName>
    <definedName name="_snf300250" localSheetId="8">#REF!</definedName>
    <definedName name="_snf300250" localSheetId="17">#REF!</definedName>
    <definedName name="_snf300250" localSheetId="18">#REF!</definedName>
    <definedName name="_snf300250" localSheetId="63">#REF!</definedName>
    <definedName name="_snf300250" localSheetId="13">#REF!</definedName>
    <definedName name="_snf300250" localSheetId="12">#REF!</definedName>
    <definedName name="_snf300250" localSheetId="41">#REF!</definedName>
    <definedName name="_snf300250" localSheetId="42">#REF!</definedName>
    <definedName name="_snf300250" localSheetId="65">#REF!</definedName>
    <definedName name="_snf300250" localSheetId="25">#REF!</definedName>
    <definedName name="_snf300250" localSheetId="23">#REF!</definedName>
    <definedName name="_snf300250">#REF!</definedName>
    <definedName name="_tms118" localSheetId="30">#REF!</definedName>
    <definedName name="_tms118" localSheetId="29">#REF!</definedName>
    <definedName name="_tms118" localSheetId="35">#REF!</definedName>
    <definedName name="_tms118" localSheetId="34">#REF!</definedName>
    <definedName name="_tms118" localSheetId="66">#REF!</definedName>
    <definedName name="_tms118" localSheetId="22">#REF!</definedName>
    <definedName name="_tms118" localSheetId="24">#REF!</definedName>
    <definedName name="_tms118" localSheetId="39">#REF!</definedName>
    <definedName name="_tms118" localSheetId="40">#REF!</definedName>
    <definedName name="_tms118" localSheetId="53">#REF!</definedName>
    <definedName name="_tms118" localSheetId="54">#REF!</definedName>
    <definedName name="_tms118" localSheetId="5">#REF!</definedName>
    <definedName name="_tms118" localSheetId="3">#REF!</definedName>
    <definedName name="_tms118" localSheetId="48">#REF!</definedName>
    <definedName name="_tms118" localSheetId="47">#REF!</definedName>
    <definedName name="_tms118" localSheetId="52">#REF!</definedName>
    <definedName name="_tms118" localSheetId="58">#REF!</definedName>
    <definedName name="_tms118" localSheetId="59">#REF!</definedName>
    <definedName name="_tms118" localSheetId="8">#REF!</definedName>
    <definedName name="_tms118" localSheetId="17">#REF!</definedName>
    <definedName name="_tms118" localSheetId="18">#REF!</definedName>
    <definedName name="_tms118" localSheetId="63">#REF!</definedName>
    <definedName name="_tms118" localSheetId="13">#REF!</definedName>
    <definedName name="_tms118" localSheetId="12">#REF!</definedName>
    <definedName name="_tms118" localSheetId="41">#REF!</definedName>
    <definedName name="_tms118" localSheetId="42">#REF!</definedName>
    <definedName name="_tms118" localSheetId="65">#REF!</definedName>
    <definedName name="_tms118" localSheetId="25">#REF!</definedName>
    <definedName name="_tms118" localSheetId="23">#REF!</definedName>
    <definedName name="_tms118">#REF!</definedName>
    <definedName name="_tms136" localSheetId="30">#REF!</definedName>
    <definedName name="_tms136" localSheetId="29">#REF!</definedName>
    <definedName name="_tms136" localSheetId="35">#REF!</definedName>
    <definedName name="_tms136" localSheetId="34">#REF!</definedName>
    <definedName name="_tms136" localSheetId="66">#REF!</definedName>
    <definedName name="_tms136" localSheetId="22">#REF!</definedName>
    <definedName name="_tms136" localSheetId="24">#REF!</definedName>
    <definedName name="_tms136" localSheetId="39">#REF!</definedName>
    <definedName name="_tms136" localSheetId="40">#REF!</definedName>
    <definedName name="_tms136" localSheetId="53">#REF!</definedName>
    <definedName name="_tms136" localSheetId="54">#REF!</definedName>
    <definedName name="_tms136" localSheetId="5">#REF!</definedName>
    <definedName name="_tms136" localSheetId="3">#REF!</definedName>
    <definedName name="_tms136" localSheetId="48">#REF!</definedName>
    <definedName name="_tms136" localSheetId="47">#REF!</definedName>
    <definedName name="_tms136" localSheetId="52">#REF!</definedName>
    <definedName name="_tms136" localSheetId="58">#REF!</definedName>
    <definedName name="_tms136" localSheetId="59">#REF!</definedName>
    <definedName name="_tms136" localSheetId="8">#REF!</definedName>
    <definedName name="_tms136" localSheetId="17">#REF!</definedName>
    <definedName name="_tms136" localSheetId="18">#REF!</definedName>
    <definedName name="_tms136" localSheetId="63">#REF!</definedName>
    <definedName name="_tms136" localSheetId="13">#REF!</definedName>
    <definedName name="_tms136" localSheetId="12">#REF!</definedName>
    <definedName name="_tms136" localSheetId="41">#REF!</definedName>
    <definedName name="_tms136" localSheetId="42">#REF!</definedName>
    <definedName name="_tms136" localSheetId="65">#REF!</definedName>
    <definedName name="_tms136" localSheetId="25">#REF!</definedName>
    <definedName name="_tms136" localSheetId="23">#REF!</definedName>
    <definedName name="_tms136">#REF!</definedName>
    <definedName name="_tms236" localSheetId="30">#REF!</definedName>
    <definedName name="_tms236" localSheetId="29">#REF!</definedName>
    <definedName name="_tms236" localSheetId="35">#REF!</definedName>
    <definedName name="_tms236" localSheetId="34">#REF!</definedName>
    <definedName name="_tms236" localSheetId="66">#REF!</definedName>
    <definedName name="_tms236" localSheetId="22">#REF!</definedName>
    <definedName name="_tms236" localSheetId="24">#REF!</definedName>
    <definedName name="_tms236" localSheetId="39">#REF!</definedName>
    <definedName name="_tms236" localSheetId="40">#REF!</definedName>
    <definedName name="_tms236" localSheetId="53">#REF!</definedName>
    <definedName name="_tms236" localSheetId="54">#REF!</definedName>
    <definedName name="_tms236" localSheetId="5">#REF!</definedName>
    <definedName name="_tms236" localSheetId="3">#REF!</definedName>
    <definedName name="_tms236" localSheetId="48">#REF!</definedName>
    <definedName name="_tms236" localSheetId="47">#REF!</definedName>
    <definedName name="_tms236" localSheetId="52">#REF!</definedName>
    <definedName name="_tms236" localSheetId="58">#REF!</definedName>
    <definedName name="_tms236" localSheetId="59">#REF!</definedName>
    <definedName name="_tms236" localSheetId="8">#REF!</definedName>
    <definedName name="_tms236" localSheetId="17">#REF!</definedName>
    <definedName name="_tms236" localSheetId="18">#REF!</definedName>
    <definedName name="_tms236" localSheetId="63">#REF!</definedName>
    <definedName name="_tms236" localSheetId="13">#REF!</definedName>
    <definedName name="_tms236" localSheetId="12">#REF!</definedName>
    <definedName name="_tms236" localSheetId="41">#REF!</definedName>
    <definedName name="_tms236" localSheetId="42">#REF!</definedName>
    <definedName name="_tms236" localSheetId="65">#REF!</definedName>
    <definedName name="_tms236" localSheetId="25">#REF!</definedName>
    <definedName name="_tms236" localSheetId="23">#REF!</definedName>
    <definedName name="_tms236">#REF!</definedName>
    <definedName name="_tmw065136" localSheetId="30">#REF!</definedName>
    <definedName name="_tmw065136" localSheetId="29">#REF!</definedName>
    <definedName name="_tmw065136" localSheetId="35">#REF!</definedName>
    <definedName name="_tmw065136" localSheetId="34">#REF!</definedName>
    <definedName name="_tmw065136" localSheetId="66">#REF!</definedName>
    <definedName name="_tmw065136" localSheetId="22">#REF!</definedName>
    <definedName name="_tmw065136" localSheetId="24">#REF!</definedName>
    <definedName name="_tmw065136" localSheetId="39">#REF!</definedName>
    <definedName name="_tmw065136" localSheetId="40">#REF!</definedName>
    <definedName name="_tmw065136" localSheetId="53">#REF!</definedName>
    <definedName name="_tmw065136" localSheetId="54">#REF!</definedName>
    <definedName name="_tmw065136" localSheetId="5">#REF!</definedName>
    <definedName name="_tmw065136" localSheetId="3">#REF!</definedName>
    <definedName name="_tmw065136" localSheetId="48">#REF!</definedName>
    <definedName name="_tmw065136" localSheetId="47">#REF!</definedName>
    <definedName name="_tmw065136" localSheetId="52">#REF!</definedName>
    <definedName name="_tmw065136" localSheetId="58">#REF!</definedName>
    <definedName name="_tmw065136" localSheetId="59">#REF!</definedName>
    <definedName name="_tmw065136" localSheetId="8">#REF!</definedName>
    <definedName name="_tmw065136" localSheetId="17">#REF!</definedName>
    <definedName name="_tmw065136" localSheetId="18">#REF!</definedName>
    <definedName name="_tmw065136" localSheetId="63">#REF!</definedName>
    <definedName name="_tmw065136" localSheetId="13">#REF!</definedName>
    <definedName name="_tmw065136" localSheetId="12">#REF!</definedName>
    <definedName name="_tmw065136" localSheetId="41">#REF!</definedName>
    <definedName name="_tmw065136" localSheetId="42">#REF!</definedName>
    <definedName name="_tmw065136" localSheetId="65">#REF!</definedName>
    <definedName name="_tmw065136" localSheetId="25">#REF!</definedName>
    <definedName name="_tmw065136" localSheetId="23">#REF!</definedName>
    <definedName name="_tmw065136">#REF!</definedName>
    <definedName name="ABC" localSheetId="30">#REF!</definedName>
    <definedName name="ABC" localSheetId="29">#REF!</definedName>
    <definedName name="ABC" localSheetId="35">#REF!</definedName>
    <definedName name="ABC" localSheetId="34">#REF!</definedName>
    <definedName name="ABC" localSheetId="66">#REF!</definedName>
    <definedName name="ABC" localSheetId="22">#REF!</definedName>
    <definedName name="ABC" localSheetId="24">#REF!</definedName>
    <definedName name="ABC" localSheetId="39">#REF!</definedName>
    <definedName name="ABC" localSheetId="40">#REF!</definedName>
    <definedName name="ABC" localSheetId="53">#REF!</definedName>
    <definedName name="ABC" localSheetId="54">#REF!</definedName>
    <definedName name="ABC" localSheetId="5">#REF!</definedName>
    <definedName name="ABC" localSheetId="3">#REF!</definedName>
    <definedName name="ABC" localSheetId="48">#REF!</definedName>
    <definedName name="ABC" localSheetId="47">#REF!</definedName>
    <definedName name="ABC" localSheetId="52">#REF!</definedName>
    <definedName name="ABC" localSheetId="58">#REF!</definedName>
    <definedName name="ABC" localSheetId="59">#REF!</definedName>
    <definedName name="ABC" localSheetId="8">#REF!</definedName>
    <definedName name="ABC" localSheetId="17">#REF!</definedName>
    <definedName name="ABC" localSheetId="18">#REF!</definedName>
    <definedName name="ABC" localSheetId="63">#REF!</definedName>
    <definedName name="ABC" localSheetId="13">#REF!</definedName>
    <definedName name="ABC" localSheetId="12">#REF!</definedName>
    <definedName name="ABC" localSheetId="41">#REF!</definedName>
    <definedName name="ABC" localSheetId="42">#REF!</definedName>
    <definedName name="ABC" localSheetId="65">#REF!</definedName>
    <definedName name="ABC" localSheetId="25">#REF!</definedName>
    <definedName name="ABC" localSheetId="23">#REF!</definedName>
    <definedName name="ABC">#REF!</definedName>
    <definedName name="abel" localSheetId="30">#REF!</definedName>
    <definedName name="abel" localSheetId="29">#REF!</definedName>
    <definedName name="abel" localSheetId="35">#REF!</definedName>
    <definedName name="abel" localSheetId="34">#REF!</definedName>
    <definedName name="abel" localSheetId="66">#REF!</definedName>
    <definedName name="abel" localSheetId="22">#REF!</definedName>
    <definedName name="abel" localSheetId="24">#REF!</definedName>
    <definedName name="abel" localSheetId="39">#REF!</definedName>
    <definedName name="abel" localSheetId="40">#REF!</definedName>
    <definedName name="abel" localSheetId="53">#REF!</definedName>
    <definedName name="abel" localSheetId="54">#REF!</definedName>
    <definedName name="abel" localSheetId="5">#REF!</definedName>
    <definedName name="abel" localSheetId="3">#REF!</definedName>
    <definedName name="abel" localSheetId="48">#REF!</definedName>
    <definedName name="abel" localSheetId="47">#REF!</definedName>
    <definedName name="abel" localSheetId="52">#REF!</definedName>
    <definedName name="abel" localSheetId="58">#REF!</definedName>
    <definedName name="abel" localSheetId="59">#REF!</definedName>
    <definedName name="abel" localSheetId="8">#REF!</definedName>
    <definedName name="abel" localSheetId="17">#REF!</definedName>
    <definedName name="abel" localSheetId="18">#REF!</definedName>
    <definedName name="abel" localSheetId="63">#REF!</definedName>
    <definedName name="abel" localSheetId="13">#REF!</definedName>
    <definedName name="abel" localSheetId="12">#REF!</definedName>
    <definedName name="abel" localSheetId="41">#REF!</definedName>
    <definedName name="abel" localSheetId="42">#REF!</definedName>
    <definedName name="abel" localSheetId="65">#REF!</definedName>
    <definedName name="abel" localSheetId="25">#REF!</definedName>
    <definedName name="abel" localSheetId="23">#REF!</definedName>
    <definedName name="abel">#REF!</definedName>
    <definedName name="acb10a1p" localSheetId="30">#REF!</definedName>
    <definedName name="acb10a1p" localSheetId="29">#REF!</definedName>
    <definedName name="acb10a1p" localSheetId="35">#REF!</definedName>
    <definedName name="acb10a1p" localSheetId="34">#REF!</definedName>
    <definedName name="acb10a1p" localSheetId="66">#REF!</definedName>
    <definedName name="acb10a1p" localSheetId="22">#REF!</definedName>
    <definedName name="acb10a1p" localSheetId="24">#REF!</definedName>
    <definedName name="acb10a1p" localSheetId="39">#REF!</definedName>
    <definedName name="acb10a1p" localSheetId="40">#REF!</definedName>
    <definedName name="acb10a1p" localSheetId="53">#REF!</definedName>
    <definedName name="acb10a1p" localSheetId="54">#REF!</definedName>
    <definedName name="acb10a1p" localSheetId="5">#REF!</definedName>
    <definedName name="acb10a1p" localSheetId="3">#REF!</definedName>
    <definedName name="acb10a1p" localSheetId="48">#REF!</definedName>
    <definedName name="acb10a1p" localSheetId="47">#REF!</definedName>
    <definedName name="acb10a1p" localSheetId="52">#REF!</definedName>
    <definedName name="acb10a1p" localSheetId="58">#REF!</definedName>
    <definedName name="acb10a1p" localSheetId="59">#REF!</definedName>
    <definedName name="acb10a1p" localSheetId="8">#REF!</definedName>
    <definedName name="acb10a1p" localSheetId="17">#REF!</definedName>
    <definedName name="acb10a1p" localSheetId="18">#REF!</definedName>
    <definedName name="acb10a1p" localSheetId="63">#REF!</definedName>
    <definedName name="acb10a1p" localSheetId="13">#REF!</definedName>
    <definedName name="acb10a1p" localSheetId="12">#REF!</definedName>
    <definedName name="acb10a1p" localSheetId="41">#REF!</definedName>
    <definedName name="acb10a1p" localSheetId="42">#REF!</definedName>
    <definedName name="acb10a1p" localSheetId="65">#REF!</definedName>
    <definedName name="acb10a1p" localSheetId="25">#REF!</definedName>
    <definedName name="acb10a1p" localSheetId="23">#REF!</definedName>
    <definedName name="acb10a1p">#REF!</definedName>
    <definedName name="acb10a3p" localSheetId="30">#REF!</definedName>
    <definedName name="acb10a3p" localSheetId="29">#REF!</definedName>
    <definedName name="acb10a3p" localSheetId="35">#REF!</definedName>
    <definedName name="acb10a3p" localSheetId="34">#REF!</definedName>
    <definedName name="acb10a3p" localSheetId="66">#REF!</definedName>
    <definedName name="acb10a3p" localSheetId="22">#REF!</definedName>
    <definedName name="acb10a3p" localSheetId="24">#REF!</definedName>
    <definedName name="acb10a3p" localSheetId="39">#REF!</definedName>
    <definedName name="acb10a3p" localSheetId="40">#REF!</definedName>
    <definedName name="acb10a3p" localSheetId="53">#REF!</definedName>
    <definedName name="acb10a3p" localSheetId="54">#REF!</definedName>
    <definedName name="acb10a3p" localSheetId="5">#REF!</definedName>
    <definedName name="acb10a3p" localSheetId="3">#REF!</definedName>
    <definedName name="acb10a3p" localSheetId="48">#REF!</definedName>
    <definedName name="acb10a3p" localSheetId="47">#REF!</definedName>
    <definedName name="acb10a3p" localSheetId="52">#REF!</definedName>
    <definedName name="acb10a3p" localSheetId="58">#REF!</definedName>
    <definedName name="acb10a3p" localSheetId="59">#REF!</definedName>
    <definedName name="acb10a3p" localSheetId="8">#REF!</definedName>
    <definedName name="acb10a3p" localSheetId="17">#REF!</definedName>
    <definedName name="acb10a3p" localSheetId="18">#REF!</definedName>
    <definedName name="acb10a3p" localSheetId="63">#REF!</definedName>
    <definedName name="acb10a3p" localSheetId="13">#REF!</definedName>
    <definedName name="acb10a3p" localSheetId="12">#REF!</definedName>
    <definedName name="acb10a3p" localSheetId="41">#REF!</definedName>
    <definedName name="acb10a3p" localSheetId="42">#REF!</definedName>
    <definedName name="acb10a3p" localSheetId="65">#REF!</definedName>
    <definedName name="acb10a3p" localSheetId="25">#REF!</definedName>
    <definedName name="acb10a3p" localSheetId="23">#REF!</definedName>
    <definedName name="acb10a3p">#REF!</definedName>
    <definedName name="acb16a1p" localSheetId="30">#REF!</definedName>
    <definedName name="acb16a1p" localSheetId="29">#REF!</definedName>
    <definedName name="acb16a1p" localSheetId="35">#REF!</definedName>
    <definedName name="acb16a1p" localSheetId="34">#REF!</definedName>
    <definedName name="acb16a1p" localSheetId="66">#REF!</definedName>
    <definedName name="acb16a1p" localSheetId="22">#REF!</definedName>
    <definedName name="acb16a1p" localSheetId="24">#REF!</definedName>
    <definedName name="acb16a1p" localSheetId="39">#REF!</definedName>
    <definedName name="acb16a1p" localSheetId="40">#REF!</definedName>
    <definedName name="acb16a1p" localSheetId="53">#REF!</definedName>
    <definedName name="acb16a1p" localSheetId="54">#REF!</definedName>
    <definedName name="acb16a1p" localSheetId="5">#REF!</definedName>
    <definedName name="acb16a1p" localSheetId="3">#REF!</definedName>
    <definedName name="acb16a1p" localSheetId="48">#REF!</definedName>
    <definedName name="acb16a1p" localSheetId="47">#REF!</definedName>
    <definedName name="acb16a1p" localSheetId="52">#REF!</definedName>
    <definedName name="acb16a1p" localSheetId="58">#REF!</definedName>
    <definedName name="acb16a1p" localSheetId="59">#REF!</definedName>
    <definedName name="acb16a1p" localSheetId="8">#REF!</definedName>
    <definedName name="acb16a1p" localSheetId="17">#REF!</definedName>
    <definedName name="acb16a1p" localSheetId="18">#REF!</definedName>
    <definedName name="acb16a1p" localSheetId="63">#REF!</definedName>
    <definedName name="acb16a1p" localSheetId="13">#REF!</definedName>
    <definedName name="acb16a1p" localSheetId="12">#REF!</definedName>
    <definedName name="acb16a1p" localSheetId="41">#REF!</definedName>
    <definedName name="acb16a1p" localSheetId="42">#REF!</definedName>
    <definedName name="acb16a1p" localSheetId="65">#REF!</definedName>
    <definedName name="acb16a1p" localSheetId="25">#REF!</definedName>
    <definedName name="acb16a1p" localSheetId="23">#REF!</definedName>
    <definedName name="acb16a1p">#REF!</definedName>
    <definedName name="acb16a3p" localSheetId="30">#REF!</definedName>
    <definedName name="acb16a3p" localSheetId="29">#REF!</definedName>
    <definedName name="acb16a3p" localSheetId="35">#REF!</definedName>
    <definedName name="acb16a3p" localSheetId="34">#REF!</definedName>
    <definedName name="acb16a3p" localSheetId="66">#REF!</definedName>
    <definedName name="acb16a3p" localSheetId="22">#REF!</definedName>
    <definedName name="acb16a3p" localSheetId="24">#REF!</definedName>
    <definedName name="acb16a3p" localSheetId="39">#REF!</definedName>
    <definedName name="acb16a3p" localSheetId="40">#REF!</definedName>
    <definedName name="acb16a3p" localSheetId="53">#REF!</definedName>
    <definedName name="acb16a3p" localSheetId="54">#REF!</definedName>
    <definedName name="acb16a3p" localSheetId="5">#REF!</definedName>
    <definedName name="acb16a3p" localSheetId="3">#REF!</definedName>
    <definedName name="acb16a3p" localSheetId="48">#REF!</definedName>
    <definedName name="acb16a3p" localSheetId="47">#REF!</definedName>
    <definedName name="acb16a3p" localSheetId="52">#REF!</definedName>
    <definedName name="acb16a3p" localSheetId="58">#REF!</definedName>
    <definedName name="acb16a3p" localSheetId="59">#REF!</definedName>
    <definedName name="acb16a3p" localSheetId="8">#REF!</definedName>
    <definedName name="acb16a3p" localSheetId="17">#REF!</definedName>
    <definedName name="acb16a3p" localSheetId="18">#REF!</definedName>
    <definedName name="acb16a3p" localSheetId="63">#REF!</definedName>
    <definedName name="acb16a3p" localSheetId="13">#REF!</definedName>
    <definedName name="acb16a3p" localSheetId="12">#REF!</definedName>
    <definedName name="acb16a3p" localSheetId="41">#REF!</definedName>
    <definedName name="acb16a3p" localSheetId="42">#REF!</definedName>
    <definedName name="acb16a3p" localSheetId="65">#REF!</definedName>
    <definedName name="acb16a3p" localSheetId="25">#REF!</definedName>
    <definedName name="acb16a3p" localSheetId="23">#REF!</definedName>
    <definedName name="acb16a3p">#REF!</definedName>
    <definedName name="acb20a1p" localSheetId="30">#REF!</definedName>
    <definedName name="acb20a1p" localSheetId="29">#REF!</definedName>
    <definedName name="acb20a1p" localSheetId="35">#REF!</definedName>
    <definedName name="acb20a1p" localSheetId="34">#REF!</definedName>
    <definedName name="acb20a1p" localSheetId="66">#REF!</definedName>
    <definedName name="acb20a1p" localSheetId="22">#REF!</definedName>
    <definedName name="acb20a1p" localSheetId="24">#REF!</definedName>
    <definedName name="acb20a1p" localSheetId="39">#REF!</definedName>
    <definedName name="acb20a1p" localSheetId="40">#REF!</definedName>
    <definedName name="acb20a1p" localSheetId="53">#REF!</definedName>
    <definedName name="acb20a1p" localSheetId="54">#REF!</definedName>
    <definedName name="acb20a1p" localSheetId="5">#REF!</definedName>
    <definedName name="acb20a1p" localSheetId="3">#REF!</definedName>
    <definedName name="acb20a1p" localSheetId="48">#REF!</definedName>
    <definedName name="acb20a1p" localSheetId="47">#REF!</definedName>
    <definedName name="acb20a1p" localSheetId="52">#REF!</definedName>
    <definedName name="acb20a1p" localSheetId="58">#REF!</definedName>
    <definedName name="acb20a1p" localSheetId="59">#REF!</definedName>
    <definedName name="acb20a1p" localSheetId="8">#REF!</definedName>
    <definedName name="acb20a1p" localSheetId="17">#REF!</definedName>
    <definedName name="acb20a1p" localSheetId="18">#REF!</definedName>
    <definedName name="acb20a1p" localSheetId="63">#REF!</definedName>
    <definedName name="acb20a1p" localSheetId="13">#REF!</definedName>
    <definedName name="acb20a1p" localSheetId="12">#REF!</definedName>
    <definedName name="acb20a1p" localSheetId="41">#REF!</definedName>
    <definedName name="acb20a1p" localSheetId="42">#REF!</definedName>
    <definedName name="acb20a1p" localSheetId="65">#REF!</definedName>
    <definedName name="acb20a1p" localSheetId="25">#REF!</definedName>
    <definedName name="acb20a1p" localSheetId="23">#REF!</definedName>
    <definedName name="acb20a1p">#REF!</definedName>
    <definedName name="acb20a3p" localSheetId="30">#REF!</definedName>
    <definedName name="acb20a3p" localSheetId="29">#REF!</definedName>
    <definedName name="acb20a3p" localSheetId="35">#REF!</definedName>
    <definedName name="acb20a3p" localSheetId="34">#REF!</definedName>
    <definedName name="acb20a3p" localSheetId="66">#REF!</definedName>
    <definedName name="acb20a3p" localSheetId="22">#REF!</definedName>
    <definedName name="acb20a3p" localSheetId="24">#REF!</definedName>
    <definedName name="acb20a3p" localSheetId="39">#REF!</definedName>
    <definedName name="acb20a3p" localSheetId="40">#REF!</definedName>
    <definedName name="acb20a3p" localSheetId="53">#REF!</definedName>
    <definedName name="acb20a3p" localSheetId="54">#REF!</definedName>
    <definedName name="acb20a3p" localSheetId="5">#REF!</definedName>
    <definedName name="acb20a3p" localSheetId="3">#REF!</definedName>
    <definedName name="acb20a3p" localSheetId="48">#REF!</definedName>
    <definedName name="acb20a3p" localSheetId="47">#REF!</definedName>
    <definedName name="acb20a3p" localSheetId="52">#REF!</definedName>
    <definedName name="acb20a3p" localSheetId="58">#REF!</definedName>
    <definedName name="acb20a3p" localSheetId="59">#REF!</definedName>
    <definedName name="acb20a3p" localSheetId="8">#REF!</definedName>
    <definedName name="acb20a3p" localSheetId="17">#REF!</definedName>
    <definedName name="acb20a3p" localSheetId="18">#REF!</definedName>
    <definedName name="acb20a3p" localSheetId="63">#REF!</definedName>
    <definedName name="acb20a3p" localSheetId="13">#REF!</definedName>
    <definedName name="acb20a3p" localSheetId="12">#REF!</definedName>
    <definedName name="acb20a3p" localSheetId="41">#REF!</definedName>
    <definedName name="acb20a3p" localSheetId="42">#REF!</definedName>
    <definedName name="acb20a3p" localSheetId="65">#REF!</definedName>
    <definedName name="acb20a3p" localSheetId="25">#REF!</definedName>
    <definedName name="acb20a3p" localSheetId="23">#REF!</definedName>
    <definedName name="acb20a3p">#REF!</definedName>
    <definedName name="acb25a1p" localSheetId="30">#REF!</definedName>
    <definedName name="acb25a1p" localSheetId="29">#REF!</definedName>
    <definedName name="acb25a1p" localSheetId="35">#REF!</definedName>
    <definedName name="acb25a1p" localSheetId="34">#REF!</definedName>
    <definedName name="acb25a1p" localSheetId="66">#REF!</definedName>
    <definedName name="acb25a1p" localSheetId="22">#REF!</definedName>
    <definedName name="acb25a1p" localSheetId="24">#REF!</definedName>
    <definedName name="acb25a1p" localSheetId="39">#REF!</definedName>
    <definedName name="acb25a1p" localSheetId="40">#REF!</definedName>
    <definedName name="acb25a1p" localSheetId="53">#REF!</definedName>
    <definedName name="acb25a1p" localSheetId="54">#REF!</definedName>
    <definedName name="acb25a1p" localSheetId="5">#REF!</definedName>
    <definedName name="acb25a1p" localSheetId="3">#REF!</definedName>
    <definedName name="acb25a1p" localSheetId="48">#REF!</definedName>
    <definedName name="acb25a1p" localSheetId="47">#REF!</definedName>
    <definedName name="acb25a1p" localSheetId="52">#REF!</definedName>
    <definedName name="acb25a1p" localSheetId="58">#REF!</definedName>
    <definedName name="acb25a1p" localSheetId="59">#REF!</definedName>
    <definedName name="acb25a1p" localSheetId="8">#REF!</definedName>
    <definedName name="acb25a1p" localSheetId="17">#REF!</definedName>
    <definedName name="acb25a1p" localSheetId="18">#REF!</definedName>
    <definedName name="acb25a1p" localSheetId="63">#REF!</definedName>
    <definedName name="acb25a1p" localSheetId="13">#REF!</definedName>
    <definedName name="acb25a1p" localSheetId="12">#REF!</definedName>
    <definedName name="acb25a1p" localSheetId="41">#REF!</definedName>
    <definedName name="acb25a1p" localSheetId="42">#REF!</definedName>
    <definedName name="acb25a1p" localSheetId="65">#REF!</definedName>
    <definedName name="acb25a1p" localSheetId="25">#REF!</definedName>
    <definedName name="acb25a1p" localSheetId="23">#REF!</definedName>
    <definedName name="acb25a1p">#REF!</definedName>
    <definedName name="acb25a3p" localSheetId="30">#REF!</definedName>
    <definedName name="acb25a3p" localSheetId="29">#REF!</definedName>
    <definedName name="acb25a3p" localSheetId="35">#REF!</definedName>
    <definedName name="acb25a3p" localSheetId="34">#REF!</definedName>
    <definedName name="acb25a3p" localSheetId="66">#REF!</definedName>
    <definedName name="acb25a3p" localSheetId="22">#REF!</definedName>
    <definedName name="acb25a3p" localSheetId="24">#REF!</definedName>
    <definedName name="acb25a3p" localSheetId="39">#REF!</definedName>
    <definedName name="acb25a3p" localSheetId="40">#REF!</definedName>
    <definedName name="acb25a3p" localSheetId="53">#REF!</definedName>
    <definedName name="acb25a3p" localSheetId="54">#REF!</definedName>
    <definedName name="acb25a3p" localSheetId="5">#REF!</definedName>
    <definedName name="acb25a3p" localSheetId="3">#REF!</definedName>
    <definedName name="acb25a3p" localSheetId="48">#REF!</definedName>
    <definedName name="acb25a3p" localSheetId="47">#REF!</definedName>
    <definedName name="acb25a3p" localSheetId="52">#REF!</definedName>
    <definedName name="acb25a3p" localSheetId="58">#REF!</definedName>
    <definedName name="acb25a3p" localSheetId="59">#REF!</definedName>
    <definedName name="acb25a3p" localSheetId="8">#REF!</definedName>
    <definedName name="acb25a3p" localSheetId="17">#REF!</definedName>
    <definedName name="acb25a3p" localSheetId="18">#REF!</definedName>
    <definedName name="acb25a3p" localSheetId="63">#REF!</definedName>
    <definedName name="acb25a3p" localSheetId="13">#REF!</definedName>
    <definedName name="acb25a3p" localSheetId="12">#REF!</definedName>
    <definedName name="acb25a3p" localSheetId="41">#REF!</definedName>
    <definedName name="acb25a3p" localSheetId="42">#REF!</definedName>
    <definedName name="acb25a3p" localSheetId="65">#REF!</definedName>
    <definedName name="acb25a3p" localSheetId="25">#REF!</definedName>
    <definedName name="acb25a3p" localSheetId="23">#REF!</definedName>
    <definedName name="acb25a3p">#REF!</definedName>
    <definedName name="acb2a1p" localSheetId="30">#REF!</definedName>
    <definedName name="acb2a1p" localSheetId="29">#REF!</definedName>
    <definedName name="acb2a1p" localSheetId="35">#REF!</definedName>
    <definedName name="acb2a1p" localSheetId="34">#REF!</definedName>
    <definedName name="acb2a1p" localSheetId="66">#REF!</definedName>
    <definedName name="acb2a1p" localSheetId="22">#REF!</definedName>
    <definedName name="acb2a1p" localSheetId="24">#REF!</definedName>
    <definedName name="acb2a1p" localSheetId="39">#REF!</definedName>
    <definedName name="acb2a1p" localSheetId="40">#REF!</definedName>
    <definedName name="acb2a1p" localSheetId="53">#REF!</definedName>
    <definedName name="acb2a1p" localSheetId="54">#REF!</definedName>
    <definedName name="acb2a1p" localSheetId="5">#REF!</definedName>
    <definedName name="acb2a1p" localSheetId="3">#REF!</definedName>
    <definedName name="acb2a1p" localSheetId="48">#REF!</definedName>
    <definedName name="acb2a1p" localSheetId="47">#REF!</definedName>
    <definedName name="acb2a1p" localSheetId="52">#REF!</definedName>
    <definedName name="acb2a1p" localSheetId="58">#REF!</definedName>
    <definedName name="acb2a1p" localSheetId="59">#REF!</definedName>
    <definedName name="acb2a1p" localSheetId="8">#REF!</definedName>
    <definedName name="acb2a1p" localSheetId="17">#REF!</definedName>
    <definedName name="acb2a1p" localSheetId="18">#REF!</definedName>
    <definedName name="acb2a1p" localSheetId="63">#REF!</definedName>
    <definedName name="acb2a1p" localSheetId="13">#REF!</definedName>
    <definedName name="acb2a1p" localSheetId="12">#REF!</definedName>
    <definedName name="acb2a1p" localSheetId="41">#REF!</definedName>
    <definedName name="acb2a1p" localSheetId="42">#REF!</definedName>
    <definedName name="acb2a1p" localSheetId="65">#REF!</definedName>
    <definedName name="acb2a1p" localSheetId="25">#REF!</definedName>
    <definedName name="acb2a1p" localSheetId="23">#REF!</definedName>
    <definedName name="acb2a1p">#REF!</definedName>
    <definedName name="acb32a1p" localSheetId="30">#REF!</definedName>
    <definedName name="acb32a1p" localSheetId="29">#REF!</definedName>
    <definedName name="acb32a1p" localSheetId="35">#REF!</definedName>
    <definedName name="acb32a1p" localSheetId="34">#REF!</definedName>
    <definedName name="acb32a1p" localSheetId="66">#REF!</definedName>
    <definedName name="acb32a1p" localSheetId="22">#REF!</definedName>
    <definedName name="acb32a1p" localSheetId="24">#REF!</definedName>
    <definedName name="acb32a1p" localSheetId="39">#REF!</definedName>
    <definedName name="acb32a1p" localSheetId="40">#REF!</definedName>
    <definedName name="acb32a1p" localSheetId="53">#REF!</definedName>
    <definedName name="acb32a1p" localSheetId="54">#REF!</definedName>
    <definedName name="acb32a1p" localSheetId="5">#REF!</definedName>
    <definedName name="acb32a1p" localSheetId="3">#REF!</definedName>
    <definedName name="acb32a1p" localSheetId="48">#REF!</definedName>
    <definedName name="acb32a1p" localSheetId="47">#REF!</definedName>
    <definedName name="acb32a1p" localSheetId="52">#REF!</definedName>
    <definedName name="acb32a1p" localSheetId="58">#REF!</definedName>
    <definedName name="acb32a1p" localSheetId="59">#REF!</definedName>
    <definedName name="acb32a1p" localSheetId="8">#REF!</definedName>
    <definedName name="acb32a1p" localSheetId="17">#REF!</definedName>
    <definedName name="acb32a1p" localSheetId="18">#REF!</definedName>
    <definedName name="acb32a1p" localSheetId="63">#REF!</definedName>
    <definedName name="acb32a1p" localSheetId="13">#REF!</definedName>
    <definedName name="acb32a1p" localSheetId="12">#REF!</definedName>
    <definedName name="acb32a1p" localSheetId="41">#REF!</definedName>
    <definedName name="acb32a1p" localSheetId="42">#REF!</definedName>
    <definedName name="acb32a1p" localSheetId="65">#REF!</definedName>
    <definedName name="acb32a1p" localSheetId="25">#REF!</definedName>
    <definedName name="acb32a1p" localSheetId="23">#REF!</definedName>
    <definedName name="acb32a1p">#REF!</definedName>
    <definedName name="acb32a3p" localSheetId="30">#REF!</definedName>
    <definedName name="acb32a3p" localSheetId="29">#REF!</definedName>
    <definedName name="acb32a3p" localSheetId="35">#REF!</definedName>
    <definedName name="acb32a3p" localSheetId="34">#REF!</definedName>
    <definedName name="acb32a3p" localSheetId="66">#REF!</definedName>
    <definedName name="acb32a3p" localSheetId="22">#REF!</definedName>
    <definedName name="acb32a3p" localSheetId="24">#REF!</definedName>
    <definedName name="acb32a3p" localSheetId="39">#REF!</definedName>
    <definedName name="acb32a3p" localSheetId="40">#REF!</definedName>
    <definedName name="acb32a3p" localSheetId="53">#REF!</definedName>
    <definedName name="acb32a3p" localSheetId="54">#REF!</definedName>
    <definedName name="acb32a3p" localSheetId="5">#REF!</definedName>
    <definedName name="acb32a3p" localSheetId="3">#REF!</definedName>
    <definedName name="acb32a3p" localSheetId="48">#REF!</definedName>
    <definedName name="acb32a3p" localSheetId="47">#REF!</definedName>
    <definedName name="acb32a3p" localSheetId="52">#REF!</definedName>
    <definedName name="acb32a3p" localSheetId="58">#REF!</definedName>
    <definedName name="acb32a3p" localSheetId="59">#REF!</definedName>
    <definedName name="acb32a3p" localSheetId="8">#REF!</definedName>
    <definedName name="acb32a3p" localSheetId="17">#REF!</definedName>
    <definedName name="acb32a3p" localSheetId="18">#REF!</definedName>
    <definedName name="acb32a3p" localSheetId="63">#REF!</definedName>
    <definedName name="acb32a3p" localSheetId="13">#REF!</definedName>
    <definedName name="acb32a3p" localSheetId="12">#REF!</definedName>
    <definedName name="acb32a3p" localSheetId="41">#REF!</definedName>
    <definedName name="acb32a3p" localSheetId="42">#REF!</definedName>
    <definedName name="acb32a3p" localSheetId="65">#REF!</definedName>
    <definedName name="acb32a3p" localSheetId="25">#REF!</definedName>
    <definedName name="acb32a3p" localSheetId="23">#REF!</definedName>
    <definedName name="acb32a3p">#REF!</definedName>
    <definedName name="acb40a1p" localSheetId="30">#REF!</definedName>
    <definedName name="acb40a1p" localSheetId="29">#REF!</definedName>
    <definedName name="acb40a1p" localSheetId="35">#REF!</definedName>
    <definedName name="acb40a1p" localSheetId="34">#REF!</definedName>
    <definedName name="acb40a1p" localSheetId="66">#REF!</definedName>
    <definedName name="acb40a1p" localSheetId="22">#REF!</definedName>
    <definedName name="acb40a1p" localSheetId="24">#REF!</definedName>
    <definedName name="acb40a1p" localSheetId="39">#REF!</definedName>
    <definedName name="acb40a1p" localSheetId="40">#REF!</definedName>
    <definedName name="acb40a1p" localSheetId="53">#REF!</definedName>
    <definedName name="acb40a1p" localSheetId="54">#REF!</definedName>
    <definedName name="acb40a1p" localSheetId="5">#REF!</definedName>
    <definedName name="acb40a1p" localSheetId="3">#REF!</definedName>
    <definedName name="acb40a1p" localSheetId="48">#REF!</definedName>
    <definedName name="acb40a1p" localSheetId="47">#REF!</definedName>
    <definedName name="acb40a1p" localSheetId="52">#REF!</definedName>
    <definedName name="acb40a1p" localSheetId="58">#REF!</definedName>
    <definedName name="acb40a1p" localSheetId="59">#REF!</definedName>
    <definedName name="acb40a1p" localSheetId="8">#REF!</definedName>
    <definedName name="acb40a1p" localSheetId="17">#REF!</definedName>
    <definedName name="acb40a1p" localSheetId="18">#REF!</definedName>
    <definedName name="acb40a1p" localSheetId="63">#REF!</definedName>
    <definedName name="acb40a1p" localSheetId="13">#REF!</definedName>
    <definedName name="acb40a1p" localSheetId="12">#REF!</definedName>
    <definedName name="acb40a1p" localSheetId="41">#REF!</definedName>
    <definedName name="acb40a1p" localSheetId="42">#REF!</definedName>
    <definedName name="acb40a1p" localSheetId="65">#REF!</definedName>
    <definedName name="acb40a1p" localSheetId="25">#REF!</definedName>
    <definedName name="acb40a1p" localSheetId="23">#REF!</definedName>
    <definedName name="acb40a1p">#REF!</definedName>
    <definedName name="acb40a3p" localSheetId="30">#REF!</definedName>
    <definedName name="acb40a3p" localSheetId="29">#REF!</definedName>
    <definedName name="acb40a3p" localSheetId="35">#REF!</definedName>
    <definedName name="acb40a3p" localSheetId="34">#REF!</definedName>
    <definedName name="acb40a3p" localSheetId="66">#REF!</definedName>
    <definedName name="acb40a3p" localSheetId="22">#REF!</definedName>
    <definedName name="acb40a3p" localSheetId="24">#REF!</definedName>
    <definedName name="acb40a3p" localSheetId="39">#REF!</definedName>
    <definedName name="acb40a3p" localSheetId="40">#REF!</definedName>
    <definedName name="acb40a3p" localSheetId="53">#REF!</definedName>
    <definedName name="acb40a3p" localSheetId="54">#REF!</definedName>
    <definedName name="acb40a3p" localSheetId="5">#REF!</definedName>
    <definedName name="acb40a3p" localSheetId="3">#REF!</definedName>
    <definedName name="acb40a3p" localSheetId="48">#REF!</definedName>
    <definedName name="acb40a3p" localSheetId="47">#REF!</definedName>
    <definedName name="acb40a3p" localSheetId="52">#REF!</definedName>
    <definedName name="acb40a3p" localSheetId="58">#REF!</definedName>
    <definedName name="acb40a3p" localSheetId="59">#REF!</definedName>
    <definedName name="acb40a3p" localSheetId="8">#REF!</definedName>
    <definedName name="acb40a3p" localSheetId="17">#REF!</definedName>
    <definedName name="acb40a3p" localSheetId="18">#REF!</definedName>
    <definedName name="acb40a3p" localSheetId="63">#REF!</definedName>
    <definedName name="acb40a3p" localSheetId="13">#REF!</definedName>
    <definedName name="acb40a3p" localSheetId="12">#REF!</definedName>
    <definedName name="acb40a3p" localSheetId="41">#REF!</definedName>
    <definedName name="acb40a3p" localSheetId="42">#REF!</definedName>
    <definedName name="acb40a3p" localSheetId="65">#REF!</definedName>
    <definedName name="acb40a3p" localSheetId="25">#REF!</definedName>
    <definedName name="acb40a3p" localSheetId="23">#REF!</definedName>
    <definedName name="acb40a3p">#REF!</definedName>
    <definedName name="acb50a1p" localSheetId="30">#REF!</definedName>
    <definedName name="acb50a1p" localSheetId="29">#REF!</definedName>
    <definedName name="acb50a1p" localSheetId="35">#REF!</definedName>
    <definedName name="acb50a1p" localSheetId="34">#REF!</definedName>
    <definedName name="acb50a1p" localSheetId="66">#REF!</definedName>
    <definedName name="acb50a1p" localSheetId="22">#REF!</definedName>
    <definedName name="acb50a1p" localSheetId="24">#REF!</definedName>
    <definedName name="acb50a1p" localSheetId="39">#REF!</definedName>
    <definedName name="acb50a1p" localSheetId="40">#REF!</definedName>
    <definedName name="acb50a1p" localSheetId="53">#REF!</definedName>
    <definedName name="acb50a1p" localSheetId="54">#REF!</definedName>
    <definedName name="acb50a1p" localSheetId="5">#REF!</definedName>
    <definedName name="acb50a1p" localSheetId="3">#REF!</definedName>
    <definedName name="acb50a1p" localSheetId="48">#REF!</definedName>
    <definedName name="acb50a1p" localSheetId="47">#REF!</definedName>
    <definedName name="acb50a1p" localSheetId="52">#REF!</definedName>
    <definedName name="acb50a1p" localSheetId="58">#REF!</definedName>
    <definedName name="acb50a1p" localSheetId="59">#REF!</definedName>
    <definedName name="acb50a1p" localSheetId="8">#REF!</definedName>
    <definedName name="acb50a1p" localSheetId="17">#REF!</definedName>
    <definedName name="acb50a1p" localSheetId="18">#REF!</definedName>
    <definedName name="acb50a1p" localSheetId="63">#REF!</definedName>
    <definedName name="acb50a1p" localSheetId="13">#REF!</definedName>
    <definedName name="acb50a1p" localSheetId="12">#REF!</definedName>
    <definedName name="acb50a1p" localSheetId="41">#REF!</definedName>
    <definedName name="acb50a1p" localSheetId="42">#REF!</definedName>
    <definedName name="acb50a1p" localSheetId="65">#REF!</definedName>
    <definedName name="acb50a1p" localSheetId="25">#REF!</definedName>
    <definedName name="acb50a1p" localSheetId="23">#REF!</definedName>
    <definedName name="acb50a1p">#REF!</definedName>
    <definedName name="acb50a3p" localSheetId="30">#REF!</definedName>
    <definedName name="acb50a3p" localSheetId="29">#REF!</definedName>
    <definedName name="acb50a3p" localSheetId="35">#REF!</definedName>
    <definedName name="acb50a3p" localSheetId="34">#REF!</definedName>
    <definedName name="acb50a3p" localSheetId="66">#REF!</definedName>
    <definedName name="acb50a3p" localSheetId="22">#REF!</definedName>
    <definedName name="acb50a3p" localSheetId="24">#REF!</definedName>
    <definedName name="acb50a3p" localSheetId="39">#REF!</definedName>
    <definedName name="acb50a3p" localSheetId="40">#REF!</definedName>
    <definedName name="acb50a3p" localSheetId="53">#REF!</definedName>
    <definedName name="acb50a3p" localSheetId="54">#REF!</definedName>
    <definedName name="acb50a3p" localSheetId="5">#REF!</definedName>
    <definedName name="acb50a3p" localSheetId="3">#REF!</definedName>
    <definedName name="acb50a3p" localSheetId="48">#REF!</definedName>
    <definedName name="acb50a3p" localSheetId="47">#REF!</definedName>
    <definedName name="acb50a3p" localSheetId="52">#REF!</definedName>
    <definedName name="acb50a3p" localSheetId="58">#REF!</definedName>
    <definedName name="acb50a3p" localSheetId="59">#REF!</definedName>
    <definedName name="acb50a3p" localSheetId="8">#REF!</definedName>
    <definedName name="acb50a3p" localSheetId="17">#REF!</definedName>
    <definedName name="acb50a3p" localSheetId="18">#REF!</definedName>
    <definedName name="acb50a3p" localSheetId="63">#REF!</definedName>
    <definedName name="acb50a3p" localSheetId="13">#REF!</definedName>
    <definedName name="acb50a3p" localSheetId="12">#REF!</definedName>
    <definedName name="acb50a3p" localSheetId="41">#REF!</definedName>
    <definedName name="acb50a3p" localSheetId="42">#REF!</definedName>
    <definedName name="acb50a3p" localSheetId="65">#REF!</definedName>
    <definedName name="acb50a3p" localSheetId="25">#REF!</definedName>
    <definedName name="acb50a3p" localSheetId="23">#REF!</definedName>
    <definedName name="acb50a3p">#REF!</definedName>
    <definedName name="acb63a1p" localSheetId="30">#REF!</definedName>
    <definedName name="acb63a1p" localSheetId="29">#REF!</definedName>
    <definedName name="acb63a1p" localSheetId="35">#REF!</definedName>
    <definedName name="acb63a1p" localSheetId="34">#REF!</definedName>
    <definedName name="acb63a1p" localSheetId="66">#REF!</definedName>
    <definedName name="acb63a1p" localSheetId="22">#REF!</definedName>
    <definedName name="acb63a1p" localSheetId="24">#REF!</definedName>
    <definedName name="acb63a1p" localSheetId="39">#REF!</definedName>
    <definedName name="acb63a1p" localSheetId="40">#REF!</definedName>
    <definedName name="acb63a1p" localSheetId="53">#REF!</definedName>
    <definedName name="acb63a1p" localSheetId="54">#REF!</definedName>
    <definedName name="acb63a1p" localSheetId="5">#REF!</definedName>
    <definedName name="acb63a1p" localSheetId="3">#REF!</definedName>
    <definedName name="acb63a1p" localSheetId="48">#REF!</definedName>
    <definedName name="acb63a1p" localSheetId="47">#REF!</definedName>
    <definedName name="acb63a1p" localSheetId="52">#REF!</definedName>
    <definedName name="acb63a1p" localSheetId="58">#REF!</definedName>
    <definedName name="acb63a1p" localSheetId="59">#REF!</definedName>
    <definedName name="acb63a1p" localSheetId="8">#REF!</definedName>
    <definedName name="acb63a1p" localSheetId="17">#REF!</definedName>
    <definedName name="acb63a1p" localSheetId="18">#REF!</definedName>
    <definedName name="acb63a1p" localSheetId="63">#REF!</definedName>
    <definedName name="acb63a1p" localSheetId="13">#REF!</definedName>
    <definedName name="acb63a1p" localSheetId="12">#REF!</definedName>
    <definedName name="acb63a1p" localSheetId="41">#REF!</definedName>
    <definedName name="acb63a1p" localSheetId="42">#REF!</definedName>
    <definedName name="acb63a1p" localSheetId="65">#REF!</definedName>
    <definedName name="acb63a1p" localSheetId="25">#REF!</definedName>
    <definedName name="acb63a1p" localSheetId="23">#REF!</definedName>
    <definedName name="acb63a1p">#REF!</definedName>
    <definedName name="acb63a3p" localSheetId="30">#REF!</definedName>
    <definedName name="acb63a3p" localSheetId="29">#REF!</definedName>
    <definedName name="acb63a3p" localSheetId="35">#REF!</definedName>
    <definedName name="acb63a3p" localSheetId="34">#REF!</definedName>
    <definedName name="acb63a3p" localSheetId="66">#REF!</definedName>
    <definedName name="acb63a3p" localSheetId="22">#REF!</definedName>
    <definedName name="acb63a3p" localSheetId="24">#REF!</definedName>
    <definedName name="acb63a3p" localSheetId="39">#REF!</definedName>
    <definedName name="acb63a3p" localSheetId="40">#REF!</definedName>
    <definedName name="acb63a3p" localSheetId="53">#REF!</definedName>
    <definedName name="acb63a3p" localSheetId="54">#REF!</definedName>
    <definedName name="acb63a3p" localSheetId="5">#REF!</definedName>
    <definedName name="acb63a3p" localSheetId="3">#REF!</definedName>
    <definedName name="acb63a3p" localSheetId="48">#REF!</definedName>
    <definedName name="acb63a3p" localSheetId="47">#REF!</definedName>
    <definedName name="acb63a3p" localSheetId="52">#REF!</definedName>
    <definedName name="acb63a3p" localSheetId="58">#REF!</definedName>
    <definedName name="acb63a3p" localSheetId="59">#REF!</definedName>
    <definedName name="acb63a3p" localSheetId="8">#REF!</definedName>
    <definedName name="acb63a3p" localSheetId="17">#REF!</definedName>
    <definedName name="acb63a3p" localSheetId="18">#REF!</definedName>
    <definedName name="acb63a3p" localSheetId="63">#REF!</definedName>
    <definedName name="acb63a3p" localSheetId="13">#REF!</definedName>
    <definedName name="acb63a3p" localSheetId="12">#REF!</definedName>
    <definedName name="acb63a3p" localSheetId="41">#REF!</definedName>
    <definedName name="acb63a3p" localSheetId="42">#REF!</definedName>
    <definedName name="acb63a3p" localSheetId="65">#REF!</definedName>
    <definedName name="acb63a3p" localSheetId="25">#REF!</definedName>
    <definedName name="acb63a3p" localSheetId="23">#REF!</definedName>
    <definedName name="acb63a3p">#REF!</definedName>
    <definedName name="acb6a1p" localSheetId="30">#REF!</definedName>
    <definedName name="acb6a1p" localSheetId="29">#REF!</definedName>
    <definedName name="acb6a1p" localSheetId="35">#REF!</definedName>
    <definedName name="acb6a1p" localSheetId="34">#REF!</definedName>
    <definedName name="acb6a1p" localSheetId="66">#REF!</definedName>
    <definedName name="acb6a1p" localSheetId="22">#REF!</definedName>
    <definedName name="acb6a1p" localSheetId="24">#REF!</definedName>
    <definedName name="acb6a1p" localSheetId="39">#REF!</definedName>
    <definedName name="acb6a1p" localSheetId="40">#REF!</definedName>
    <definedName name="acb6a1p" localSheetId="53">#REF!</definedName>
    <definedName name="acb6a1p" localSheetId="54">#REF!</definedName>
    <definedName name="acb6a1p" localSheetId="5">#REF!</definedName>
    <definedName name="acb6a1p" localSheetId="3">#REF!</definedName>
    <definedName name="acb6a1p" localSheetId="48">#REF!</definedName>
    <definedName name="acb6a1p" localSheetId="47">#REF!</definedName>
    <definedName name="acb6a1p" localSheetId="52">#REF!</definedName>
    <definedName name="acb6a1p" localSheetId="58">#REF!</definedName>
    <definedName name="acb6a1p" localSheetId="59">#REF!</definedName>
    <definedName name="acb6a1p" localSheetId="8">#REF!</definedName>
    <definedName name="acb6a1p" localSheetId="17">#REF!</definedName>
    <definedName name="acb6a1p" localSheetId="18">#REF!</definedName>
    <definedName name="acb6a1p" localSheetId="63">#REF!</definedName>
    <definedName name="acb6a1p" localSheetId="13">#REF!</definedName>
    <definedName name="acb6a1p" localSheetId="12">#REF!</definedName>
    <definedName name="acb6a1p" localSheetId="41">#REF!</definedName>
    <definedName name="acb6a1p" localSheetId="42">#REF!</definedName>
    <definedName name="acb6a1p" localSheetId="65">#REF!</definedName>
    <definedName name="acb6a1p" localSheetId="25">#REF!</definedName>
    <definedName name="acb6a1p" localSheetId="23">#REF!</definedName>
    <definedName name="acb6a1p">#REF!</definedName>
    <definedName name="acb6a3p" localSheetId="30">#REF!</definedName>
    <definedName name="acb6a3p" localSheetId="29">#REF!</definedName>
    <definedName name="acb6a3p" localSheetId="35">#REF!</definedName>
    <definedName name="acb6a3p" localSheetId="34">#REF!</definedName>
    <definedName name="acb6a3p" localSheetId="66">#REF!</definedName>
    <definedName name="acb6a3p" localSheetId="22">#REF!</definedName>
    <definedName name="acb6a3p" localSheetId="24">#REF!</definedName>
    <definedName name="acb6a3p" localSheetId="39">#REF!</definedName>
    <definedName name="acb6a3p" localSheetId="40">#REF!</definedName>
    <definedName name="acb6a3p" localSheetId="53">#REF!</definedName>
    <definedName name="acb6a3p" localSheetId="54">#REF!</definedName>
    <definedName name="acb6a3p" localSheetId="5">#REF!</definedName>
    <definedName name="acb6a3p" localSheetId="3">#REF!</definedName>
    <definedName name="acb6a3p" localSheetId="48">#REF!</definedName>
    <definedName name="acb6a3p" localSheetId="47">#REF!</definedName>
    <definedName name="acb6a3p" localSheetId="52">#REF!</definedName>
    <definedName name="acb6a3p" localSheetId="58">#REF!</definedName>
    <definedName name="acb6a3p" localSheetId="59">#REF!</definedName>
    <definedName name="acb6a3p" localSheetId="8">#REF!</definedName>
    <definedName name="acb6a3p" localSheetId="17">#REF!</definedName>
    <definedName name="acb6a3p" localSheetId="18">#REF!</definedName>
    <definedName name="acb6a3p" localSheetId="63">#REF!</definedName>
    <definedName name="acb6a3p" localSheetId="13">#REF!</definedName>
    <definedName name="acb6a3p" localSheetId="12">#REF!</definedName>
    <definedName name="acb6a3p" localSheetId="41">#REF!</definedName>
    <definedName name="acb6a3p" localSheetId="42">#REF!</definedName>
    <definedName name="acb6a3p" localSheetId="65">#REF!</definedName>
    <definedName name="acb6a3p" localSheetId="25">#REF!</definedName>
    <definedName name="acb6a3p" localSheetId="23">#REF!</definedName>
    <definedName name="acb6a3p">#REF!</definedName>
    <definedName name="airterminal1" localSheetId="30">#REF!</definedName>
    <definedName name="airterminal1" localSheetId="29">#REF!</definedName>
    <definedName name="airterminal1" localSheetId="35">#REF!</definedName>
    <definedName name="airterminal1" localSheetId="34">#REF!</definedName>
    <definedName name="airterminal1" localSheetId="66">#REF!</definedName>
    <definedName name="airterminal1" localSheetId="22">#REF!</definedName>
    <definedName name="airterminal1" localSheetId="24">#REF!</definedName>
    <definedName name="airterminal1" localSheetId="39">#REF!</definedName>
    <definedName name="airterminal1" localSheetId="40">#REF!</definedName>
    <definedName name="airterminal1" localSheetId="53">#REF!</definedName>
    <definedName name="airterminal1" localSheetId="54">#REF!</definedName>
    <definedName name="airterminal1" localSheetId="5">#REF!</definedName>
    <definedName name="airterminal1" localSheetId="3">#REF!</definedName>
    <definedName name="airterminal1" localSheetId="48">#REF!</definedName>
    <definedName name="airterminal1" localSheetId="47">#REF!</definedName>
    <definedName name="airterminal1" localSheetId="52">#REF!</definedName>
    <definedName name="airterminal1" localSheetId="58">#REF!</definedName>
    <definedName name="airterminal1" localSheetId="59">#REF!</definedName>
    <definedName name="airterminal1" localSheetId="8">#REF!</definedName>
    <definedName name="airterminal1" localSheetId="17">#REF!</definedName>
    <definedName name="airterminal1" localSheetId="18">#REF!</definedName>
    <definedName name="airterminal1" localSheetId="63">#REF!</definedName>
    <definedName name="airterminal1" localSheetId="13">#REF!</definedName>
    <definedName name="airterminal1" localSheetId="12">#REF!</definedName>
    <definedName name="airterminal1" localSheetId="41">#REF!</definedName>
    <definedName name="airterminal1" localSheetId="42">#REF!</definedName>
    <definedName name="airterminal1" localSheetId="65">#REF!</definedName>
    <definedName name="airterminal1" localSheetId="25">#REF!</definedName>
    <definedName name="airterminal1" localSheetId="23">#REF!</definedName>
    <definedName name="airterminal1">#REF!</definedName>
    <definedName name="An" localSheetId="30">#REF!</definedName>
    <definedName name="An" localSheetId="29">#REF!</definedName>
    <definedName name="An" localSheetId="35">#REF!</definedName>
    <definedName name="An" localSheetId="34">#REF!</definedName>
    <definedName name="An" localSheetId="66">#REF!</definedName>
    <definedName name="An" localSheetId="22">#REF!</definedName>
    <definedName name="An" localSheetId="24">#REF!</definedName>
    <definedName name="An" localSheetId="39">#REF!</definedName>
    <definedName name="An" localSheetId="40">#REF!</definedName>
    <definedName name="An" localSheetId="53">#REF!</definedName>
    <definedName name="An" localSheetId="54">#REF!</definedName>
    <definedName name="An" localSheetId="5">#REF!</definedName>
    <definedName name="An" localSheetId="3">#REF!</definedName>
    <definedName name="An" localSheetId="48">#REF!</definedName>
    <definedName name="An" localSheetId="47">#REF!</definedName>
    <definedName name="An" localSheetId="52">#REF!</definedName>
    <definedName name="An" localSheetId="58">#REF!</definedName>
    <definedName name="An" localSheetId="59">#REF!</definedName>
    <definedName name="An" localSheetId="8">#REF!</definedName>
    <definedName name="An" localSheetId="17">#REF!</definedName>
    <definedName name="An" localSheetId="18">#REF!</definedName>
    <definedName name="An" localSheetId="63">#REF!</definedName>
    <definedName name="An" localSheetId="13">#REF!</definedName>
    <definedName name="An" localSheetId="12">#REF!</definedName>
    <definedName name="An" localSheetId="41">#REF!</definedName>
    <definedName name="An" localSheetId="42">#REF!</definedName>
    <definedName name="An" localSheetId="65">#REF!</definedName>
    <definedName name="An" localSheetId="25">#REF!</definedName>
    <definedName name="An" localSheetId="23">#REF!</definedName>
    <definedName name="An">#REF!</definedName>
    <definedName name="analyses" localSheetId="30">#REF!</definedName>
    <definedName name="analyses" localSheetId="29">#REF!</definedName>
    <definedName name="analyses" localSheetId="35">#REF!</definedName>
    <definedName name="analyses" localSheetId="34">#REF!</definedName>
    <definedName name="analyses" localSheetId="66">#REF!</definedName>
    <definedName name="analyses" localSheetId="22">#REF!</definedName>
    <definedName name="analyses" localSheetId="24">#REF!</definedName>
    <definedName name="analyses" localSheetId="39">#REF!</definedName>
    <definedName name="analyses" localSheetId="40">#REF!</definedName>
    <definedName name="analyses" localSheetId="53">#REF!</definedName>
    <definedName name="analyses" localSheetId="54">#REF!</definedName>
    <definedName name="analyses" localSheetId="5">#REF!</definedName>
    <definedName name="analyses" localSheetId="3">#REF!</definedName>
    <definedName name="analyses" localSheetId="48">#REF!</definedName>
    <definedName name="analyses" localSheetId="47">#REF!</definedName>
    <definedName name="analyses" localSheetId="52">#REF!</definedName>
    <definedName name="analyses" localSheetId="58">#REF!</definedName>
    <definedName name="analyses" localSheetId="59">#REF!</definedName>
    <definedName name="analyses" localSheetId="8">#REF!</definedName>
    <definedName name="analyses" localSheetId="17">#REF!</definedName>
    <definedName name="analyses" localSheetId="18">#REF!</definedName>
    <definedName name="analyses" localSheetId="63">#REF!</definedName>
    <definedName name="analyses" localSheetId="13">#REF!</definedName>
    <definedName name="analyses" localSheetId="12">#REF!</definedName>
    <definedName name="analyses" localSheetId="41">#REF!</definedName>
    <definedName name="analyses" localSheetId="42">#REF!</definedName>
    <definedName name="analyses" localSheetId="65">#REF!</definedName>
    <definedName name="analyses" localSheetId="25">#REF!</definedName>
    <definedName name="analyses" localSheetId="23">#REF!</definedName>
    <definedName name="analyses">#REF!</definedName>
    <definedName name="Angle_iron_50x50x100x0.005" localSheetId="30">'[2]Break Down  '!#REF!</definedName>
    <definedName name="Angle_iron_50x50x100x0.005" localSheetId="29">'[2]Break Down  '!#REF!</definedName>
    <definedName name="Angle_iron_50x50x100x0.005" localSheetId="35">'[2]Break Down  '!#REF!</definedName>
    <definedName name="Angle_iron_50x50x100x0.005" localSheetId="34">'[2]Break Down  '!#REF!</definedName>
    <definedName name="Angle_iron_50x50x100x0.005" localSheetId="66">'[1]Break Down  '!#REF!</definedName>
    <definedName name="Angle_iron_50x50x100x0.005" localSheetId="22">'[2]Break Down  '!#REF!</definedName>
    <definedName name="Angle_iron_50x50x100x0.005" localSheetId="24">'[2]Break Down  '!#REF!</definedName>
    <definedName name="Angle_iron_50x50x100x0.005" localSheetId="39">'[2]Break Down  '!#REF!</definedName>
    <definedName name="Angle_iron_50x50x100x0.005" localSheetId="40">'[2]Break Down  '!#REF!</definedName>
    <definedName name="Angle_iron_50x50x100x0.005" localSheetId="53">'[2]Break Down  '!#REF!</definedName>
    <definedName name="Angle_iron_50x50x100x0.005" localSheetId="54">'[2]Break Down  '!#REF!</definedName>
    <definedName name="Angle_iron_50x50x100x0.005" localSheetId="5">'[1]Break Down  '!#REF!</definedName>
    <definedName name="Angle_iron_50x50x100x0.005" localSheetId="3">'[2]Break Down  '!#REF!</definedName>
    <definedName name="Angle_iron_50x50x100x0.005" localSheetId="4">'[2]Break Down  '!#REF!</definedName>
    <definedName name="Angle_iron_50x50x100x0.005" localSheetId="48">'[2]Break Down  '!#REF!</definedName>
    <definedName name="Angle_iron_50x50x100x0.005" localSheetId="47">'[2]Break Down  '!#REF!</definedName>
    <definedName name="Angle_iron_50x50x100x0.005" localSheetId="52">'[1]Break Down  '!#REF!</definedName>
    <definedName name="Angle_iron_50x50x100x0.005" localSheetId="58">'[2]Break Down  '!#REF!</definedName>
    <definedName name="Angle_iron_50x50x100x0.005" localSheetId="59">'[2]Break Down  '!#REF!</definedName>
    <definedName name="Angle_iron_50x50x100x0.005" localSheetId="8">'[2]Break Down  '!#REF!</definedName>
    <definedName name="Angle_iron_50x50x100x0.005" localSheetId="17">'[2]Break Down  '!#REF!</definedName>
    <definedName name="Angle_iron_50x50x100x0.005" localSheetId="18">'[2]Break Down  '!#REF!</definedName>
    <definedName name="Angle_iron_50x50x100x0.005" localSheetId="63">'[2]Break Down  '!#REF!</definedName>
    <definedName name="Angle_iron_50x50x100x0.005" localSheetId="13">'[2]Break Down  '!#REF!</definedName>
    <definedName name="Angle_iron_50x50x100x0.005" localSheetId="12">'[2]Break Down  '!#REF!</definedName>
    <definedName name="Angle_iron_50x50x100x0.005" localSheetId="41">'[2]Break Down  '!#REF!</definedName>
    <definedName name="Angle_iron_50x50x100x0.005" localSheetId="42">'[2]Break Down  '!#REF!</definedName>
    <definedName name="Angle_iron_50x50x100x0.005" localSheetId="65">'[2]Break Down  '!#REF!</definedName>
    <definedName name="Angle_iron_50x50x100x0.005" localSheetId="25">'[2]Break Down  '!#REF!</definedName>
    <definedName name="Angle_iron_50x50x100x0.005" localSheetId="23">'[2]Break Down  '!#REF!</definedName>
    <definedName name="Angle_iron_50x50x100x0.005">'[1]Break Down  '!#REF!</definedName>
    <definedName name="bell" localSheetId="30">#REF!</definedName>
    <definedName name="bell" localSheetId="29">#REF!</definedName>
    <definedName name="bell" localSheetId="35">#REF!</definedName>
    <definedName name="bell" localSheetId="34">#REF!</definedName>
    <definedName name="bell" localSheetId="66">#REF!</definedName>
    <definedName name="bell" localSheetId="22">#REF!</definedName>
    <definedName name="bell" localSheetId="24">#REF!</definedName>
    <definedName name="bell" localSheetId="39">#REF!</definedName>
    <definedName name="bell" localSheetId="40">#REF!</definedName>
    <definedName name="bell" localSheetId="53">#REF!</definedName>
    <definedName name="bell" localSheetId="54">#REF!</definedName>
    <definedName name="bell" localSheetId="5">#REF!</definedName>
    <definedName name="bell" localSheetId="3">#REF!</definedName>
    <definedName name="bell" localSheetId="48">#REF!</definedName>
    <definedName name="bell" localSheetId="47">#REF!</definedName>
    <definedName name="bell" localSheetId="52">#REF!</definedName>
    <definedName name="bell" localSheetId="58">#REF!</definedName>
    <definedName name="bell" localSheetId="59">#REF!</definedName>
    <definedName name="bell" localSheetId="8">#REF!</definedName>
    <definedName name="bell" localSheetId="17">#REF!</definedName>
    <definedName name="bell" localSheetId="18">#REF!</definedName>
    <definedName name="bell" localSheetId="63">#REF!</definedName>
    <definedName name="bell" localSheetId="13">#REF!</definedName>
    <definedName name="bell" localSheetId="12">#REF!</definedName>
    <definedName name="bell" localSheetId="41">#REF!</definedName>
    <definedName name="bell" localSheetId="42">#REF!</definedName>
    <definedName name="bell" localSheetId="65">#REF!</definedName>
    <definedName name="bell" localSheetId="25">#REF!</definedName>
    <definedName name="bell" localSheetId="23">#REF!</definedName>
    <definedName name="bell">#REF!</definedName>
    <definedName name="bellcallpoint" localSheetId="30">#REF!</definedName>
    <definedName name="bellcallpoint" localSheetId="29">#REF!</definedName>
    <definedName name="bellcallpoint" localSheetId="35">#REF!</definedName>
    <definedName name="bellcallpoint" localSheetId="34">#REF!</definedName>
    <definedName name="bellcallpoint" localSheetId="66">#REF!</definedName>
    <definedName name="bellcallpoint" localSheetId="22">#REF!</definedName>
    <definedName name="bellcallpoint" localSheetId="24">#REF!</definedName>
    <definedName name="bellcallpoint" localSheetId="39">#REF!</definedName>
    <definedName name="bellcallpoint" localSheetId="40">#REF!</definedName>
    <definedName name="bellcallpoint" localSheetId="53">#REF!</definedName>
    <definedName name="bellcallpoint" localSheetId="54">#REF!</definedName>
    <definedName name="bellcallpoint" localSheetId="5">#REF!</definedName>
    <definedName name="bellcallpoint" localSheetId="3">#REF!</definedName>
    <definedName name="bellcallpoint" localSheetId="48">#REF!</definedName>
    <definedName name="bellcallpoint" localSheetId="47">#REF!</definedName>
    <definedName name="bellcallpoint" localSheetId="52">#REF!</definedName>
    <definedName name="bellcallpoint" localSheetId="58">#REF!</definedName>
    <definedName name="bellcallpoint" localSheetId="59">#REF!</definedName>
    <definedName name="bellcallpoint" localSheetId="8">#REF!</definedName>
    <definedName name="bellcallpoint" localSheetId="17">#REF!</definedName>
    <definedName name="bellcallpoint" localSheetId="18">#REF!</definedName>
    <definedName name="bellcallpoint" localSheetId="63">#REF!</definedName>
    <definedName name="bellcallpoint" localSheetId="13">#REF!</definedName>
    <definedName name="bellcallpoint" localSheetId="12">#REF!</definedName>
    <definedName name="bellcallpoint" localSheetId="41">#REF!</definedName>
    <definedName name="bellcallpoint" localSheetId="42">#REF!</definedName>
    <definedName name="bellcallpoint" localSheetId="65">#REF!</definedName>
    <definedName name="bellcallpoint" localSheetId="25">#REF!</definedName>
    <definedName name="bellcallpoint" localSheetId="23">#REF!</definedName>
    <definedName name="bellcallpoint">#REF!</definedName>
    <definedName name="belltransformer" localSheetId="30">#REF!</definedName>
    <definedName name="belltransformer" localSheetId="29">#REF!</definedName>
    <definedName name="belltransformer" localSheetId="35">#REF!</definedName>
    <definedName name="belltransformer" localSheetId="34">#REF!</definedName>
    <definedName name="belltransformer" localSheetId="66">#REF!</definedName>
    <definedName name="belltransformer" localSheetId="22">#REF!</definedName>
    <definedName name="belltransformer" localSheetId="24">#REF!</definedName>
    <definedName name="belltransformer" localSheetId="39">#REF!</definedName>
    <definedName name="belltransformer" localSheetId="40">#REF!</definedName>
    <definedName name="belltransformer" localSheetId="53">#REF!</definedName>
    <definedName name="belltransformer" localSheetId="54">#REF!</definedName>
    <definedName name="belltransformer" localSheetId="5">#REF!</definedName>
    <definedName name="belltransformer" localSheetId="3">#REF!</definedName>
    <definedName name="belltransformer" localSheetId="48">#REF!</definedName>
    <definedName name="belltransformer" localSheetId="47">#REF!</definedName>
    <definedName name="belltransformer" localSheetId="52">#REF!</definedName>
    <definedName name="belltransformer" localSheetId="58">#REF!</definedName>
    <definedName name="belltransformer" localSheetId="59">#REF!</definedName>
    <definedName name="belltransformer" localSheetId="8">#REF!</definedName>
    <definedName name="belltransformer" localSheetId="17">#REF!</definedName>
    <definedName name="belltransformer" localSheetId="18">#REF!</definedName>
    <definedName name="belltransformer" localSheetId="63">#REF!</definedName>
    <definedName name="belltransformer" localSheetId="13">#REF!</definedName>
    <definedName name="belltransformer" localSheetId="12">#REF!</definedName>
    <definedName name="belltransformer" localSheetId="41">#REF!</definedName>
    <definedName name="belltransformer" localSheetId="42">#REF!</definedName>
    <definedName name="belltransformer" localSheetId="65">#REF!</definedName>
    <definedName name="belltransformer" localSheetId="25">#REF!</definedName>
    <definedName name="belltransformer" localSheetId="23">#REF!</definedName>
    <definedName name="belltransformer">#REF!</definedName>
    <definedName name="bill" localSheetId="30">#REF!</definedName>
    <definedName name="bill" localSheetId="29">#REF!</definedName>
    <definedName name="bill" localSheetId="35">#REF!</definedName>
    <definedName name="bill" localSheetId="34">#REF!</definedName>
    <definedName name="bill" localSheetId="66">#REF!</definedName>
    <definedName name="bill" localSheetId="22">#REF!</definedName>
    <definedName name="bill" localSheetId="24">#REF!</definedName>
    <definedName name="bill" localSheetId="39">#REF!</definedName>
    <definedName name="bill" localSheetId="40">#REF!</definedName>
    <definedName name="bill" localSheetId="53">#REF!</definedName>
    <definedName name="bill" localSheetId="54">#REF!</definedName>
    <definedName name="bill" localSheetId="5">#REF!</definedName>
    <definedName name="bill" localSheetId="3">#REF!</definedName>
    <definedName name="bill" localSheetId="48">#REF!</definedName>
    <definedName name="bill" localSheetId="47">#REF!</definedName>
    <definedName name="bill" localSheetId="52">#REF!</definedName>
    <definedName name="bill" localSheetId="58">#REF!</definedName>
    <definedName name="bill" localSheetId="59">#REF!</definedName>
    <definedName name="bill" localSheetId="8">#REF!</definedName>
    <definedName name="bill" localSheetId="17">#REF!</definedName>
    <definedName name="bill" localSheetId="18">#REF!</definedName>
    <definedName name="bill" localSheetId="63">#REF!</definedName>
    <definedName name="bill" localSheetId="13">#REF!</definedName>
    <definedName name="bill" localSheetId="12">#REF!</definedName>
    <definedName name="bill" localSheetId="41">#REF!</definedName>
    <definedName name="bill" localSheetId="42">#REF!</definedName>
    <definedName name="bill" localSheetId="65">#REF!</definedName>
    <definedName name="bill" localSheetId="25">#REF!</definedName>
    <definedName name="bill" localSheetId="23">#REF!</definedName>
    <definedName name="bill">#REF!</definedName>
    <definedName name="boq" localSheetId="30">#REF!</definedName>
    <definedName name="boq" localSheetId="29">#REF!</definedName>
    <definedName name="boq" localSheetId="35">#REF!</definedName>
    <definedName name="boq" localSheetId="34">#REF!</definedName>
    <definedName name="boq" localSheetId="66">#REF!</definedName>
    <definedName name="boq" localSheetId="22">#REF!</definedName>
    <definedName name="boq" localSheetId="24">#REF!</definedName>
    <definedName name="boq" localSheetId="39">#REF!</definedName>
    <definedName name="boq" localSheetId="40">#REF!</definedName>
    <definedName name="boq" localSheetId="53">#REF!</definedName>
    <definedName name="boq" localSheetId="54">#REF!</definedName>
    <definedName name="boq" localSheetId="5">#REF!</definedName>
    <definedName name="boq" localSheetId="3">#REF!</definedName>
    <definedName name="boq" localSheetId="48">#REF!</definedName>
    <definedName name="boq" localSheetId="47">#REF!</definedName>
    <definedName name="boq" localSheetId="52">#REF!</definedName>
    <definedName name="boq" localSheetId="58">#REF!</definedName>
    <definedName name="boq" localSheetId="59">#REF!</definedName>
    <definedName name="boq" localSheetId="8">#REF!</definedName>
    <definedName name="boq" localSheetId="17">#REF!</definedName>
    <definedName name="boq" localSheetId="18">#REF!</definedName>
    <definedName name="boq" localSheetId="63">#REF!</definedName>
    <definedName name="boq" localSheetId="13">#REF!</definedName>
    <definedName name="boq" localSheetId="12">#REF!</definedName>
    <definedName name="boq" localSheetId="41">#REF!</definedName>
    <definedName name="boq" localSheetId="42">#REF!</definedName>
    <definedName name="boq" localSheetId="65">#REF!</definedName>
    <definedName name="boq" localSheetId="25">#REF!</definedName>
    <definedName name="boq" localSheetId="23">#REF!</definedName>
    <definedName name="boq">#REF!</definedName>
    <definedName name="BOQsss" localSheetId="30">#REF!</definedName>
    <definedName name="BOQsss" localSheetId="29">#REF!</definedName>
    <definedName name="BOQsss" localSheetId="35">#REF!</definedName>
    <definedName name="BOQsss" localSheetId="34">#REF!</definedName>
    <definedName name="BOQsss" localSheetId="66">#REF!</definedName>
    <definedName name="BOQsss" localSheetId="22">#REF!</definedName>
    <definedName name="BOQsss" localSheetId="24">#REF!</definedName>
    <definedName name="BOQsss" localSheetId="39">#REF!</definedName>
    <definedName name="BOQsss" localSheetId="40">#REF!</definedName>
    <definedName name="BOQsss" localSheetId="53">#REF!</definedName>
    <definedName name="BOQsss" localSheetId="54">#REF!</definedName>
    <definedName name="BOQsss" localSheetId="5">#REF!</definedName>
    <definedName name="BOQsss" localSheetId="3">#REF!</definedName>
    <definedName name="BOQsss" localSheetId="48">#REF!</definedName>
    <definedName name="BOQsss" localSheetId="47">#REF!</definedName>
    <definedName name="BOQsss" localSheetId="52">#REF!</definedName>
    <definedName name="BOQsss" localSheetId="58">#REF!</definedName>
    <definedName name="BOQsss" localSheetId="59">#REF!</definedName>
    <definedName name="BOQsss" localSheetId="8">#REF!</definedName>
    <definedName name="BOQsss" localSheetId="17">#REF!</definedName>
    <definedName name="BOQsss" localSheetId="18">#REF!</definedName>
    <definedName name="BOQsss" localSheetId="63">#REF!</definedName>
    <definedName name="BOQsss" localSheetId="13">#REF!</definedName>
    <definedName name="BOQsss" localSheetId="12">#REF!</definedName>
    <definedName name="BOQsss" localSheetId="41">#REF!</definedName>
    <definedName name="BOQsss" localSheetId="42">#REF!</definedName>
    <definedName name="BOQsss" localSheetId="65">#REF!</definedName>
    <definedName name="BOQsss" localSheetId="25">#REF!</definedName>
    <definedName name="BOQsss" localSheetId="23">#REF!</definedName>
    <definedName name="BOQsss">#REF!</definedName>
    <definedName name="Brick_masonry_manhole_70x70x70cm" localSheetId="30">'[2]Break Down  '!#REF!</definedName>
    <definedName name="Brick_masonry_manhole_70x70x70cm" localSheetId="29">'[2]Break Down  '!#REF!</definedName>
    <definedName name="Brick_masonry_manhole_70x70x70cm" localSheetId="35">'[2]Break Down  '!#REF!</definedName>
    <definedName name="Brick_masonry_manhole_70x70x70cm" localSheetId="34">'[2]Break Down  '!#REF!</definedName>
    <definedName name="Brick_masonry_manhole_70x70x70cm" localSheetId="66">'[1]Break Down  '!#REF!</definedName>
    <definedName name="Brick_masonry_manhole_70x70x70cm" localSheetId="22">'[2]Break Down  '!#REF!</definedName>
    <definedName name="Brick_masonry_manhole_70x70x70cm" localSheetId="24">'[2]Break Down  '!#REF!</definedName>
    <definedName name="Brick_masonry_manhole_70x70x70cm" localSheetId="39">'[2]Break Down  '!#REF!</definedName>
    <definedName name="Brick_masonry_manhole_70x70x70cm" localSheetId="40">'[2]Break Down  '!#REF!</definedName>
    <definedName name="Brick_masonry_manhole_70x70x70cm" localSheetId="53">'[2]Break Down  '!#REF!</definedName>
    <definedName name="Brick_masonry_manhole_70x70x70cm" localSheetId="54">'[2]Break Down  '!#REF!</definedName>
    <definedName name="Brick_masonry_manhole_70x70x70cm" localSheetId="5">'[1]Break Down  '!#REF!</definedName>
    <definedName name="Brick_masonry_manhole_70x70x70cm" localSheetId="3">'[2]Break Down  '!#REF!</definedName>
    <definedName name="Brick_masonry_manhole_70x70x70cm" localSheetId="4">'[2]Break Down  '!#REF!</definedName>
    <definedName name="Brick_masonry_manhole_70x70x70cm" localSheetId="48">'[2]Break Down  '!#REF!</definedName>
    <definedName name="Brick_masonry_manhole_70x70x70cm" localSheetId="47">'[2]Break Down  '!#REF!</definedName>
    <definedName name="Brick_masonry_manhole_70x70x70cm" localSheetId="52">'[1]Break Down  '!#REF!</definedName>
    <definedName name="Brick_masonry_manhole_70x70x70cm" localSheetId="58">'[2]Break Down  '!#REF!</definedName>
    <definedName name="Brick_masonry_manhole_70x70x70cm" localSheetId="59">'[2]Break Down  '!#REF!</definedName>
    <definedName name="Brick_masonry_manhole_70x70x70cm" localSheetId="8">'[2]Break Down  '!#REF!</definedName>
    <definedName name="Brick_masonry_manhole_70x70x70cm" localSheetId="17">'[2]Break Down  '!#REF!</definedName>
    <definedName name="Brick_masonry_manhole_70x70x70cm" localSheetId="18">'[2]Break Down  '!#REF!</definedName>
    <definedName name="Brick_masonry_manhole_70x70x70cm" localSheetId="63">'[2]Break Down  '!#REF!</definedName>
    <definedName name="Brick_masonry_manhole_70x70x70cm" localSheetId="13">'[2]Break Down  '!#REF!</definedName>
    <definedName name="Brick_masonry_manhole_70x70x70cm" localSheetId="12">'[2]Break Down  '!#REF!</definedName>
    <definedName name="Brick_masonry_manhole_70x70x70cm" localSheetId="41">'[2]Break Down  '!#REF!</definedName>
    <definedName name="Brick_masonry_manhole_70x70x70cm" localSheetId="42">'[2]Break Down  '!#REF!</definedName>
    <definedName name="Brick_masonry_manhole_70x70x70cm" localSheetId="65">'[2]Break Down  '!#REF!</definedName>
    <definedName name="Brick_masonry_manhole_70x70x70cm" localSheetId="25">'[2]Break Down  '!#REF!</definedName>
    <definedName name="Brick_masonry_manhole_70x70x70cm" localSheetId="23">'[2]Break Down  '!#REF!</definedName>
    <definedName name="Brick_masonry_manhole_70x70x70cm">'[1]Break Down  '!#REF!</definedName>
    <definedName name="buzzer" localSheetId="30">#REF!</definedName>
    <definedName name="buzzer" localSheetId="29">#REF!</definedName>
    <definedName name="buzzer" localSheetId="35">#REF!</definedName>
    <definedName name="buzzer" localSheetId="34">#REF!</definedName>
    <definedName name="buzzer" localSheetId="66">#REF!</definedName>
    <definedName name="buzzer" localSheetId="22">#REF!</definedName>
    <definedName name="buzzer" localSheetId="24">#REF!</definedName>
    <definedName name="buzzer" localSheetId="39">#REF!</definedName>
    <definedName name="buzzer" localSheetId="40">#REF!</definedName>
    <definedName name="buzzer" localSheetId="53">#REF!</definedName>
    <definedName name="buzzer" localSheetId="54">#REF!</definedName>
    <definedName name="buzzer" localSheetId="5">#REF!</definedName>
    <definedName name="buzzer" localSheetId="3">#REF!</definedName>
    <definedName name="buzzer" localSheetId="48">#REF!</definedName>
    <definedName name="buzzer" localSheetId="47">#REF!</definedName>
    <definedName name="buzzer" localSheetId="52">#REF!</definedName>
    <definedName name="buzzer" localSheetId="58">#REF!</definedName>
    <definedName name="buzzer" localSheetId="59">#REF!</definedName>
    <definedName name="buzzer" localSheetId="8">#REF!</definedName>
    <definedName name="buzzer" localSheetId="17">#REF!</definedName>
    <definedName name="buzzer" localSheetId="18">#REF!</definedName>
    <definedName name="buzzer" localSheetId="63">#REF!</definedName>
    <definedName name="buzzer" localSheetId="13">#REF!</definedName>
    <definedName name="buzzer" localSheetId="12">#REF!</definedName>
    <definedName name="buzzer" localSheetId="41">#REF!</definedName>
    <definedName name="buzzer" localSheetId="42">#REF!</definedName>
    <definedName name="buzzer" localSheetId="65">#REF!</definedName>
    <definedName name="buzzer" localSheetId="25">#REF!</definedName>
    <definedName name="buzzer" localSheetId="23">#REF!</definedName>
    <definedName name="buzzer">#REF!</definedName>
    <definedName name="CABLE">[3]price!$G$51</definedName>
    <definedName name="Cable_mm2_4x6" localSheetId="30">'[2]Break Down  '!#REF!</definedName>
    <definedName name="Cable_mm2_4x6" localSheetId="29">'[2]Break Down  '!#REF!</definedName>
    <definedName name="Cable_mm2_4x6" localSheetId="35">'[2]Break Down  '!#REF!</definedName>
    <definedName name="Cable_mm2_4x6" localSheetId="34">'[2]Break Down  '!#REF!</definedName>
    <definedName name="Cable_mm2_4x6" localSheetId="66">'[1]Break Down  '!#REF!</definedName>
    <definedName name="Cable_mm2_4x6" localSheetId="22">'[2]Break Down  '!#REF!</definedName>
    <definedName name="Cable_mm2_4x6" localSheetId="24">'[2]Break Down  '!#REF!</definedName>
    <definedName name="Cable_mm2_4x6" localSheetId="39">'[2]Break Down  '!#REF!</definedName>
    <definedName name="Cable_mm2_4x6" localSheetId="40">'[2]Break Down  '!#REF!</definedName>
    <definedName name="Cable_mm2_4x6" localSheetId="53">'[2]Break Down  '!#REF!</definedName>
    <definedName name="Cable_mm2_4x6" localSheetId="54">'[2]Break Down  '!#REF!</definedName>
    <definedName name="Cable_mm2_4x6" localSheetId="5">'[1]Break Down  '!#REF!</definedName>
    <definedName name="Cable_mm2_4x6" localSheetId="3">'[2]Break Down  '!#REF!</definedName>
    <definedName name="Cable_mm2_4x6" localSheetId="4">'[2]Break Down  '!#REF!</definedName>
    <definedName name="Cable_mm2_4x6" localSheetId="48">'[2]Break Down  '!#REF!</definedName>
    <definedName name="Cable_mm2_4x6" localSheetId="47">'[2]Break Down  '!#REF!</definedName>
    <definedName name="Cable_mm2_4x6" localSheetId="52">'[1]Break Down  '!#REF!</definedName>
    <definedName name="Cable_mm2_4x6" localSheetId="58">'[2]Break Down  '!#REF!</definedName>
    <definedName name="Cable_mm2_4x6" localSheetId="59">'[2]Break Down  '!#REF!</definedName>
    <definedName name="Cable_mm2_4x6" localSheetId="8">'[2]Break Down  '!#REF!</definedName>
    <definedName name="Cable_mm2_4x6" localSheetId="17">'[2]Break Down  '!#REF!</definedName>
    <definedName name="Cable_mm2_4x6" localSheetId="18">'[2]Break Down  '!#REF!</definedName>
    <definedName name="Cable_mm2_4x6" localSheetId="63">'[2]Break Down  '!#REF!</definedName>
    <definedName name="Cable_mm2_4x6" localSheetId="13">'[2]Break Down  '!#REF!</definedName>
    <definedName name="Cable_mm2_4x6" localSheetId="12">'[2]Break Down  '!#REF!</definedName>
    <definedName name="Cable_mm2_4x6" localSheetId="41">'[2]Break Down  '!#REF!</definedName>
    <definedName name="Cable_mm2_4x6" localSheetId="42">'[2]Break Down  '!#REF!</definedName>
    <definedName name="Cable_mm2_4x6" localSheetId="65">'[2]Break Down  '!#REF!</definedName>
    <definedName name="Cable_mm2_4x6" localSheetId="25">'[2]Break Down  '!#REF!</definedName>
    <definedName name="Cable_mm2_4x6" localSheetId="23">'[2]Break Down  '!#REF!</definedName>
    <definedName name="Cable_mm2_4x6">'[1]Break Down  '!#REF!</definedName>
    <definedName name="cable2x1.5" localSheetId="30">#REF!</definedName>
    <definedName name="cable2x1.5" localSheetId="29">#REF!</definedName>
    <definedName name="cable2x1.5" localSheetId="35">#REF!</definedName>
    <definedName name="cable2x1.5" localSheetId="34">#REF!</definedName>
    <definedName name="cable2x1.5" localSheetId="66">#REF!</definedName>
    <definedName name="cable2x1.5" localSheetId="22">#REF!</definedName>
    <definedName name="cable2x1.5" localSheetId="24">#REF!</definedName>
    <definedName name="cable2x1.5" localSheetId="39">#REF!</definedName>
    <definedName name="cable2x1.5" localSheetId="40">#REF!</definedName>
    <definedName name="cable2x1.5" localSheetId="53">#REF!</definedName>
    <definedName name="cable2x1.5" localSheetId="54">#REF!</definedName>
    <definedName name="cable2x1.5" localSheetId="5">#REF!</definedName>
    <definedName name="cable2x1.5" localSheetId="3">#REF!</definedName>
    <definedName name="cable2x1.5" localSheetId="48">#REF!</definedName>
    <definedName name="cable2x1.5" localSheetId="47">#REF!</definedName>
    <definedName name="cable2x1.5" localSheetId="52">#REF!</definedName>
    <definedName name="cable2x1.5" localSheetId="58">#REF!</definedName>
    <definedName name="cable2x1.5" localSheetId="59">#REF!</definedName>
    <definedName name="cable2x1.5" localSheetId="8">#REF!</definedName>
    <definedName name="cable2x1.5" localSheetId="17">#REF!</definedName>
    <definedName name="cable2x1.5" localSheetId="18">#REF!</definedName>
    <definedName name="cable2x1.5" localSheetId="63">#REF!</definedName>
    <definedName name="cable2x1.5" localSheetId="13">#REF!</definedName>
    <definedName name="cable2x1.5" localSheetId="12">#REF!</definedName>
    <definedName name="cable2x1.5" localSheetId="41">#REF!</definedName>
    <definedName name="cable2x1.5" localSheetId="42">#REF!</definedName>
    <definedName name="cable2x1.5" localSheetId="65">#REF!</definedName>
    <definedName name="cable2x1.5" localSheetId="25">#REF!</definedName>
    <definedName name="cable2x1.5" localSheetId="23">#REF!</definedName>
    <definedName name="cable2x1.5">#REF!</definedName>
    <definedName name="cable2x10" localSheetId="30">#REF!</definedName>
    <definedName name="cable2x10" localSheetId="29">#REF!</definedName>
    <definedName name="cable2x10" localSheetId="35">#REF!</definedName>
    <definedName name="cable2x10" localSheetId="34">#REF!</definedName>
    <definedName name="cable2x10" localSheetId="66">#REF!</definedName>
    <definedName name="cable2x10" localSheetId="22">#REF!</definedName>
    <definedName name="cable2x10" localSheetId="24">#REF!</definedName>
    <definedName name="cable2x10" localSheetId="39">#REF!</definedName>
    <definedName name="cable2x10" localSheetId="40">#REF!</definedName>
    <definedName name="cable2x10" localSheetId="53">#REF!</definedName>
    <definedName name="cable2x10" localSheetId="54">#REF!</definedName>
    <definedName name="cable2x10" localSheetId="5">#REF!</definedName>
    <definedName name="cable2x10" localSheetId="3">#REF!</definedName>
    <definedName name="cable2x10" localSheetId="48">#REF!</definedName>
    <definedName name="cable2x10" localSheetId="47">#REF!</definedName>
    <definedName name="cable2x10" localSheetId="52">#REF!</definedName>
    <definedName name="cable2x10" localSheetId="58">#REF!</definedName>
    <definedName name="cable2x10" localSheetId="59">#REF!</definedName>
    <definedName name="cable2x10" localSheetId="8">#REF!</definedName>
    <definedName name="cable2x10" localSheetId="17">#REF!</definedName>
    <definedName name="cable2x10" localSheetId="18">#REF!</definedName>
    <definedName name="cable2x10" localSheetId="63">#REF!</definedName>
    <definedName name="cable2x10" localSheetId="13">#REF!</definedName>
    <definedName name="cable2x10" localSheetId="12">#REF!</definedName>
    <definedName name="cable2x10" localSheetId="41">#REF!</definedName>
    <definedName name="cable2x10" localSheetId="42">#REF!</definedName>
    <definedName name="cable2x10" localSheetId="65">#REF!</definedName>
    <definedName name="cable2x10" localSheetId="25">#REF!</definedName>
    <definedName name="cable2x10" localSheetId="23">#REF!</definedName>
    <definedName name="cable2x10">#REF!</definedName>
    <definedName name="cable2x16" localSheetId="30">#REF!</definedName>
    <definedName name="cable2x16" localSheetId="29">#REF!</definedName>
    <definedName name="cable2x16" localSheetId="35">#REF!</definedName>
    <definedName name="cable2x16" localSheetId="34">#REF!</definedName>
    <definedName name="cable2x16" localSheetId="66">#REF!</definedName>
    <definedName name="cable2x16" localSheetId="22">#REF!</definedName>
    <definedName name="cable2x16" localSheetId="24">#REF!</definedName>
    <definedName name="cable2x16" localSheetId="39">#REF!</definedName>
    <definedName name="cable2x16" localSheetId="40">#REF!</definedName>
    <definedName name="cable2x16" localSheetId="53">#REF!</definedName>
    <definedName name="cable2x16" localSheetId="54">#REF!</definedName>
    <definedName name="cable2x16" localSheetId="5">#REF!</definedName>
    <definedName name="cable2x16" localSheetId="3">#REF!</definedName>
    <definedName name="cable2x16" localSheetId="48">#REF!</definedName>
    <definedName name="cable2x16" localSheetId="47">#REF!</definedName>
    <definedName name="cable2x16" localSheetId="52">#REF!</definedName>
    <definedName name="cable2x16" localSheetId="58">#REF!</definedName>
    <definedName name="cable2x16" localSheetId="59">#REF!</definedName>
    <definedName name="cable2x16" localSheetId="8">#REF!</definedName>
    <definedName name="cable2x16" localSheetId="17">#REF!</definedName>
    <definedName name="cable2x16" localSheetId="18">#REF!</definedName>
    <definedName name="cable2x16" localSheetId="63">#REF!</definedName>
    <definedName name="cable2x16" localSheetId="13">#REF!</definedName>
    <definedName name="cable2x16" localSheetId="12">#REF!</definedName>
    <definedName name="cable2x16" localSheetId="41">#REF!</definedName>
    <definedName name="cable2x16" localSheetId="42">#REF!</definedName>
    <definedName name="cable2x16" localSheetId="65">#REF!</definedName>
    <definedName name="cable2x16" localSheetId="25">#REF!</definedName>
    <definedName name="cable2x16" localSheetId="23">#REF!</definedName>
    <definedName name="cable2x16">#REF!</definedName>
    <definedName name="cable2x2.5" localSheetId="30">#REF!</definedName>
    <definedName name="cable2x2.5" localSheetId="29">#REF!</definedName>
    <definedName name="cable2x2.5" localSheetId="35">#REF!</definedName>
    <definedName name="cable2x2.5" localSheetId="34">#REF!</definedName>
    <definedName name="cable2x2.5" localSheetId="66">#REF!</definedName>
    <definedName name="cable2x2.5" localSheetId="22">#REF!</definedName>
    <definedName name="cable2x2.5" localSheetId="24">#REF!</definedName>
    <definedName name="cable2x2.5" localSheetId="39">#REF!</definedName>
    <definedName name="cable2x2.5" localSheetId="40">#REF!</definedName>
    <definedName name="cable2x2.5" localSheetId="53">#REF!</definedName>
    <definedName name="cable2x2.5" localSheetId="54">#REF!</definedName>
    <definedName name="cable2x2.5" localSheetId="5">#REF!</definedName>
    <definedName name="cable2x2.5" localSheetId="3">#REF!</definedName>
    <definedName name="cable2x2.5" localSheetId="48">#REF!</definedName>
    <definedName name="cable2x2.5" localSheetId="47">#REF!</definedName>
    <definedName name="cable2x2.5" localSheetId="52">#REF!</definedName>
    <definedName name="cable2x2.5" localSheetId="58">#REF!</definedName>
    <definedName name="cable2x2.5" localSheetId="59">#REF!</definedName>
    <definedName name="cable2x2.5" localSheetId="8">#REF!</definedName>
    <definedName name="cable2x2.5" localSheetId="17">#REF!</definedName>
    <definedName name="cable2x2.5" localSheetId="18">#REF!</definedName>
    <definedName name="cable2x2.5" localSheetId="63">#REF!</definedName>
    <definedName name="cable2x2.5" localSheetId="13">#REF!</definedName>
    <definedName name="cable2x2.5" localSheetId="12">#REF!</definedName>
    <definedName name="cable2x2.5" localSheetId="41">#REF!</definedName>
    <definedName name="cable2x2.5" localSheetId="42">#REF!</definedName>
    <definedName name="cable2x2.5" localSheetId="65">#REF!</definedName>
    <definedName name="cable2x2.5" localSheetId="25">#REF!</definedName>
    <definedName name="cable2x2.5" localSheetId="23">#REF!</definedName>
    <definedName name="cable2x2.5">#REF!</definedName>
    <definedName name="cable2x4" localSheetId="30">#REF!</definedName>
    <definedName name="cable2x4" localSheetId="29">#REF!</definedName>
    <definedName name="cable2x4" localSheetId="35">#REF!</definedName>
    <definedName name="cable2x4" localSheetId="34">#REF!</definedName>
    <definedName name="cable2x4" localSheetId="66">#REF!</definedName>
    <definedName name="cable2x4" localSheetId="22">#REF!</definedName>
    <definedName name="cable2x4" localSheetId="24">#REF!</definedName>
    <definedName name="cable2x4" localSheetId="39">#REF!</definedName>
    <definedName name="cable2x4" localSheetId="40">#REF!</definedName>
    <definedName name="cable2x4" localSheetId="53">#REF!</definedName>
    <definedName name="cable2x4" localSheetId="54">#REF!</definedName>
    <definedName name="cable2x4" localSheetId="5">#REF!</definedName>
    <definedName name="cable2x4" localSheetId="3">#REF!</definedName>
    <definedName name="cable2x4" localSheetId="48">#REF!</definedName>
    <definedName name="cable2x4" localSheetId="47">#REF!</definedName>
    <definedName name="cable2x4" localSheetId="52">#REF!</definedName>
    <definedName name="cable2x4" localSheetId="58">#REF!</definedName>
    <definedName name="cable2x4" localSheetId="59">#REF!</definedName>
    <definedName name="cable2x4" localSheetId="8">#REF!</definedName>
    <definedName name="cable2x4" localSheetId="17">#REF!</definedName>
    <definedName name="cable2x4" localSheetId="18">#REF!</definedName>
    <definedName name="cable2x4" localSheetId="63">#REF!</definedName>
    <definedName name="cable2x4" localSheetId="13">#REF!</definedName>
    <definedName name="cable2x4" localSheetId="12">#REF!</definedName>
    <definedName name="cable2x4" localSheetId="41">#REF!</definedName>
    <definedName name="cable2x4" localSheetId="42">#REF!</definedName>
    <definedName name="cable2x4" localSheetId="65">#REF!</definedName>
    <definedName name="cable2x4" localSheetId="25">#REF!</definedName>
    <definedName name="cable2x4" localSheetId="23">#REF!</definedName>
    <definedName name="cable2x4">#REF!</definedName>
    <definedName name="cable2x6" localSheetId="30">#REF!</definedName>
    <definedName name="cable2x6" localSheetId="29">#REF!</definedName>
    <definedName name="cable2x6" localSheetId="35">#REF!</definedName>
    <definedName name="cable2x6" localSheetId="34">#REF!</definedName>
    <definedName name="cable2x6" localSheetId="66">#REF!</definedName>
    <definedName name="cable2x6" localSheetId="22">#REF!</definedName>
    <definedName name="cable2x6" localSheetId="24">#REF!</definedName>
    <definedName name="cable2x6" localSheetId="39">#REF!</definedName>
    <definedName name="cable2x6" localSheetId="40">#REF!</definedName>
    <definedName name="cable2x6" localSheetId="53">#REF!</definedName>
    <definedName name="cable2x6" localSheetId="54">#REF!</definedName>
    <definedName name="cable2x6" localSheetId="5">#REF!</definedName>
    <definedName name="cable2x6" localSheetId="3">#REF!</definedName>
    <definedName name="cable2x6" localSheetId="48">#REF!</definedName>
    <definedName name="cable2x6" localSheetId="47">#REF!</definedName>
    <definedName name="cable2x6" localSheetId="52">#REF!</definedName>
    <definedName name="cable2x6" localSheetId="58">#REF!</definedName>
    <definedName name="cable2x6" localSheetId="59">#REF!</definedName>
    <definedName name="cable2x6" localSheetId="8">#REF!</definedName>
    <definedName name="cable2x6" localSheetId="17">#REF!</definedName>
    <definedName name="cable2x6" localSheetId="18">#REF!</definedName>
    <definedName name="cable2x6" localSheetId="63">#REF!</definedName>
    <definedName name="cable2x6" localSheetId="13">#REF!</definedName>
    <definedName name="cable2x6" localSheetId="12">#REF!</definedName>
    <definedName name="cable2x6" localSheetId="41">#REF!</definedName>
    <definedName name="cable2x6" localSheetId="42">#REF!</definedName>
    <definedName name="cable2x6" localSheetId="65">#REF!</definedName>
    <definedName name="cable2x6" localSheetId="25">#REF!</definedName>
    <definedName name="cable2x6" localSheetId="23">#REF!</definedName>
    <definedName name="cable2x6">#REF!</definedName>
    <definedName name="cable3x1.5" localSheetId="30">#REF!</definedName>
    <definedName name="cable3x1.5" localSheetId="29">#REF!</definedName>
    <definedName name="cable3x1.5" localSheetId="35">#REF!</definedName>
    <definedName name="cable3x1.5" localSheetId="34">#REF!</definedName>
    <definedName name="cable3x1.5" localSheetId="66">#REF!</definedName>
    <definedName name="cable3x1.5" localSheetId="22">#REF!</definedName>
    <definedName name="cable3x1.5" localSheetId="24">#REF!</definedName>
    <definedName name="cable3x1.5" localSheetId="39">#REF!</definedName>
    <definedName name="cable3x1.5" localSheetId="40">#REF!</definedName>
    <definedName name="cable3x1.5" localSheetId="53">#REF!</definedName>
    <definedName name="cable3x1.5" localSheetId="54">#REF!</definedName>
    <definedName name="cable3x1.5" localSheetId="5">#REF!</definedName>
    <definedName name="cable3x1.5" localSheetId="3">#REF!</definedName>
    <definedName name="cable3x1.5" localSheetId="48">#REF!</definedName>
    <definedName name="cable3x1.5" localSheetId="47">#REF!</definedName>
    <definedName name="cable3x1.5" localSheetId="52">#REF!</definedName>
    <definedName name="cable3x1.5" localSheetId="58">#REF!</definedName>
    <definedName name="cable3x1.5" localSheetId="59">#REF!</definedName>
    <definedName name="cable3x1.5" localSheetId="8">#REF!</definedName>
    <definedName name="cable3x1.5" localSheetId="17">#REF!</definedName>
    <definedName name="cable3x1.5" localSheetId="18">#REF!</definedName>
    <definedName name="cable3x1.5" localSheetId="63">#REF!</definedName>
    <definedName name="cable3x1.5" localSheetId="13">#REF!</definedName>
    <definedName name="cable3x1.5" localSheetId="12">#REF!</definedName>
    <definedName name="cable3x1.5" localSheetId="41">#REF!</definedName>
    <definedName name="cable3x1.5" localSheetId="42">#REF!</definedName>
    <definedName name="cable3x1.5" localSheetId="65">#REF!</definedName>
    <definedName name="cable3x1.5" localSheetId="25">#REF!</definedName>
    <definedName name="cable3x1.5" localSheetId="23">#REF!</definedName>
    <definedName name="cable3x1.5">#REF!</definedName>
    <definedName name="cable3x10" localSheetId="30">#REF!</definedName>
    <definedName name="cable3x10" localSheetId="29">#REF!</definedName>
    <definedName name="cable3x10" localSheetId="35">#REF!</definedName>
    <definedName name="cable3x10" localSheetId="34">#REF!</definedName>
    <definedName name="cable3x10" localSheetId="66">#REF!</definedName>
    <definedName name="cable3x10" localSheetId="22">#REF!</definedName>
    <definedName name="cable3x10" localSheetId="24">#REF!</definedName>
    <definedName name="cable3x10" localSheetId="39">#REF!</definedName>
    <definedName name="cable3x10" localSheetId="40">#REF!</definedName>
    <definedName name="cable3x10" localSheetId="53">#REF!</definedName>
    <definedName name="cable3x10" localSheetId="54">#REF!</definedName>
    <definedName name="cable3x10" localSheetId="5">#REF!</definedName>
    <definedName name="cable3x10" localSheetId="3">#REF!</definedName>
    <definedName name="cable3x10" localSheetId="48">#REF!</definedName>
    <definedName name="cable3x10" localSheetId="47">#REF!</definedName>
    <definedName name="cable3x10" localSheetId="52">#REF!</definedName>
    <definedName name="cable3x10" localSheetId="58">#REF!</definedName>
    <definedName name="cable3x10" localSheetId="59">#REF!</definedName>
    <definedName name="cable3x10" localSheetId="8">#REF!</definedName>
    <definedName name="cable3x10" localSheetId="17">#REF!</definedName>
    <definedName name="cable3x10" localSheetId="18">#REF!</definedName>
    <definedName name="cable3x10" localSheetId="63">#REF!</definedName>
    <definedName name="cable3x10" localSheetId="13">#REF!</definedName>
    <definedName name="cable3x10" localSheetId="12">#REF!</definedName>
    <definedName name="cable3x10" localSheetId="41">#REF!</definedName>
    <definedName name="cable3x10" localSheetId="42">#REF!</definedName>
    <definedName name="cable3x10" localSheetId="65">#REF!</definedName>
    <definedName name="cable3x10" localSheetId="25">#REF!</definedName>
    <definedName name="cable3x10" localSheetId="23">#REF!</definedName>
    <definedName name="cable3x10">#REF!</definedName>
    <definedName name="cable3x12070" localSheetId="30">#REF!</definedName>
    <definedName name="cable3x12070" localSheetId="29">#REF!</definedName>
    <definedName name="cable3x12070" localSheetId="35">#REF!</definedName>
    <definedName name="cable3x12070" localSheetId="34">#REF!</definedName>
    <definedName name="cable3x12070" localSheetId="66">#REF!</definedName>
    <definedName name="cable3x12070" localSheetId="22">#REF!</definedName>
    <definedName name="cable3x12070" localSheetId="24">#REF!</definedName>
    <definedName name="cable3x12070" localSheetId="39">#REF!</definedName>
    <definedName name="cable3x12070" localSheetId="40">#REF!</definedName>
    <definedName name="cable3x12070" localSheetId="53">#REF!</definedName>
    <definedName name="cable3x12070" localSheetId="54">#REF!</definedName>
    <definedName name="cable3x12070" localSheetId="5">#REF!</definedName>
    <definedName name="cable3x12070" localSheetId="3">#REF!</definedName>
    <definedName name="cable3x12070" localSheetId="48">#REF!</definedName>
    <definedName name="cable3x12070" localSheetId="47">#REF!</definedName>
    <definedName name="cable3x12070" localSheetId="52">#REF!</definedName>
    <definedName name="cable3x12070" localSheetId="58">#REF!</definedName>
    <definedName name="cable3x12070" localSheetId="59">#REF!</definedName>
    <definedName name="cable3x12070" localSheetId="8">#REF!</definedName>
    <definedName name="cable3x12070" localSheetId="17">#REF!</definedName>
    <definedName name="cable3x12070" localSheetId="18">#REF!</definedName>
    <definedName name="cable3x12070" localSheetId="63">#REF!</definedName>
    <definedName name="cable3x12070" localSheetId="13">#REF!</definedName>
    <definedName name="cable3x12070" localSheetId="12">#REF!</definedName>
    <definedName name="cable3x12070" localSheetId="41">#REF!</definedName>
    <definedName name="cable3x12070" localSheetId="42">#REF!</definedName>
    <definedName name="cable3x12070" localSheetId="65">#REF!</definedName>
    <definedName name="cable3x12070" localSheetId="25">#REF!</definedName>
    <definedName name="cable3x12070" localSheetId="23">#REF!</definedName>
    <definedName name="cable3x12070">#REF!</definedName>
    <definedName name="cable3x15070" localSheetId="30">#REF!</definedName>
    <definedName name="cable3x15070" localSheetId="29">#REF!</definedName>
    <definedName name="cable3x15070" localSheetId="35">#REF!</definedName>
    <definedName name="cable3x15070" localSheetId="34">#REF!</definedName>
    <definedName name="cable3x15070" localSheetId="66">#REF!</definedName>
    <definedName name="cable3x15070" localSheetId="22">#REF!</definedName>
    <definedName name="cable3x15070" localSheetId="24">#REF!</definedName>
    <definedName name="cable3x15070" localSheetId="39">#REF!</definedName>
    <definedName name="cable3x15070" localSheetId="40">#REF!</definedName>
    <definedName name="cable3x15070" localSheetId="53">#REF!</definedName>
    <definedName name="cable3x15070" localSheetId="54">#REF!</definedName>
    <definedName name="cable3x15070" localSheetId="5">#REF!</definedName>
    <definedName name="cable3x15070" localSheetId="3">#REF!</definedName>
    <definedName name="cable3x15070" localSheetId="48">#REF!</definedName>
    <definedName name="cable3x15070" localSheetId="47">#REF!</definedName>
    <definedName name="cable3x15070" localSheetId="52">#REF!</definedName>
    <definedName name="cable3x15070" localSheetId="58">#REF!</definedName>
    <definedName name="cable3x15070" localSheetId="59">#REF!</definedName>
    <definedName name="cable3x15070" localSheetId="8">#REF!</definedName>
    <definedName name="cable3x15070" localSheetId="17">#REF!</definedName>
    <definedName name="cable3x15070" localSheetId="18">#REF!</definedName>
    <definedName name="cable3x15070" localSheetId="63">#REF!</definedName>
    <definedName name="cable3x15070" localSheetId="13">#REF!</definedName>
    <definedName name="cable3x15070" localSheetId="12">#REF!</definedName>
    <definedName name="cable3x15070" localSheetId="41">#REF!</definedName>
    <definedName name="cable3x15070" localSheetId="42">#REF!</definedName>
    <definedName name="cable3x15070" localSheetId="65">#REF!</definedName>
    <definedName name="cable3x15070" localSheetId="25">#REF!</definedName>
    <definedName name="cable3x15070" localSheetId="23">#REF!</definedName>
    <definedName name="cable3x15070">#REF!</definedName>
    <definedName name="cable3x16" localSheetId="30">#REF!</definedName>
    <definedName name="cable3x16" localSheetId="29">#REF!</definedName>
    <definedName name="cable3x16" localSheetId="35">#REF!</definedName>
    <definedName name="cable3x16" localSheetId="34">#REF!</definedName>
    <definedName name="cable3x16" localSheetId="66">#REF!</definedName>
    <definedName name="cable3x16" localSheetId="22">#REF!</definedName>
    <definedName name="cable3x16" localSheetId="24">#REF!</definedName>
    <definedName name="cable3x16" localSheetId="39">#REF!</definedName>
    <definedName name="cable3x16" localSheetId="40">#REF!</definedName>
    <definedName name="cable3x16" localSheetId="53">#REF!</definedName>
    <definedName name="cable3x16" localSheetId="54">#REF!</definedName>
    <definedName name="cable3x16" localSheetId="5">#REF!</definedName>
    <definedName name="cable3x16" localSheetId="3">#REF!</definedName>
    <definedName name="cable3x16" localSheetId="48">#REF!</definedName>
    <definedName name="cable3x16" localSheetId="47">#REF!</definedName>
    <definedName name="cable3x16" localSheetId="52">#REF!</definedName>
    <definedName name="cable3x16" localSheetId="58">#REF!</definedName>
    <definedName name="cable3x16" localSheetId="59">#REF!</definedName>
    <definedName name="cable3x16" localSheetId="8">#REF!</definedName>
    <definedName name="cable3x16" localSheetId="17">#REF!</definedName>
    <definedName name="cable3x16" localSheetId="18">#REF!</definedName>
    <definedName name="cable3x16" localSheetId="63">#REF!</definedName>
    <definedName name="cable3x16" localSheetId="13">#REF!</definedName>
    <definedName name="cable3x16" localSheetId="12">#REF!</definedName>
    <definedName name="cable3x16" localSheetId="41">#REF!</definedName>
    <definedName name="cable3x16" localSheetId="42">#REF!</definedName>
    <definedName name="cable3x16" localSheetId="65">#REF!</definedName>
    <definedName name="cable3x16" localSheetId="25">#REF!</definedName>
    <definedName name="cable3x16" localSheetId="23">#REF!</definedName>
    <definedName name="cable3x16">#REF!</definedName>
    <definedName name="cable3x18595" localSheetId="30">#REF!</definedName>
    <definedName name="cable3x18595" localSheetId="29">#REF!</definedName>
    <definedName name="cable3x18595" localSheetId="35">#REF!</definedName>
    <definedName name="cable3x18595" localSheetId="34">#REF!</definedName>
    <definedName name="cable3x18595" localSheetId="66">#REF!</definedName>
    <definedName name="cable3x18595" localSheetId="22">#REF!</definedName>
    <definedName name="cable3x18595" localSheetId="24">#REF!</definedName>
    <definedName name="cable3x18595" localSheetId="39">#REF!</definedName>
    <definedName name="cable3x18595" localSheetId="40">#REF!</definedName>
    <definedName name="cable3x18595" localSheetId="53">#REF!</definedName>
    <definedName name="cable3x18595" localSheetId="54">#REF!</definedName>
    <definedName name="cable3x18595" localSheetId="5">#REF!</definedName>
    <definedName name="cable3x18595" localSheetId="3">#REF!</definedName>
    <definedName name="cable3x18595" localSheetId="48">#REF!</definedName>
    <definedName name="cable3x18595" localSheetId="47">#REF!</definedName>
    <definedName name="cable3x18595" localSheetId="52">#REF!</definedName>
    <definedName name="cable3x18595" localSheetId="58">#REF!</definedName>
    <definedName name="cable3x18595" localSheetId="59">#REF!</definedName>
    <definedName name="cable3x18595" localSheetId="8">#REF!</definedName>
    <definedName name="cable3x18595" localSheetId="17">#REF!</definedName>
    <definedName name="cable3x18595" localSheetId="18">#REF!</definedName>
    <definedName name="cable3x18595" localSheetId="63">#REF!</definedName>
    <definedName name="cable3x18595" localSheetId="13">#REF!</definedName>
    <definedName name="cable3x18595" localSheetId="12">#REF!</definedName>
    <definedName name="cable3x18595" localSheetId="41">#REF!</definedName>
    <definedName name="cable3x18595" localSheetId="42">#REF!</definedName>
    <definedName name="cable3x18595" localSheetId="65">#REF!</definedName>
    <definedName name="cable3x18595" localSheetId="25">#REF!</definedName>
    <definedName name="cable3x18595" localSheetId="23">#REF!</definedName>
    <definedName name="cable3x18595">#REF!</definedName>
    <definedName name="cable3x2.5" localSheetId="30">#REF!</definedName>
    <definedName name="cable3x2.5" localSheetId="29">#REF!</definedName>
    <definedName name="cable3x2.5" localSheetId="35">#REF!</definedName>
    <definedName name="cable3x2.5" localSheetId="34">#REF!</definedName>
    <definedName name="cable3x2.5" localSheetId="66">#REF!</definedName>
    <definedName name="cable3x2.5" localSheetId="22">#REF!</definedName>
    <definedName name="cable3x2.5" localSheetId="24">#REF!</definedName>
    <definedName name="cable3x2.5" localSheetId="39">#REF!</definedName>
    <definedName name="cable3x2.5" localSheetId="40">#REF!</definedName>
    <definedName name="cable3x2.5" localSheetId="53">#REF!</definedName>
    <definedName name="cable3x2.5" localSheetId="54">#REF!</definedName>
    <definedName name="cable3x2.5" localSheetId="5">#REF!</definedName>
    <definedName name="cable3x2.5" localSheetId="3">#REF!</definedName>
    <definedName name="cable3x2.5" localSheetId="48">#REF!</definedName>
    <definedName name="cable3x2.5" localSheetId="47">#REF!</definedName>
    <definedName name="cable3x2.5" localSheetId="52">#REF!</definedName>
    <definedName name="cable3x2.5" localSheetId="58">#REF!</definedName>
    <definedName name="cable3x2.5" localSheetId="59">#REF!</definedName>
    <definedName name="cable3x2.5" localSheetId="8">#REF!</definedName>
    <definedName name="cable3x2.5" localSheetId="17">#REF!</definedName>
    <definedName name="cable3x2.5" localSheetId="18">#REF!</definedName>
    <definedName name="cable3x2.5" localSheetId="63">#REF!</definedName>
    <definedName name="cable3x2.5" localSheetId="13">#REF!</definedName>
    <definedName name="cable3x2.5" localSheetId="12">#REF!</definedName>
    <definedName name="cable3x2.5" localSheetId="41">#REF!</definedName>
    <definedName name="cable3x2.5" localSheetId="42">#REF!</definedName>
    <definedName name="cable3x2.5" localSheetId="65">#REF!</definedName>
    <definedName name="cable3x2.5" localSheetId="25">#REF!</definedName>
    <definedName name="cable3x2.5" localSheetId="23">#REF!</definedName>
    <definedName name="cable3x2.5">#REF!</definedName>
    <definedName name="cable3x240120" localSheetId="30">#REF!</definedName>
    <definedName name="cable3x240120" localSheetId="29">#REF!</definedName>
    <definedName name="cable3x240120" localSheetId="35">#REF!</definedName>
    <definedName name="cable3x240120" localSheetId="34">#REF!</definedName>
    <definedName name="cable3x240120" localSheetId="66">#REF!</definedName>
    <definedName name="cable3x240120" localSheetId="22">#REF!</definedName>
    <definedName name="cable3x240120" localSheetId="24">#REF!</definedName>
    <definedName name="cable3x240120" localSheetId="39">#REF!</definedName>
    <definedName name="cable3x240120" localSheetId="40">#REF!</definedName>
    <definedName name="cable3x240120" localSheetId="53">#REF!</definedName>
    <definedName name="cable3x240120" localSheetId="54">#REF!</definedName>
    <definedName name="cable3x240120" localSheetId="5">#REF!</definedName>
    <definedName name="cable3x240120" localSheetId="3">#REF!</definedName>
    <definedName name="cable3x240120" localSheetId="48">#REF!</definedName>
    <definedName name="cable3x240120" localSheetId="47">#REF!</definedName>
    <definedName name="cable3x240120" localSheetId="52">#REF!</definedName>
    <definedName name="cable3x240120" localSheetId="58">#REF!</definedName>
    <definedName name="cable3x240120" localSheetId="59">#REF!</definedName>
    <definedName name="cable3x240120" localSheetId="8">#REF!</definedName>
    <definedName name="cable3x240120" localSheetId="17">#REF!</definedName>
    <definedName name="cable3x240120" localSheetId="18">#REF!</definedName>
    <definedName name="cable3x240120" localSheetId="63">#REF!</definedName>
    <definedName name="cable3x240120" localSheetId="13">#REF!</definedName>
    <definedName name="cable3x240120" localSheetId="12">#REF!</definedName>
    <definedName name="cable3x240120" localSheetId="41">#REF!</definedName>
    <definedName name="cable3x240120" localSheetId="42">#REF!</definedName>
    <definedName name="cable3x240120" localSheetId="65">#REF!</definedName>
    <definedName name="cable3x240120" localSheetId="25">#REF!</definedName>
    <definedName name="cable3x240120" localSheetId="23">#REF!</definedName>
    <definedName name="cable3x240120">#REF!</definedName>
    <definedName name="cable3x2516" localSheetId="30">#REF!</definedName>
    <definedName name="cable3x2516" localSheetId="29">#REF!</definedName>
    <definedName name="cable3x2516" localSheetId="35">#REF!</definedName>
    <definedName name="cable3x2516" localSheetId="34">#REF!</definedName>
    <definedName name="cable3x2516" localSheetId="66">#REF!</definedName>
    <definedName name="cable3x2516" localSheetId="22">#REF!</definedName>
    <definedName name="cable3x2516" localSheetId="24">#REF!</definedName>
    <definedName name="cable3x2516" localSheetId="39">#REF!</definedName>
    <definedName name="cable3x2516" localSheetId="40">#REF!</definedName>
    <definedName name="cable3x2516" localSheetId="53">#REF!</definedName>
    <definedName name="cable3x2516" localSheetId="54">#REF!</definedName>
    <definedName name="cable3x2516" localSheetId="5">#REF!</definedName>
    <definedName name="cable3x2516" localSheetId="3">#REF!</definedName>
    <definedName name="cable3x2516" localSheetId="48">#REF!</definedName>
    <definedName name="cable3x2516" localSheetId="47">#REF!</definedName>
    <definedName name="cable3x2516" localSheetId="52">#REF!</definedName>
    <definedName name="cable3x2516" localSheetId="58">#REF!</definedName>
    <definedName name="cable3x2516" localSheetId="59">#REF!</definedName>
    <definedName name="cable3x2516" localSheetId="8">#REF!</definedName>
    <definedName name="cable3x2516" localSheetId="17">#REF!</definedName>
    <definedName name="cable3x2516" localSheetId="18">#REF!</definedName>
    <definedName name="cable3x2516" localSheetId="63">#REF!</definedName>
    <definedName name="cable3x2516" localSheetId="13">#REF!</definedName>
    <definedName name="cable3x2516" localSheetId="12">#REF!</definedName>
    <definedName name="cable3x2516" localSheetId="41">#REF!</definedName>
    <definedName name="cable3x2516" localSheetId="42">#REF!</definedName>
    <definedName name="cable3x2516" localSheetId="65">#REF!</definedName>
    <definedName name="cable3x2516" localSheetId="25">#REF!</definedName>
    <definedName name="cable3x2516" localSheetId="23">#REF!</definedName>
    <definedName name="cable3x2516">#REF!</definedName>
    <definedName name="cable3x300150" localSheetId="30">#REF!</definedName>
    <definedName name="cable3x300150" localSheetId="29">#REF!</definedName>
    <definedName name="cable3x300150" localSheetId="35">#REF!</definedName>
    <definedName name="cable3x300150" localSheetId="34">#REF!</definedName>
    <definedName name="cable3x300150" localSheetId="66">#REF!</definedName>
    <definedName name="cable3x300150" localSheetId="22">#REF!</definedName>
    <definedName name="cable3x300150" localSheetId="24">#REF!</definedName>
    <definedName name="cable3x300150" localSheetId="39">#REF!</definedName>
    <definedName name="cable3x300150" localSheetId="40">#REF!</definedName>
    <definedName name="cable3x300150" localSheetId="53">#REF!</definedName>
    <definedName name="cable3x300150" localSheetId="54">#REF!</definedName>
    <definedName name="cable3x300150" localSheetId="5">#REF!</definedName>
    <definedName name="cable3x300150" localSheetId="3">#REF!</definedName>
    <definedName name="cable3x300150" localSheetId="48">#REF!</definedName>
    <definedName name="cable3x300150" localSheetId="47">#REF!</definedName>
    <definedName name="cable3x300150" localSheetId="52">#REF!</definedName>
    <definedName name="cable3x300150" localSheetId="58">#REF!</definedName>
    <definedName name="cable3x300150" localSheetId="59">#REF!</definedName>
    <definedName name="cable3x300150" localSheetId="8">#REF!</definedName>
    <definedName name="cable3x300150" localSheetId="17">#REF!</definedName>
    <definedName name="cable3x300150" localSheetId="18">#REF!</definedName>
    <definedName name="cable3x300150" localSheetId="63">#REF!</definedName>
    <definedName name="cable3x300150" localSheetId="13">#REF!</definedName>
    <definedName name="cable3x300150" localSheetId="12">#REF!</definedName>
    <definedName name="cable3x300150" localSheetId="41">#REF!</definedName>
    <definedName name="cable3x300150" localSheetId="42">#REF!</definedName>
    <definedName name="cable3x300150" localSheetId="65">#REF!</definedName>
    <definedName name="cable3x300150" localSheetId="25">#REF!</definedName>
    <definedName name="cable3x300150" localSheetId="23">#REF!</definedName>
    <definedName name="cable3x300150">#REF!</definedName>
    <definedName name="cable3x3516" localSheetId="30">#REF!</definedName>
    <definedName name="cable3x3516" localSheetId="29">#REF!</definedName>
    <definedName name="cable3x3516" localSheetId="35">#REF!</definedName>
    <definedName name="cable3x3516" localSheetId="34">#REF!</definedName>
    <definedName name="cable3x3516" localSheetId="66">#REF!</definedName>
    <definedName name="cable3x3516" localSheetId="22">#REF!</definedName>
    <definedName name="cable3x3516" localSheetId="24">#REF!</definedName>
    <definedName name="cable3x3516" localSheetId="39">#REF!</definedName>
    <definedName name="cable3x3516" localSheetId="40">#REF!</definedName>
    <definedName name="cable3x3516" localSheetId="53">#REF!</definedName>
    <definedName name="cable3x3516" localSheetId="54">#REF!</definedName>
    <definedName name="cable3x3516" localSheetId="5">#REF!</definedName>
    <definedName name="cable3x3516" localSheetId="3">#REF!</definedName>
    <definedName name="cable3x3516" localSheetId="48">#REF!</definedName>
    <definedName name="cable3x3516" localSheetId="47">#REF!</definedName>
    <definedName name="cable3x3516" localSheetId="52">#REF!</definedName>
    <definedName name="cable3x3516" localSheetId="58">#REF!</definedName>
    <definedName name="cable3x3516" localSheetId="59">#REF!</definedName>
    <definedName name="cable3x3516" localSheetId="8">#REF!</definedName>
    <definedName name="cable3x3516" localSheetId="17">#REF!</definedName>
    <definedName name="cable3x3516" localSheetId="18">#REF!</definedName>
    <definedName name="cable3x3516" localSheetId="63">#REF!</definedName>
    <definedName name="cable3x3516" localSheetId="13">#REF!</definedName>
    <definedName name="cable3x3516" localSheetId="12">#REF!</definedName>
    <definedName name="cable3x3516" localSheetId="41">#REF!</definedName>
    <definedName name="cable3x3516" localSheetId="42">#REF!</definedName>
    <definedName name="cable3x3516" localSheetId="65">#REF!</definedName>
    <definedName name="cable3x3516" localSheetId="25">#REF!</definedName>
    <definedName name="cable3x3516" localSheetId="23">#REF!</definedName>
    <definedName name="cable3x3516">#REF!</definedName>
    <definedName name="cable3x4" localSheetId="30">#REF!</definedName>
    <definedName name="cable3x4" localSheetId="29">#REF!</definedName>
    <definedName name="cable3x4" localSheetId="35">#REF!</definedName>
    <definedName name="cable3x4" localSheetId="34">#REF!</definedName>
    <definedName name="cable3x4" localSheetId="66">#REF!</definedName>
    <definedName name="cable3x4" localSheetId="22">#REF!</definedName>
    <definedName name="cable3x4" localSheetId="24">#REF!</definedName>
    <definedName name="cable3x4" localSheetId="39">#REF!</definedName>
    <definedName name="cable3x4" localSheetId="40">#REF!</definedName>
    <definedName name="cable3x4" localSheetId="53">#REF!</definedName>
    <definedName name="cable3x4" localSheetId="54">#REF!</definedName>
    <definedName name="cable3x4" localSheetId="5">#REF!</definedName>
    <definedName name="cable3x4" localSheetId="3">#REF!</definedName>
    <definedName name="cable3x4" localSheetId="48">#REF!</definedName>
    <definedName name="cable3x4" localSheetId="47">#REF!</definedName>
    <definedName name="cable3x4" localSheetId="52">#REF!</definedName>
    <definedName name="cable3x4" localSheetId="58">#REF!</definedName>
    <definedName name="cable3x4" localSheetId="59">#REF!</definedName>
    <definedName name="cable3x4" localSheetId="8">#REF!</definedName>
    <definedName name="cable3x4" localSheetId="17">#REF!</definedName>
    <definedName name="cable3x4" localSheetId="18">#REF!</definedName>
    <definedName name="cable3x4" localSheetId="63">#REF!</definedName>
    <definedName name="cable3x4" localSheetId="13">#REF!</definedName>
    <definedName name="cable3x4" localSheetId="12">#REF!</definedName>
    <definedName name="cable3x4" localSheetId="41">#REF!</definedName>
    <definedName name="cable3x4" localSheetId="42">#REF!</definedName>
    <definedName name="cable3x4" localSheetId="65">#REF!</definedName>
    <definedName name="cable3x4" localSheetId="25">#REF!</definedName>
    <definedName name="cable3x4" localSheetId="23">#REF!</definedName>
    <definedName name="cable3x4">#REF!</definedName>
    <definedName name="cable3x5" localSheetId="30">#REF!</definedName>
    <definedName name="cable3x5" localSheetId="29">#REF!</definedName>
    <definedName name="cable3x5" localSheetId="35">#REF!</definedName>
    <definedName name="cable3x5" localSheetId="34">#REF!</definedName>
    <definedName name="cable3x5" localSheetId="66">#REF!</definedName>
    <definedName name="cable3x5" localSheetId="22">#REF!</definedName>
    <definedName name="cable3x5" localSheetId="24">#REF!</definedName>
    <definedName name="cable3x5" localSheetId="39">#REF!</definedName>
    <definedName name="cable3x5" localSheetId="40">#REF!</definedName>
    <definedName name="cable3x5" localSheetId="53">#REF!</definedName>
    <definedName name="cable3x5" localSheetId="54">#REF!</definedName>
    <definedName name="cable3x5" localSheetId="5">#REF!</definedName>
    <definedName name="cable3x5" localSheetId="3">#REF!</definedName>
    <definedName name="cable3x5" localSheetId="48">#REF!</definedName>
    <definedName name="cable3x5" localSheetId="47">#REF!</definedName>
    <definedName name="cable3x5" localSheetId="52">#REF!</definedName>
    <definedName name="cable3x5" localSheetId="58">#REF!</definedName>
    <definedName name="cable3x5" localSheetId="59">#REF!</definedName>
    <definedName name="cable3x5" localSheetId="8">#REF!</definedName>
    <definedName name="cable3x5" localSheetId="17">#REF!</definedName>
    <definedName name="cable3x5" localSheetId="18">#REF!</definedName>
    <definedName name="cable3x5" localSheetId="63">#REF!</definedName>
    <definedName name="cable3x5" localSheetId="13">#REF!</definedName>
    <definedName name="cable3x5" localSheetId="12">#REF!</definedName>
    <definedName name="cable3x5" localSheetId="41">#REF!</definedName>
    <definedName name="cable3x5" localSheetId="42">#REF!</definedName>
    <definedName name="cable3x5" localSheetId="65">#REF!</definedName>
    <definedName name="cable3x5" localSheetId="25">#REF!</definedName>
    <definedName name="cable3x5" localSheetId="23">#REF!</definedName>
    <definedName name="cable3x5">#REF!</definedName>
    <definedName name="cable3x5025" localSheetId="30">#REF!</definedName>
    <definedName name="cable3x5025" localSheetId="29">#REF!</definedName>
    <definedName name="cable3x5025" localSheetId="35">#REF!</definedName>
    <definedName name="cable3x5025" localSheetId="34">#REF!</definedName>
    <definedName name="cable3x5025" localSheetId="66">#REF!</definedName>
    <definedName name="cable3x5025" localSheetId="22">#REF!</definedName>
    <definedName name="cable3x5025" localSheetId="24">#REF!</definedName>
    <definedName name="cable3x5025" localSheetId="39">#REF!</definedName>
    <definedName name="cable3x5025" localSheetId="40">#REF!</definedName>
    <definedName name="cable3x5025" localSheetId="53">#REF!</definedName>
    <definedName name="cable3x5025" localSheetId="54">#REF!</definedName>
    <definedName name="cable3x5025" localSheetId="5">#REF!</definedName>
    <definedName name="cable3x5025" localSheetId="3">#REF!</definedName>
    <definedName name="cable3x5025" localSheetId="48">#REF!</definedName>
    <definedName name="cable3x5025" localSheetId="47">#REF!</definedName>
    <definedName name="cable3x5025" localSheetId="52">#REF!</definedName>
    <definedName name="cable3x5025" localSheetId="58">#REF!</definedName>
    <definedName name="cable3x5025" localSheetId="59">#REF!</definedName>
    <definedName name="cable3x5025" localSheetId="8">#REF!</definedName>
    <definedName name="cable3x5025" localSheetId="17">#REF!</definedName>
    <definedName name="cable3x5025" localSheetId="18">#REF!</definedName>
    <definedName name="cable3x5025" localSheetId="63">#REF!</definedName>
    <definedName name="cable3x5025" localSheetId="13">#REF!</definedName>
    <definedName name="cable3x5025" localSheetId="12">#REF!</definedName>
    <definedName name="cable3x5025" localSheetId="41">#REF!</definedName>
    <definedName name="cable3x5025" localSheetId="42">#REF!</definedName>
    <definedName name="cable3x5025" localSheetId="65">#REF!</definedName>
    <definedName name="cable3x5025" localSheetId="25">#REF!</definedName>
    <definedName name="cable3x5025" localSheetId="23">#REF!</definedName>
    <definedName name="cable3x5025">#REF!</definedName>
    <definedName name="cable3x6" localSheetId="30">#REF!</definedName>
    <definedName name="cable3x6" localSheetId="29">#REF!</definedName>
    <definedName name="cable3x6" localSheetId="35">#REF!</definedName>
    <definedName name="cable3x6" localSheetId="34">#REF!</definedName>
    <definedName name="cable3x6" localSheetId="66">#REF!</definedName>
    <definedName name="cable3x6" localSheetId="22">#REF!</definedName>
    <definedName name="cable3x6" localSheetId="24">#REF!</definedName>
    <definedName name="cable3x6" localSheetId="39">#REF!</definedName>
    <definedName name="cable3x6" localSheetId="40">#REF!</definedName>
    <definedName name="cable3x6" localSheetId="53">#REF!</definedName>
    <definedName name="cable3x6" localSheetId="54">#REF!</definedName>
    <definedName name="cable3x6" localSheetId="5">#REF!</definedName>
    <definedName name="cable3x6" localSheetId="3">#REF!</definedName>
    <definedName name="cable3x6" localSheetId="48">#REF!</definedName>
    <definedName name="cable3x6" localSheetId="47">#REF!</definedName>
    <definedName name="cable3x6" localSheetId="52">#REF!</definedName>
    <definedName name="cable3x6" localSheetId="58">#REF!</definedName>
    <definedName name="cable3x6" localSheetId="59">#REF!</definedName>
    <definedName name="cable3x6" localSheetId="8">#REF!</definedName>
    <definedName name="cable3x6" localSheetId="17">#REF!</definedName>
    <definedName name="cable3x6" localSheetId="18">#REF!</definedName>
    <definedName name="cable3x6" localSheetId="63">#REF!</definedName>
    <definedName name="cable3x6" localSheetId="13">#REF!</definedName>
    <definedName name="cable3x6" localSheetId="12">#REF!</definedName>
    <definedName name="cable3x6" localSheetId="41">#REF!</definedName>
    <definedName name="cable3x6" localSheetId="42">#REF!</definedName>
    <definedName name="cable3x6" localSheetId="65">#REF!</definedName>
    <definedName name="cable3x6" localSheetId="25">#REF!</definedName>
    <definedName name="cable3x6" localSheetId="23">#REF!</definedName>
    <definedName name="cable3x6">#REF!</definedName>
    <definedName name="cable3x7035" localSheetId="30">#REF!</definedName>
    <definedName name="cable3x7035" localSheetId="29">#REF!</definedName>
    <definedName name="cable3x7035" localSheetId="35">#REF!</definedName>
    <definedName name="cable3x7035" localSheetId="34">#REF!</definedName>
    <definedName name="cable3x7035" localSheetId="66">#REF!</definedName>
    <definedName name="cable3x7035" localSheetId="22">#REF!</definedName>
    <definedName name="cable3x7035" localSheetId="24">#REF!</definedName>
    <definedName name="cable3x7035" localSheetId="39">#REF!</definedName>
    <definedName name="cable3x7035" localSheetId="40">#REF!</definedName>
    <definedName name="cable3x7035" localSheetId="53">#REF!</definedName>
    <definedName name="cable3x7035" localSheetId="54">#REF!</definedName>
    <definedName name="cable3x7035" localSheetId="5">#REF!</definedName>
    <definedName name="cable3x7035" localSheetId="3">#REF!</definedName>
    <definedName name="cable3x7035" localSheetId="48">#REF!</definedName>
    <definedName name="cable3x7035" localSheetId="47">#REF!</definedName>
    <definedName name="cable3x7035" localSheetId="52">#REF!</definedName>
    <definedName name="cable3x7035" localSheetId="58">#REF!</definedName>
    <definedName name="cable3x7035" localSheetId="59">#REF!</definedName>
    <definedName name="cable3x7035" localSheetId="8">#REF!</definedName>
    <definedName name="cable3x7035" localSheetId="17">#REF!</definedName>
    <definedName name="cable3x7035" localSheetId="18">#REF!</definedName>
    <definedName name="cable3x7035" localSheetId="63">#REF!</definedName>
    <definedName name="cable3x7035" localSheetId="13">#REF!</definedName>
    <definedName name="cable3x7035" localSheetId="12">#REF!</definedName>
    <definedName name="cable3x7035" localSheetId="41">#REF!</definedName>
    <definedName name="cable3x7035" localSheetId="42">#REF!</definedName>
    <definedName name="cable3x7035" localSheetId="65">#REF!</definedName>
    <definedName name="cable3x7035" localSheetId="25">#REF!</definedName>
    <definedName name="cable3x7035" localSheetId="23">#REF!</definedName>
    <definedName name="cable3x7035">#REF!</definedName>
    <definedName name="cable3x9550" localSheetId="30">#REF!</definedName>
    <definedName name="cable3x9550" localSheetId="29">#REF!</definedName>
    <definedName name="cable3x9550" localSheetId="35">#REF!</definedName>
    <definedName name="cable3x9550" localSheetId="34">#REF!</definedName>
    <definedName name="cable3x9550" localSheetId="66">#REF!</definedName>
    <definedName name="cable3x9550" localSheetId="22">#REF!</definedName>
    <definedName name="cable3x9550" localSheetId="24">#REF!</definedName>
    <definedName name="cable3x9550" localSheetId="39">#REF!</definedName>
    <definedName name="cable3x9550" localSheetId="40">#REF!</definedName>
    <definedName name="cable3x9550" localSheetId="53">#REF!</definedName>
    <definedName name="cable3x9550" localSheetId="54">#REF!</definedName>
    <definedName name="cable3x9550" localSheetId="5">#REF!</definedName>
    <definedName name="cable3x9550" localSheetId="3">#REF!</definedName>
    <definedName name="cable3x9550" localSheetId="48">#REF!</definedName>
    <definedName name="cable3x9550" localSheetId="47">#REF!</definedName>
    <definedName name="cable3x9550" localSheetId="52">#REF!</definedName>
    <definedName name="cable3x9550" localSheetId="58">#REF!</definedName>
    <definedName name="cable3x9550" localSheetId="59">#REF!</definedName>
    <definedName name="cable3x9550" localSheetId="8">#REF!</definedName>
    <definedName name="cable3x9550" localSheetId="17">#REF!</definedName>
    <definedName name="cable3x9550" localSheetId="18">#REF!</definedName>
    <definedName name="cable3x9550" localSheetId="63">#REF!</definedName>
    <definedName name="cable3x9550" localSheetId="13">#REF!</definedName>
    <definedName name="cable3x9550" localSheetId="12">#REF!</definedName>
    <definedName name="cable3x9550" localSheetId="41">#REF!</definedName>
    <definedName name="cable3x9550" localSheetId="42">#REF!</definedName>
    <definedName name="cable3x9550" localSheetId="65">#REF!</definedName>
    <definedName name="cable3x9550" localSheetId="25">#REF!</definedName>
    <definedName name="cable3x9550" localSheetId="23">#REF!</definedName>
    <definedName name="cable3x9550">#REF!</definedName>
    <definedName name="cable4x1.5" localSheetId="30">#REF!</definedName>
    <definedName name="cable4x1.5" localSheetId="29">#REF!</definedName>
    <definedName name="cable4x1.5" localSheetId="35">#REF!</definedName>
    <definedName name="cable4x1.5" localSheetId="34">#REF!</definedName>
    <definedName name="cable4x1.5" localSheetId="66">#REF!</definedName>
    <definedName name="cable4x1.5" localSheetId="22">#REF!</definedName>
    <definedName name="cable4x1.5" localSheetId="24">#REF!</definedName>
    <definedName name="cable4x1.5" localSheetId="39">#REF!</definedName>
    <definedName name="cable4x1.5" localSheetId="40">#REF!</definedName>
    <definedName name="cable4x1.5" localSheetId="53">#REF!</definedName>
    <definedName name="cable4x1.5" localSheetId="54">#REF!</definedName>
    <definedName name="cable4x1.5" localSheetId="5">#REF!</definedName>
    <definedName name="cable4x1.5" localSheetId="3">#REF!</definedName>
    <definedName name="cable4x1.5" localSheetId="48">#REF!</definedName>
    <definedName name="cable4x1.5" localSheetId="47">#REF!</definedName>
    <definedName name="cable4x1.5" localSheetId="52">#REF!</definedName>
    <definedName name="cable4x1.5" localSheetId="58">#REF!</definedName>
    <definedName name="cable4x1.5" localSheetId="59">#REF!</definedName>
    <definedName name="cable4x1.5" localSheetId="8">#REF!</definedName>
    <definedName name="cable4x1.5" localSheetId="17">#REF!</definedName>
    <definedName name="cable4x1.5" localSheetId="18">#REF!</definedName>
    <definedName name="cable4x1.5" localSheetId="63">#REF!</definedName>
    <definedName name="cable4x1.5" localSheetId="13">#REF!</definedName>
    <definedName name="cable4x1.5" localSheetId="12">#REF!</definedName>
    <definedName name="cable4x1.5" localSheetId="41">#REF!</definedName>
    <definedName name="cable4x1.5" localSheetId="42">#REF!</definedName>
    <definedName name="cable4x1.5" localSheetId="65">#REF!</definedName>
    <definedName name="cable4x1.5" localSheetId="25">#REF!</definedName>
    <definedName name="cable4x1.5" localSheetId="23">#REF!</definedName>
    <definedName name="cable4x1.5">#REF!</definedName>
    <definedName name="cable4x10" localSheetId="30">#REF!</definedName>
    <definedName name="cable4x10" localSheetId="29">#REF!</definedName>
    <definedName name="cable4x10" localSheetId="35">#REF!</definedName>
    <definedName name="cable4x10" localSheetId="34">#REF!</definedName>
    <definedName name="cable4x10" localSheetId="66">#REF!</definedName>
    <definedName name="cable4x10" localSheetId="22">#REF!</definedName>
    <definedName name="cable4x10" localSheetId="24">#REF!</definedName>
    <definedName name="cable4x10" localSheetId="39">#REF!</definedName>
    <definedName name="cable4x10" localSheetId="40">#REF!</definedName>
    <definedName name="cable4x10" localSheetId="53">#REF!</definedName>
    <definedName name="cable4x10" localSheetId="54">#REF!</definedName>
    <definedName name="cable4x10" localSheetId="5">#REF!</definedName>
    <definedName name="cable4x10" localSheetId="3">#REF!</definedName>
    <definedName name="cable4x10" localSheetId="48">#REF!</definedName>
    <definedName name="cable4x10" localSheetId="47">#REF!</definedName>
    <definedName name="cable4x10" localSheetId="52">#REF!</definedName>
    <definedName name="cable4x10" localSheetId="58">#REF!</definedName>
    <definedName name="cable4x10" localSheetId="59">#REF!</definedName>
    <definedName name="cable4x10" localSheetId="8">#REF!</definedName>
    <definedName name="cable4x10" localSheetId="17">#REF!</definedName>
    <definedName name="cable4x10" localSheetId="18">#REF!</definedName>
    <definedName name="cable4x10" localSheetId="63">#REF!</definedName>
    <definedName name="cable4x10" localSheetId="13">#REF!</definedName>
    <definedName name="cable4x10" localSheetId="12">#REF!</definedName>
    <definedName name="cable4x10" localSheetId="41">#REF!</definedName>
    <definedName name="cable4x10" localSheetId="42">#REF!</definedName>
    <definedName name="cable4x10" localSheetId="65">#REF!</definedName>
    <definedName name="cable4x10" localSheetId="25">#REF!</definedName>
    <definedName name="cable4x10" localSheetId="23">#REF!</definedName>
    <definedName name="cable4x10">#REF!</definedName>
    <definedName name="cable4x16" localSheetId="30">#REF!</definedName>
    <definedName name="cable4x16" localSheetId="29">#REF!</definedName>
    <definedName name="cable4x16" localSheetId="35">#REF!</definedName>
    <definedName name="cable4x16" localSheetId="34">#REF!</definedName>
    <definedName name="cable4x16" localSheetId="66">#REF!</definedName>
    <definedName name="cable4x16" localSheetId="22">#REF!</definedName>
    <definedName name="cable4x16" localSheetId="24">#REF!</definedName>
    <definedName name="cable4x16" localSheetId="39">#REF!</definedName>
    <definedName name="cable4x16" localSheetId="40">#REF!</definedName>
    <definedName name="cable4x16" localSheetId="53">#REF!</definedName>
    <definedName name="cable4x16" localSheetId="54">#REF!</definedName>
    <definedName name="cable4x16" localSheetId="5">#REF!</definedName>
    <definedName name="cable4x16" localSheetId="3">#REF!</definedName>
    <definedName name="cable4x16" localSheetId="48">#REF!</definedName>
    <definedName name="cable4x16" localSheetId="47">#REF!</definedName>
    <definedName name="cable4x16" localSheetId="52">#REF!</definedName>
    <definedName name="cable4x16" localSheetId="58">#REF!</definedName>
    <definedName name="cable4x16" localSheetId="59">#REF!</definedName>
    <definedName name="cable4x16" localSheetId="8">#REF!</definedName>
    <definedName name="cable4x16" localSheetId="17">#REF!</definedName>
    <definedName name="cable4x16" localSheetId="18">#REF!</definedName>
    <definedName name="cable4x16" localSheetId="63">#REF!</definedName>
    <definedName name="cable4x16" localSheetId="13">#REF!</definedName>
    <definedName name="cable4x16" localSheetId="12">#REF!</definedName>
    <definedName name="cable4x16" localSheetId="41">#REF!</definedName>
    <definedName name="cable4x16" localSheetId="42">#REF!</definedName>
    <definedName name="cable4x16" localSheetId="65">#REF!</definedName>
    <definedName name="cable4x16" localSheetId="25">#REF!</definedName>
    <definedName name="cable4x16" localSheetId="23">#REF!</definedName>
    <definedName name="cable4x16">#REF!</definedName>
    <definedName name="cable4x2.5" localSheetId="30">#REF!</definedName>
    <definedName name="cable4x2.5" localSheetId="29">#REF!</definedName>
    <definedName name="cable4x2.5" localSheetId="35">#REF!</definedName>
    <definedName name="cable4x2.5" localSheetId="34">#REF!</definedName>
    <definedName name="cable4x2.5" localSheetId="66">#REF!</definedName>
    <definedName name="cable4x2.5" localSheetId="22">#REF!</definedName>
    <definedName name="cable4x2.5" localSheetId="24">#REF!</definedName>
    <definedName name="cable4x2.5" localSheetId="39">#REF!</definedName>
    <definedName name="cable4x2.5" localSheetId="40">#REF!</definedName>
    <definedName name="cable4x2.5" localSheetId="53">#REF!</definedName>
    <definedName name="cable4x2.5" localSheetId="54">#REF!</definedName>
    <definedName name="cable4x2.5" localSheetId="5">#REF!</definedName>
    <definedName name="cable4x2.5" localSheetId="3">#REF!</definedName>
    <definedName name="cable4x2.5" localSheetId="48">#REF!</definedName>
    <definedName name="cable4x2.5" localSheetId="47">#REF!</definedName>
    <definedName name="cable4x2.5" localSheetId="52">#REF!</definedName>
    <definedName name="cable4x2.5" localSheetId="58">#REF!</definedName>
    <definedName name="cable4x2.5" localSheetId="59">#REF!</definedName>
    <definedName name="cable4x2.5" localSheetId="8">#REF!</definedName>
    <definedName name="cable4x2.5" localSheetId="17">#REF!</definedName>
    <definedName name="cable4x2.5" localSheetId="18">#REF!</definedName>
    <definedName name="cable4x2.5" localSheetId="63">#REF!</definedName>
    <definedName name="cable4x2.5" localSheetId="13">#REF!</definedName>
    <definedName name="cable4x2.5" localSheetId="12">#REF!</definedName>
    <definedName name="cable4x2.5" localSheetId="41">#REF!</definedName>
    <definedName name="cable4x2.5" localSheetId="42">#REF!</definedName>
    <definedName name="cable4x2.5" localSheetId="65">#REF!</definedName>
    <definedName name="cable4x2.5" localSheetId="25">#REF!</definedName>
    <definedName name="cable4x2.5" localSheetId="23">#REF!</definedName>
    <definedName name="cable4x2.5">#REF!</definedName>
    <definedName name="cable4x4" localSheetId="30">#REF!</definedName>
    <definedName name="cable4x4" localSheetId="29">#REF!</definedName>
    <definedName name="cable4x4" localSheetId="35">#REF!</definedName>
    <definedName name="cable4x4" localSheetId="34">#REF!</definedName>
    <definedName name="cable4x4" localSheetId="66">#REF!</definedName>
    <definedName name="cable4x4" localSheetId="22">#REF!</definedName>
    <definedName name="cable4x4" localSheetId="24">#REF!</definedName>
    <definedName name="cable4x4" localSheetId="39">#REF!</definedName>
    <definedName name="cable4x4" localSheetId="40">#REF!</definedName>
    <definedName name="cable4x4" localSheetId="53">#REF!</definedName>
    <definedName name="cable4x4" localSheetId="54">#REF!</definedName>
    <definedName name="cable4x4" localSheetId="5">#REF!</definedName>
    <definedName name="cable4x4" localSheetId="3">#REF!</definedName>
    <definedName name="cable4x4" localSheetId="48">#REF!</definedName>
    <definedName name="cable4x4" localSheetId="47">#REF!</definedName>
    <definedName name="cable4x4" localSheetId="52">#REF!</definedName>
    <definedName name="cable4x4" localSheetId="58">#REF!</definedName>
    <definedName name="cable4x4" localSheetId="59">#REF!</definedName>
    <definedName name="cable4x4" localSheetId="8">#REF!</definedName>
    <definedName name="cable4x4" localSheetId="17">#REF!</definedName>
    <definedName name="cable4x4" localSheetId="18">#REF!</definedName>
    <definedName name="cable4x4" localSheetId="63">#REF!</definedName>
    <definedName name="cable4x4" localSheetId="13">#REF!</definedName>
    <definedName name="cable4x4" localSheetId="12">#REF!</definedName>
    <definedName name="cable4x4" localSheetId="41">#REF!</definedName>
    <definedName name="cable4x4" localSheetId="42">#REF!</definedName>
    <definedName name="cable4x4" localSheetId="65">#REF!</definedName>
    <definedName name="cable4x4" localSheetId="25">#REF!</definedName>
    <definedName name="cable4x4" localSheetId="23">#REF!</definedName>
    <definedName name="cable4x4">#REF!</definedName>
    <definedName name="cable4x6" localSheetId="30">#REF!</definedName>
    <definedName name="cable4x6" localSheetId="29">#REF!</definedName>
    <definedName name="cable4x6" localSheetId="35">#REF!</definedName>
    <definedName name="cable4x6" localSheetId="34">#REF!</definedName>
    <definedName name="cable4x6" localSheetId="66">#REF!</definedName>
    <definedName name="cable4x6" localSheetId="22">#REF!</definedName>
    <definedName name="cable4x6" localSheetId="24">#REF!</definedName>
    <definedName name="cable4x6" localSheetId="39">#REF!</definedName>
    <definedName name="cable4x6" localSheetId="40">#REF!</definedName>
    <definedName name="cable4x6" localSheetId="53">#REF!</definedName>
    <definedName name="cable4x6" localSheetId="54">#REF!</definedName>
    <definedName name="cable4x6" localSheetId="5">#REF!</definedName>
    <definedName name="cable4x6" localSheetId="3">#REF!</definedName>
    <definedName name="cable4x6" localSheetId="48">#REF!</definedName>
    <definedName name="cable4x6" localSheetId="47">#REF!</definedName>
    <definedName name="cable4x6" localSheetId="52">#REF!</definedName>
    <definedName name="cable4x6" localSheetId="58">#REF!</definedName>
    <definedName name="cable4x6" localSheetId="59">#REF!</definedName>
    <definedName name="cable4x6" localSheetId="8">#REF!</definedName>
    <definedName name="cable4x6" localSheetId="17">#REF!</definedName>
    <definedName name="cable4x6" localSheetId="18">#REF!</definedName>
    <definedName name="cable4x6" localSheetId="63">#REF!</definedName>
    <definedName name="cable4x6" localSheetId="13">#REF!</definedName>
    <definedName name="cable4x6" localSheetId="12">#REF!</definedName>
    <definedName name="cable4x6" localSheetId="41">#REF!</definedName>
    <definedName name="cable4x6" localSheetId="42">#REF!</definedName>
    <definedName name="cable4x6" localSheetId="65">#REF!</definedName>
    <definedName name="cable4x6" localSheetId="25">#REF!</definedName>
    <definedName name="cable4x6" localSheetId="23">#REF!</definedName>
    <definedName name="cable4x6">#REF!</definedName>
    <definedName name="cabletray200x100" localSheetId="30">#REF!</definedName>
    <definedName name="cabletray200x100" localSheetId="29">#REF!</definedName>
    <definedName name="cabletray200x100" localSheetId="35">#REF!</definedName>
    <definedName name="cabletray200x100" localSheetId="34">#REF!</definedName>
    <definedName name="cabletray200x100" localSheetId="66">#REF!</definedName>
    <definedName name="cabletray200x100" localSheetId="22">#REF!</definedName>
    <definedName name="cabletray200x100" localSheetId="24">#REF!</definedName>
    <definedName name="cabletray200x100" localSheetId="39">#REF!</definedName>
    <definedName name="cabletray200x100" localSheetId="40">#REF!</definedName>
    <definedName name="cabletray200x100" localSheetId="53">#REF!</definedName>
    <definedName name="cabletray200x100" localSheetId="54">#REF!</definedName>
    <definedName name="cabletray200x100" localSheetId="5">#REF!</definedName>
    <definedName name="cabletray200x100" localSheetId="3">#REF!</definedName>
    <definedName name="cabletray200x100" localSheetId="48">#REF!</definedName>
    <definedName name="cabletray200x100" localSheetId="47">#REF!</definedName>
    <definedName name="cabletray200x100" localSheetId="52">#REF!</definedName>
    <definedName name="cabletray200x100" localSheetId="58">#REF!</definedName>
    <definedName name="cabletray200x100" localSheetId="59">#REF!</definedName>
    <definedName name="cabletray200x100" localSheetId="8">#REF!</definedName>
    <definedName name="cabletray200x100" localSheetId="17">#REF!</definedName>
    <definedName name="cabletray200x100" localSheetId="18">#REF!</definedName>
    <definedName name="cabletray200x100" localSheetId="63">#REF!</definedName>
    <definedName name="cabletray200x100" localSheetId="13">#REF!</definedName>
    <definedName name="cabletray200x100" localSheetId="12">#REF!</definedName>
    <definedName name="cabletray200x100" localSheetId="41">#REF!</definedName>
    <definedName name="cabletray200x100" localSheetId="42">#REF!</definedName>
    <definedName name="cabletray200x100" localSheetId="65">#REF!</definedName>
    <definedName name="cabletray200x100" localSheetId="25">#REF!</definedName>
    <definedName name="cabletray200x100" localSheetId="23">#REF!</definedName>
    <definedName name="cabletray200x100">#REF!</definedName>
    <definedName name="cabletray400x100" localSheetId="30">#REF!</definedName>
    <definedName name="cabletray400x100" localSheetId="29">#REF!</definedName>
    <definedName name="cabletray400x100" localSheetId="35">#REF!</definedName>
    <definedName name="cabletray400x100" localSheetId="34">#REF!</definedName>
    <definedName name="cabletray400x100" localSheetId="66">#REF!</definedName>
    <definedName name="cabletray400x100" localSheetId="22">#REF!</definedName>
    <definedName name="cabletray400x100" localSheetId="24">#REF!</definedName>
    <definedName name="cabletray400x100" localSheetId="39">#REF!</definedName>
    <definedName name="cabletray400x100" localSheetId="40">#REF!</definedName>
    <definedName name="cabletray400x100" localSheetId="53">#REF!</definedName>
    <definedName name="cabletray400x100" localSheetId="54">#REF!</definedName>
    <definedName name="cabletray400x100" localSheetId="5">#REF!</definedName>
    <definedName name="cabletray400x100" localSheetId="3">#REF!</definedName>
    <definedName name="cabletray400x100" localSheetId="48">#REF!</definedName>
    <definedName name="cabletray400x100" localSheetId="47">#REF!</definedName>
    <definedName name="cabletray400x100" localSheetId="52">#REF!</definedName>
    <definedName name="cabletray400x100" localSheetId="58">#REF!</definedName>
    <definedName name="cabletray400x100" localSheetId="59">#REF!</definedName>
    <definedName name="cabletray400x100" localSheetId="8">#REF!</definedName>
    <definedName name="cabletray400x100" localSheetId="17">#REF!</definedName>
    <definedName name="cabletray400x100" localSheetId="18">#REF!</definedName>
    <definedName name="cabletray400x100" localSheetId="63">#REF!</definedName>
    <definedName name="cabletray400x100" localSheetId="13">#REF!</definedName>
    <definedName name="cabletray400x100" localSheetId="12">#REF!</definedName>
    <definedName name="cabletray400x100" localSheetId="41">#REF!</definedName>
    <definedName name="cabletray400x100" localSheetId="42">#REF!</definedName>
    <definedName name="cabletray400x100" localSheetId="65">#REF!</definedName>
    <definedName name="cabletray400x100" localSheetId="25">#REF!</definedName>
    <definedName name="cabletray400x100" localSheetId="23">#REF!</definedName>
    <definedName name="cabletray400x100">#REF!</definedName>
    <definedName name="cabletray500x110" localSheetId="30">#REF!</definedName>
    <definedName name="cabletray500x110" localSheetId="29">#REF!</definedName>
    <definedName name="cabletray500x110" localSheetId="35">#REF!</definedName>
    <definedName name="cabletray500x110" localSheetId="34">#REF!</definedName>
    <definedName name="cabletray500x110" localSheetId="66">#REF!</definedName>
    <definedName name="cabletray500x110" localSheetId="22">#REF!</definedName>
    <definedName name="cabletray500x110" localSheetId="24">#REF!</definedName>
    <definedName name="cabletray500x110" localSheetId="39">#REF!</definedName>
    <definedName name="cabletray500x110" localSheetId="40">#REF!</definedName>
    <definedName name="cabletray500x110" localSheetId="53">#REF!</definedName>
    <definedName name="cabletray500x110" localSheetId="54">#REF!</definedName>
    <definedName name="cabletray500x110" localSheetId="5">#REF!</definedName>
    <definedName name="cabletray500x110" localSheetId="3">#REF!</definedName>
    <definedName name="cabletray500x110" localSheetId="48">#REF!</definedName>
    <definedName name="cabletray500x110" localSheetId="47">#REF!</definedName>
    <definedName name="cabletray500x110" localSheetId="52">#REF!</definedName>
    <definedName name="cabletray500x110" localSheetId="58">#REF!</definedName>
    <definedName name="cabletray500x110" localSheetId="59">#REF!</definedName>
    <definedName name="cabletray500x110" localSheetId="8">#REF!</definedName>
    <definedName name="cabletray500x110" localSheetId="17">#REF!</definedName>
    <definedName name="cabletray500x110" localSheetId="18">#REF!</definedName>
    <definedName name="cabletray500x110" localSheetId="63">#REF!</definedName>
    <definedName name="cabletray500x110" localSheetId="13">#REF!</definedName>
    <definedName name="cabletray500x110" localSheetId="12">#REF!</definedName>
    <definedName name="cabletray500x110" localSheetId="41">#REF!</definedName>
    <definedName name="cabletray500x110" localSheetId="42">#REF!</definedName>
    <definedName name="cabletray500x110" localSheetId="65">#REF!</definedName>
    <definedName name="cabletray500x110" localSheetId="25">#REF!</definedName>
    <definedName name="cabletray500x110" localSheetId="23">#REF!</definedName>
    <definedName name="cabletray500x110">#REF!</definedName>
    <definedName name="cabletray500x75" localSheetId="30">#REF!</definedName>
    <definedName name="cabletray500x75" localSheetId="29">#REF!</definedName>
    <definedName name="cabletray500x75" localSheetId="35">#REF!</definedName>
    <definedName name="cabletray500x75" localSheetId="34">#REF!</definedName>
    <definedName name="cabletray500x75" localSheetId="66">#REF!</definedName>
    <definedName name="cabletray500x75" localSheetId="22">#REF!</definedName>
    <definedName name="cabletray500x75" localSheetId="24">#REF!</definedName>
    <definedName name="cabletray500x75" localSheetId="39">#REF!</definedName>
    <definedName name="cabletray500x75" localSheetId="40">#REF!</definedName>
    <definedName name="cabletray500x75" localSheetId="53">#REF!</definedName>
    <definedName name="cabletray500x75" localSheetId="54">#REF!</definedName>
    <definedName name="cabletray500x75" localSheetId="5">#REF!</definedName>
    <definedName name="cabletray500x75" localSheetId="3">#REF!</definedName>
    <definedName name="cabletray500x75" localSheetId="48">#REF!</definedName>
    <definedName name="cabletray500x75" localSheetId="47">#REF!</definedName>
    <definedName name="cabletray500x75" localSheetId="52">#REF!</definedName>
    <definedName name="cabletray500x75" localSheetId="58">#REF!</definedName>
    <definedName name="cabletray500x75" localSheetId="59">#REF!</definedName>
    <definedName name="cabletray500x75" localSheetId="8">#REF!</definedName>
    <definedName name="cabletray500x75" localSheetId="17">#REF!</definedName>
    <definedName name="cabletray500x75" localSheetId="18">#REF!</definedName>
    <definedName name="cabletray500x75" localSheetId="63">#REF!</definedName>
    <definedName name="cabletray500x75" localSheetId="13">#REF!</definedName>
    <definedName name="cabletray500x75" localSheetId="12">#REF!</definedName>
    <definedName name="cabletray500x75" localSheetId="41">#REF!</definedName>
    <definedName name="cabletray500x75" localSheetId="42">#REF!</definedName>
    <definedName name="cabletray500x75" localSheetId="65">#REF!</definedName>
    <definedName name="cabletray500x75" localSheetId="25">#REF!</definedName>
    <definedName name="cabletray500x75" localSheetId="23">#REF!</definedName>
    <definedName name="cabletray500x75">#REF!</definedName>
    <definedName name="callpanel12no" localSheetId="30">#REF!</definedName>
    <definedName name="callpanel12no" localSheetId="29">#REF!</definedName>
    <definedName name="callpanel12no" localSheetId="35">#REF!</definedName>
    <definedName name="callpanel12no" localSheetId="34">#REF!</definedName>
    <definedName name="callpanel12no" localSheetId="66">#REF!</definedName>
    <definedName name="callpanel12no" localSheetId="22">#REF!</definedName>
    <definedName name="callpanel12no" localSheetId="24">#REF!</definedName>
    <definedName name="callpanel12no" localSheetId="39">#REF!</definedName>
    <definedName name="callpanel12no" localSheetId="40">#REF!</definedName>
    <definedName name="callpanel12no" localSheetId="53">#REF!</definedName>
    <definedName name="callpanel12no" localSheetId="54">#REF!</definedName>
    <definedName name="callpanel12no" localSheetId="5">#REF!</definedName>
    <definedName name="callpanel12no" localSheetId="3">#REF!</definedName>
    <definedName name="callpanel12no" localSheetId="48">#REF!</definedName>
    <definedName name="callpanel12no" localSheetId="47">#REF!</definedName>
    <definedName name="callpanel12no" localSheetId="52">#REF!</definedName>
    <definedName name="callpanel12no" localSheetId="58">#REF!</definedName>
    <definedName name="callpanel12no" localSheetId="59">#REF!</definedName>
    <definedName name="callpanel12no" localSheetId="8">#REF!</definedName>
    <definedName name="callpanel12no" localSheetId="17">#REF!</definedName>
    <definedName name="callpanel12no" localSheetId="18">#REF!</definedName>
    <definedName name="callpanel12no" localSheetId="63">#REF!</definedName>
    <definedName name="callpanel12no" localSheetId="13">#REF!</definedName>
    <definedName name="callpanel12no" localSheetId="12">#REF!</definedName>
    <definedName name="callpanel12no" localSheetId="41">#REF!</definedName>
    <definedName name="callpanel12no" localSheetId="42">#REF!</definedName>
    <definedName name="callpanel12no" localSheetId="65">#REF!</definedName>
    <definedName name="callpanel12no" localSheetId="25">#REF!</definedName>
    <definedName name="callpanel12no" localSheetId="23">#REF!</definedName>
    <definedName name="callpanel12no">#REF!</definedName>
    <definedName name="callpanel16no" localSheetId="30">#REF!</definedName>
    <definedName name="callpanel16no" localSheetId="29">#REF!</definedName>
    <definedName name="callpanel16no" localSheetId="35">#REF!</definedName>
    <definedName name="callpanel16no" localSheetId="34">#REF!</definedName>
    <definedName name="callpanel16no" localSheetId="66">#REF!</definedName>
    <definedName name="callpanel16no" localSheetId="22">#REF!</definedName>
    <definedName name="callpanel16no" localSheetId="24">#REF!</definedName>
    <definedName name="callpanel16no" localSheetId="39">#REF!</definedName>
    <definedName name="callpanel16no" localSheetId="40">#REF!</definedName>
    <definedName name="callpanel16no" localSheetId="53">#REF!</definedName>
    <definedName name="callpanel16no" localSheetId="54">#REF!</definedName>
    <definedName name="callpanel16no" localSheetId="5">#REF!</definedName>
    <definedName name="callpanel16no" localSheetId="3">#REF!</definedName>
    <definedName name="callpanel16no" localSheetId="48">#REF!</definedName>
    <definedName name="callpanel16no" localSheetId="47">#REF!</definedName>
    <definedName name="callpanel16no" localSheetId="52">#REF!</definedName>
    <definedName name="callpanel16no" localSheetId="58">#REF!</definedName>
    <definedName name="callpanel16no" localSheetId="59">#REF!</definedName>
    <definedName name="callpanel16no" localSheetId="8">#REF!</definedName>
    <definedName name="callpanel16no" localSheetId="17">#REF!</definedName>
    <definedName name="callpanel16no" localSheetId="18">#REF!</definedName>
    <definedName name="callpanel16no" localSheetId="63">#REF!</definedName>
    <definedName name="callpanel16no" localSheetId="13">#REF!</definedName>
    <definedName name="callpanel16no" localSheetId="12">#REF!</definedName>
    <definedName name="callpanel16no" localSheetId="41">#REF!</definedName>
    <definedName name="callpanel16no" localSheetId="42">#REF!</definedName>
    <definedName name="callpanel16no" localSheetId="65">#REF!</definedName>
    <definedName name="callpanel16no" localSheetId="25">#REF!</definedName>
    <definedName name="callpanel16no" localSheetId="23">#REF!</definedName>
    <definedName name="callpanel16no">#REF!</definedName>
    <definedName name="callpanel24no" localSheetId="30">#REF!</definedName>
    <definedName name="callpanel24no" localSheetId="29">#REF!</definedName>
    <definedName name="callpanel24no" localSheetId="35">#REF!</definedName>
    <definedName name="callpanel24no" localSheetId="34">#REF!</definedName>
    <definedName name="callpanel24no" localSheetId="66">#REF!</definedName>
    <definedName name="callpanel24no" localSheetId="22">#REF!</definedName>
    <definedName name="callpanel24no" localSheetId="24">#REF!</definedName>
    <definedName name="callpanel24no" localSheetId="39">#REF!</definedName>
    <definedName name="callpanel24no" localSheetId="40">#REF!</definedName>
    <definedName name="callpanel24no" localSheetId="53">#REF!</definedName>
    <definedName name="callpanel24no" localSheetId="54">#REF!</definedName>
    <definedName name="callpanel24no" localSheetId="5">#REF!</definedName>
    <definedName name="callpanel24no" localSheetId="3">#REF!</definedName>
    <definedName name="callpanel24no" localSheetId="48">#REF!</definedName>
    <definedName name="callpanel24no" localSheetId="47">#REF!</definedName>
    <definedName name="callpanel24no" localSheetId="52">#REF!</definedName>
    <definedName name="callpanel24no" localSheetId="58">#REF!</definedName>
    <definedName name="callpanel24no" localSheetId="59">#REF!</definedName>
    <definedName name="callpanel24no" localSheetId="8">#REF!</definedName>
    <definedName name="callpanel24no" localSheetId="17">#REF!</definedName>
    <definedName name="callpanel24no" localSheetId="18">#REF!</definedName>
    <definedName name="callpanel24no" localSheetId="63">#REF!</definedName>
    <definedName name="callpanel24no" localSheetId="13">#REF!</definedName>
    <definedName name="callpanel24no" localSheetId="12">#REF!</definedName>
    <definedName name="callpanel24no" localSheetId="41">#REF!</definedName>
    <definedName name="callpanel24no" localSheetId="42">#REF!</definedName>
    <definedName name="callpanel24no" localSheetId="65">#REF!</definedName>
    <definedName name="callpanel24no" localSheetId="25">#REF!</definedName>
    <definedName name="callpanel24no" localSheetId="23">#REF!</definedName>
    <definedName name="callpanel24no">#REF!</definedName>
    <definedName name="callpanel8no" localSheetId="30">#REF!</definedName>
    <definedName name="callpanel8no" localSheetId="29">#REF!</definedName>
    <definedName name="callpanel8no" localSheetId="35">#REF!</definedName>
    <definedName name="callpanel8no" localSheetId="34">#REF!</definedName>
    <definedName name="callpanel8no" localSheetId="66">#REF!</definedName>
    <definedName name="callpanel8no" localSheetId="22">#REF!</definedName>
    <definedName name="callpanel8no" localSheetId="24">#REF!</definedName>
    <definedName name="callpanel8no" localSheetId="39">#REF!</definedName>
    <definedName name="callpanel8no" localSheetId="40">#REF!</definedName>
    <definedName name="callpanel8no" localSheetId="53">#REF!</definedName>
    <definedName name="callpanel8no" localSheetId="54">#REF!</definedName>
    <definedName name="callpanel8no" localSheetId="5">#REF!</definedName>
    <definedName name="callpanel8no" localSheetId="3">#REF!</definedName>
    <definedName name="callpanel8no" localSheetId="48">#REF!</definedName>
    <definedName name="callpanel8no" localSheetId="47">#REF!</definedName>
    <definedName name="callpanel8no" localSheetId="52">#REF!</definedName>
    <definedName name="callpanel8no" localSheetId="58">#REF!</definedName>
    <definedName name="callpanel8no" localSheetId="59">#REF!</definedName>
    <definedName name="callpanel8no" localSheetId="8">#REF!</definedName>
    <definedName name="callpanel8no" localSheetId="17">#REF!</definedName>
    <definedName name="callpanel8no" localSheetId="18">#REF!</definedName>
    <definedName name="callpanel8no" localSheetId="63">#REF!</definedName>
    <definedName name="callpanel8no" localSheetId="13">#REF!</definedName>
    <definedName name="callpanel8no" localSheetId="12">#REF!</definedName>
    <definedName name="callpanel8no" localSheetId="41">#REF!</definedName>
    <definedName name="callpanel8no" localSheetId="42">#REF!</definedName>
    <definedName name="callpanel8no" localSheetId="65">#REF!</definedName>
    <definedName name="callpanel8no" localSheetId="25">#REF!</definedName>
    <definedName name="callpanel8no" localSheetId="23">#REF!</definedName>
    <definedName name="callpanel8no">#REF!</definedName>
    <definedName name="ceiling" localSheetId="30">#REF!</definedName>
    <definedName name="ceiling" localSheetId="29">#REF!</definedName>
    <definedName name="ceiling" localSheetId="35">#REF!</definedName>
    <definedName name="ceiling" localSheetId="34">#REF!</definedName>
    <definedName name="ceiling" localSheetId="66">#REF!</definedName>
    <definedName name="ceiling" localSheetId="22">#REF!</definedName>
    <definedName name="ceiling" localSheetId="24">#REF!</definedName>
    <definedName name="ceiling" localSheetId="39">#REF!</definedName>
    <definedName name="ceiling" localSheetId="40">#REF!</definedName>
    <definedName name="ceiling" localSheetId="53">#REF!</definedName>
    <definedName name="ceiling" localSheetId="54">#REF!</definedName>
    <definedName name="ceiling" localSheetId="5">#REF!</definedName>
    <definedName name="ceiling" localSheetId="3">#REF!</definedName>
    <definedName name="ceiling" localSheetId="48">#REF!</definedName>
    <definedName name="ceiling" localSheetId="47">#REF!</definedName>
    <definedName name="ceiling" localSheetId="52">#REF!</definedName>
    <definedName name="ceiling" localSheetId="58">#REF!</definedName>
    <definedName name="ceiling" localSheetId="59">#REF!</definedName>
    <definedName name="ceiling" localSheetId="8">#REF!</definedName>
    <definedName name="ceiling" localSheetId="17">#REF!</definedName>
    <definedName name="ceiling" localSheetId="18">#REF!</definedName>
    <definedName name="ceiling" localSheetId="63">#REF!</definedName>
    <definedName name="ceiling" localSheetId="13">#REF!</definedName>
    <definedName name="ceiling" localSheetId="12">#REF!</definedName>
    <definedName name="ceiling" localSheetId="41">#REF!</definedName>
    <definedName name="ceiling" localSheetId="42">#REF!</definedName>
    <definedName name="ceiling" localSheetId="65">#REF!</definedName>
    <definedName name="ceiling" localSheetId="25">#REF!</definedName>
    <definedName name="ceiling" localSheetId="23">#REF!</definedName>
    <definedName name="ceiling">#REF!</definedName>
    <definedName name="ceilingglobe" localSheetId="30">#REF!</definedName>
    <definedName name="ceilingglobe" localSheetId="29">#REF!</definedName>
    <definedName name="ceilingglobe" localSheetId="35">#REF!</definedName>
    <definedName name="ceilingglobe" localSheetId="34">#REF!</definedName>
    <definedName name="ceilingglobe" localSheetId="66">#REF!</definedName>
    <definedName name="ceilingglobe" localSheetId="22">#REF!</definedName>
    <definedName name="ceilingglobe" localSheetId="24">#REF!</definedName>
    <definedName name="ceilingglobe" localSheetId="39">#REF!</definedName>
    <definedName name="ceilingglobe" localSheetId="40">#REF!</definedName>
    <definedName name="ceilingglobe" localSheetId="53">#REF!</definedName>
    <definedName name="ceilingglobe" localSheetId="54">#REF!</definedName>
    <definedName name="ceilingglobe" localSheetId="5">#REF!</definedName>
    <definedName name="ceilingglobe" localSheetId="3">#REF!</definedName>
    <definedName name="ceilingglobe" localSheetId="48">#REF!</definedName>
    <definedName name="ceilingglobe" localSheetId="47">#REF!</definedName>
    <definedName name="ceilingglobe" localSheetId="52">#REF!</definedName>
    <definedName name="ceilingglobe" localSheetId="58">#REF!</definedName>
    <definedName name="ceilingglobe" localSheetId="59">#REF!</definedName>
    <definedName name="ceilingglobe" localSheetId="8">#REF!</definedName>
    <definedName name="ceilingglobe" localSheetId="17">#REF!</definedName>
    <definedName name="ceilingglobe" localSheetId="18">#REF!</definedName>
    <definedName name="ceilingglobe" localSheetId="63">#REF!</definedName>
    <definedName name="ceilingglobe" localSheetId="13">#REF!</definedName>
    <definedName name="ceilingglobe" localSheetId="12">#REF!</definedName>
    <definedName name="ceilingglobe" localSheetId="41">#REF!</definedName>
    <definedName name="ceilingglobe" localSheetId="42">#REF!</definedName>
    <definedName name="ceilingglobe" localSheetId="65">#REF!</definedName>
    <definedName name="ceilingglobe" localSheetId="25">#REF!</definedName>
    <definedName name="ceilingglobe" localSheetId="23">#REF!</definedName>
    <definedName name="ceilingglobe">#REF!</definedName>
    <definedName name="Cement_pipe_for_storm_water1.2_dia.20" localSheetId="30">'[2]Break Down  '!#REF!</definedName>
    <definedName name="Cement_pipe_for_storm_water1.2_dia.20" localSheetId="29">'[2]Break Down  '!#REF!</definedName>
    <definedName name="Cement_pipe_for_storm_water1.2_dia.20" localSheetId="35">'[2]Break Down  '!#REF!</definedName>
    <definedName name="Cement_pipe_for_storm_water1.2_dia.20" localSheetId="34">'[2]Break Down  '!#REF!</definedName>
    <definedName name="Cement_pipe_for_storm_water1.2_dia.20" localSheetId="66">'[1]Break Down  '!#REF!</definedName>
    <definedName name="Cement_pipe_for_storm_water1.2_dia.20" localSheetId="22">'[2]Break Down  '!#REF!</definedName>
    <definedName name="Cement_pipe_for_storm_water1.2_dia.20" localSheetId="24">'[2]Break Down  '!#REF!</definedName>
    <definedName name="Cement_pipe_for_storm_water1.2_dia.20" localSheetId="39">'[2]Break Down  '!#REF!</definedName>
    <definedName name="Cement_pipe_for_storm_water1.2_dia.20" localSheetId="40">'[2]Break Down  '!#REF!</definedName>
    <definedName name="Cement_pipe_for_storm_water1.2_dia.20" localSheetId="53">'[2]Break Down  '!#REF!</definedName>
    <definedName name="Cement_pipe_for_storm_water1.2_dia.20" localSheetId="54">'[2]Break Down  '!#REF!</definedName>
    <definedName name="Cement_pipe_for_storm_water1.2_dia.20" localSheetId="5">'[1]Break Down  '!#REF!</definedName>
    <definedName name="Cement_pipe_for_storm_water1.2_dia.20" localSheetId="3">'[2]Break Down  '!#REF!</definedName>
    <definedName name="Cement_pipe_for_storm_water1.2_dia.20" localSheetId="4">'[2]Break Down  '!#REF!</definedName>
    <definedName name="Cement_pipe_for_storm_water1.2_dia.20" localSheetId="48">'[2]Break Down  '!#REF!</definedName>
    <definedName name="Cement_pipe_for_storm_water1.2_dia.20" localSheetId="47">'[2]Break Down  '!#REF!</definedName>
    <definedName name="Cement_pipe_for_storm_water1.2_dia.20" localSheetId="52">'[1]Break Down  '!#REF!</definedName>
    <definedName name="Cement_pipe_for_storm_water1.2_dia.20" localSheetId="58">'[2]Break Down  '!#REF!</definedName>
    <definedName name="Cement_pipe_for_storm_water1.2_dia.20" localSheetId="59">'[2]Break Down  '!#REF!</definedName>
    <definedName name="Cement_pipe_for_storm_water1.2_dia.20" localSheetId="8">'[2]Break Down  '!#REF!</definedName>
    <definedName name="Cement_pipe_for_storm_water1.2_dia.20" localSheetId="17">'[2]Break Down  '!#REF!</definedName>
    <definedName name="Cement_pipe_for_storm_water1.2_dia.20" localSheetId="18">'[2]Break Down  '!#REF!</definedName>
    <definedName name="Cement_pipe_for_storm_water1.2_dia.20" localSheetId="63">'[2]Break Down  '!#REF!</definedName>
    <definedName name="Cement_pipe_for_storm_water1.2_dia.20" localSheetId="13">'[2]Break Down  '!#REF!</definedName>
    <definedName name="Cement_pipe_for_storm_water1.2_dia.20" localSheetId="12">'[2]Break Down  '!#REF!</definedName>
    <definedName name="Cement_pipe_for_storm_water1.2_dia.20" localSheetId="41">'[2]Break Down  '!#REF!</definedName>
    <definedName name="Cement_pipe_for_storm_water1.2_dia.20" localSheetId="42">'[2]Break Down  '!#REF!</definedName>
    <definedName name="Cement_pipe_for_storm_water1.2_dia.20" localSheetId="65">'[2]Break Down  '!#REF!</definedName>
    <definedName name="Cement_pipe_for_storm_water1.2_dia.20" localSheetId="25">'[2]Break Down  '!#REF!</definedName>
    <definedName name="Cement_pipe_for_storm_water1.2_dia.20" localSheetId="23">'[2]Break Down  '!#REF!</definedName>
    <definedName name="Cement_pipe_for_storm_water1.2_dia.20">'[1]Break Down  '!#REF!</definedName>
    <definedName name="cemic" localSheetId="30">#REF!</definedName>
    <definedName name="cemic" localSheetId="29">#REF!</definedName>
    <definedName name="cemic" localSheetId="35">#REF!</definedName>
    <definedName name="cemic" localSheetId="34">#REF!</definedName>
    <definedName name="cemic" localSheetId="66">#REF!</definedName>
    <definedName name="cemic" localSheetId="22">#REF!</definedName>
    <definedName name="cemic" localSheetId="24">#REF!</definedName>
    <definedName name="cemic" localSheetId="39">#REF!</definedName>
    <definedName name="cemic" localSheetId="40">#REF!</definedName>
    <definedName name="cemic" localSheetId="53">#REF!</definedName>
    <definedName name="cemic" localSheetId="54">#REF!</definedName>
    <definedName name="cemic" localSheetId="5">#REF!</definedName>
    <definedName name="cemic" localSheetId="3">#REF!</definedName>
    <definedName name="cemic" localSheetId="48">#REF!</definedName>
    <definedName name="cemic" localSheetId="47">#REF!</definedName>
    <definedName name="cemic" localSheetId="52">#REF!</definedName>
    <definedName name="cemic" localSheetId="58">#REF!</definedName>
    <definedName name="cemic" localSheetId="59">#REF!</definedName>
    <definedName name="cemic" localSheetId="8">#REF!</definedName>
    <definedName name="cemic" localSheetId="17">#REF!</definedName>
    <definedName name="cemic" localSheetId="18">#REF!</definedName>
    <definedName name="cemic" localSheetId="63">#REF!</definedName>
    <definedName name="cemic" localSheetId="13">#REF!</definedName>
    <definedName name="cemic" localSheetId="12">#REF!</definedName>
    <definedName name="cemic" localSheetId="41">#REF!</definedName>
    <definedName name="cemic" localSheetId="42">#REF!</definedName>
    <definedName name="cemic" localSheetId="65">#REF!</definedName>
    <definedName name="cemic" localSheetId="25">#REF!</definedName>
    <definedName name="cemic" localSheetId="23">#REF!</definedName>
    <definedName name="cemic">#REF!</definedName>
    <definedName name="cisheet" localSheetId="30">#REF!</definedName>
    <definedName name="cisheet" localSheetId="29">#REF!</definedName>
    <definedName name="cisheet" localSheetId="35">#REF!</definedName>
    <definedName name="cisheet" localSheetId="34">#REF!</definedName>
    <definedName name="cisheet" localSheetId="66">#REF!</definedName>
    <definedName name="cisheet" localSheetId="22">#REF!</definedName>
    <definedName name="cisheet" localSheetId="24">#REF!</definedName>
    <definedName name="cisheet" localSheetId="39">#REF!</definedName>
    <definedName name="cisheet" localSheetId="40">#REF!</definedName>
    <definedName name="cisheet" localSheetId="53">#REF!</definedName>
    <definedName name="cisheet" localSheetId="54">#REF!</definedName>
    <definedName name="cisheet" localSheetId="5">#REF!</definedName>
    <definedName name="cisheet" localSheetId="3">#REF!</definedName>
    <definedName name="cisheet" localSheetId="48">#REF!</definedName>
    <definedName name="cisheet" localSheetId="47">#REF!</definedName>
    <definedName name="cisheet" localSheetId="52">#REF!</definedName>
    <definedName name="cisheet" localSheetId="58">#REF!</definedName>
    <definedName name="cisheet" localSheetId="59">#REF!</definedName>
    <definedName name="cisheet" localSheetId="8">#REF!</definedName>
    <definedName name="cisheet" localSheetId="17">#REF!</definedName>
    <definedName name="cisheet" localSheetId="18">#REF!</definedName>
    <definedName name="cisheet" localSheetId="63">#REF!</definedName>
    <definedName name="cisheet" localSheetId="13">#REF!</definedName>
    <definedName name="cisheet" localSheetId="12">#REF!</definedName>
    <definedName name="cisheet" localSheetId="41">#REF!</definedName>
    <definedName name="cisheet" localSheetId="42">#REF!</definedName>
    <definedName name="cisheet" localSheetId="65">#REF!</definedName>
    <definedName name="cisheet" localSheetId="25">#REF!</definedName>
    <definedName name="cisheet" localSheetId="23">#REF!</definedName>
    <definedName name="cisheet">#REF!</definedName>
    <definedName name="class_C_50_concrete" localSheetId="30">'[2]Break Down  '!#REF!</definedName>
    <definedName name="class_C_50_concrete" localSheetId="29">'[2]Break Down  '!#REF!</definedName>
    <definedName name="class_C_50_concrete" localSheetId="35">'[2]Break Down  '!#REF!</definedName>
    <definedName name="class_C_50_concrete" localSheetId="34">'[2]Break Down  '!#REF!</definedName>
    <definedName name="class_C_50_concrete" localSheetId="66">'[1]Break Down  '!#REF!</definedName>
    <definedName name="class_C_50_concrete" localSheetId="22">'[2]Break Down  '!#REF!</definedName>
    <definedName name="class_C_50_concrete" localSheetId="24">'[2]Break Down  '!#REF!</definedName>
    <definedName name="class_C_50_concrete" localSheetId="39">'[2]Break Down  '!#REF!</definedName>
    <definedName name="class_C_50_concrete" localSheetId="40">'[2]Break Down  '!#REF!</definedName>
    <definedName name="class_C_50_concrete" localSheetId="53">'[2]Break Down  '!#REF!</definedName>
    <definedName name="class_C_50_concrete" localSheetId="54">'[2]Break Down  '!#REF!</definedName>
    <definedName name="class_C_50_concrete" localSheetId="5">'[1]Break Down  '!#REF!</definedName>
    <definedName name="class_C_50_concrete" localSheetId="3">'[2]Break Down  '!#REF!</definedName>
    <definedName name="class_C_50_concrete" localSheetId="4">'[2]Break Down  '!#REF!</definedName>
    <definedName name="class_C_50_concrete" localSheetId="48">'[2]Break Down  '!#REF!</definedName>
    <definedName name="class_C_50_concrete" localSheetId="47">'[2]Break Down  '!#REF!</definedName>
    <definedName name="class_C_50_concrete" localSheetId="52">'[1]Break Down  '!#REF!</definedName>
    <definedName name="class_C_50_concrete" localSheetId="58">'[2]Break Down  '!#REF!</definedName>
    <definedName name="class_C_50_concrete" localSheetId="59">'[2]Break Down  '!#REF!</definedName>
    <definedName name="class_C_50_concrete" localSheetId="8">'[2]Break Down  '!#REF!</definedName>
    <definedName name="class_C_50_concrete" localSheetId="17">'[2]Break Down  '!#REF!</definedName>
    <definedName name="class_C_50_concrete" localSheetId="18">'[2]Break Down  '!#REF!</definedName>
    <definedName name="class_C_50_concrete" localSheetId="63">'[2]Break Down  '!#REF!</definedName>
    <definedName name="class_C_50_concrete" localSheetId="13">'[2]Break Down  '!#REF!</definedName>
    <definedName name="class_C_50_concrete" localSheetId="12">'[2]Break Down  '!#REF!</definedName>
    <definedName name="class_C_50_concrete" localSheetId="41">'[2]Break Down  '!#REF!</definedName>
    <definedName name="class_C_50_concrete" localSheetId="42">'[2]Break Down  '!#REF!</definedName>
    <definedName name="class_C_50_concrete" localSheetId="65">'[2]Break Down  '!#REF!</definedName>
    <definedName name="class_C_50_concrete" localSheetId="25">'[2]Break Down  '!#REF!</definedName>
    <definedName name="class_C_50_concrete" localSheetId="23">'[2]Break Down  '!#REF!</definedName>
    <definedName name="class_C_50_concrete">'[1]Break Down  '!#REF!</definedName>
    <definedName name="conductor10" localSheetId="30">#REF!</definedName>
    <definedName name="conductor10" localSheetId="29">#REF!</definedName>
    <definedName name="conductor10" localSheetId="35">#REF!</definedName>
    <definedName name="conductor10" localSheetId="34">#REF!</definedName>
    <definedName name="conductor10" localSheetId="66">#REF!</definedName>
    <definedName name="conductor10" localSheetId="22">#REF!</definedName>
    <definedName name="conductor10" localSheetId="24">#REF!</definedName>
    <definedName name="conductor10" localSheetId="39">#REF!</definedName>
    <definedName name="conductor10" localSheetId="40">#REF!</definedName>
    <definedName name="conductor10" localSheetId="53">#REF!</definedName>
    <definedName name="conductor10" localSheetId="54">#REF!</definedName>
    <definedName name="conductor10" localSheetId="5">#REF!</definedName>
    <definedName name="conductor10" localSheetId="3">#REF!</definedName>
    <definedName name="conductor10" localSheetId="48">#REF!</definedName>
    <definedName name="conductor10" localSheetId="47">#REF!</definedName>
    <definedName name="conductor10" localSheetId="52">#REF!</definedName>
    <definedName name="conductor10" localSheetId="58">#REF!</definedName>
    <definedName name="conductor10" localSheetId="59">#REF!</definedName>
    <definedName name="conductor10" localSheetId="8">#REF!</definedName>
    <definedName name="conductor10" localSheetId="17">#REF!</definedName>
    <definedName name="conductor10" localSheetId="18">#REF!</definedName>
    <definedName name="conductor10" localSheetId="63">#REF!</definedName>
    <definedName name="conductor10" localSheetId="13">#REF!</definedName>
    <definedName name="conductor10" localSheetId="12">#REF!</definedName>
    <definedName name="conductor10" localSheetId="41">#REF!</definedName>
    <definedName name="conductor10" localSheetId="42">#REF!</definedName>
    <definedName name="conductor10" localSheetId="65">#REF!</definedName>
    <definedName name="conductor10" localSheetId="25">#REF!</definedName>
    <definedName name="conductor10" localSheetId="23">#REF!</definedName>
    <definedName name="conductor10">#REF!</definedName>
    <definedName name="conductor16" localSheetId="30">#REF!</definedName>
    <definedName name="conductor16" localSheetId="29">#REF!</definedName>
    <definedName name="conductor16" localSheetId="35">#REF!</definedName>
    <definedName name="conductor16" localSheetId="34">#REF!</definedName>
    <definedName name="conductor16" localSheetId="66">#REF!</definedName>
    <definedName name="conductor16" localSheetId="22">#REF!</definedName>
    <definedName name="conductor16" localSheetId="24">#REF!</definedName>
    <definedName name="conductor16" localSheetId="39">#REF!</definedName>
    <definedName name="conductor16" localSheetId="40">#REF!</definedName>
    <definedName name="conductor16" localSheetId="53">#REF!</definedName>
    <definedName name="conductor16" localSheetId="54">#REF!</definedName>
    <definedName name="conductor16" localSheetId="5">#REF!</definedName>
    <definedName name="conductor16" localSheetId="3">#REF!</definedName>
    <definedName name="conductor16" localSheetId="48">#REF!</definedName>
    <definedName name="conductor16" localSheetId="47">#REF!</definedName>
    <definedName name="conductor16" localSheetId="52">#REF!</definedName>
    <definedName name="conductor16" localSheetId="58">#REF!</definedName>
    <definedName name="conductor16" localSheetId="59">#REF!</definedName>
    <definedName name="conductor16" localSheetId="8">#REF!</definedName>
    <definedName name="conductor16" localSheetId="17">#REF!</definedName>
    <definedName name="conductor16" localSheetId="18">#REF!</definedName>
    <definedName name="conductor16" localSheetId="63">#REF!</definedName>
    <definedName name="conductor16" localSheetId="13">#REF!</definedName>
    <definedName name="conductor16" localSheetId="12">#REF!</definedName>
    <definedName name="conductor16" localSheetId="41">#REF!</definedName>
    <definedName name="conductor16" localSheetId="42">#REF!</definedName>
    <definedName name="conductor16" localSheetId="65">#REF!</definedName>
    <definedName name="conductor16" localSheetId="25">#REF!</definedName>
    <definedName name="conductor16" localSheetId="23">#REF!</definedName>
    <definedName name="conductor16">#REF!</definedName>
    <definedName name="conductor25" localSheetId="30">#REF!</definedName>
    <definedName name="conductor25" localSheetId="29">#REF!</definedName>
    <definedName name="conductor25" localSheetId="35">#REF!</definedName>
    <definedName name="conductor25" localSheetId="34">#REF!</definedName>
    <definedName name="conductor25" localSheetId="66">#REF!</definedName>
    <definedName name="conductor25" localSheetId="22">#REF!</definedName>
    <definedName name="conductor25" localSheetId="24">#REF!</definedName>
    <definedName name="conductor25" localSheetId="39">#REF!</definedName>
    <definedName name="conductor25" localSheetId="40">#REF!</definedName>
    <definedName name="conductor25" localSheetId="53">#REF!</definedName>
    <definedName name="conductor25" localSheetId="54">#REF!</definedName>
    <definedName name="conductor25" localSheetId="5">#REF!</definedName>
    <definedName name="conductor25" localSheetId="3">#REF!</definedName>
    <definedName name="conductor25" localSheetId="48">#REF!</definedName>
    <definedName name="conductor25" localSheetId="47">#REF!</definedName>
    <definedName name="conductor25" localSheetId="52">#REF!</definedName>
    <definedName name="conductor25" localSheetId="58">#REF!</definedName>
    <definedName name="conductor25" localSheetId="59">#REF!</definedName>
    <definedName name="conductor25" localSheetId="8">#REF!</definedName>
    <definedName name="conductor25" localSheetId="17">#REF!</definedName>
    <definedName name="conductor25" localSheetId="18">#REF!</definedName>
    <definedName name="conductor25" localSheetId="63">#REF!</definedName>
    <definedName name="conductor25" localSheetId="13">#REF!</definedName>
    <definedName name="conductor25" localSheetId="12">#REF!</definedName>
    <definedName name="conductor25" localSheetId="41">#REF!</definedName>
    <definedName name="conductor25" localSheetId="42">#REF!</definedName>
    <definedName name="conductor25" localSheetId="65">#REF!</definedName>
    <definedName name="conductor25" localSheetId="25">#REF!</definedName>
    <definedName name="conductor25" localSheetId="23">#REF!</definedName>
    <definedName name="conductor25">#REF!</definedName>
    <definedName name="conductor35" localSheetId="30">#REF!</definedName>
    <definedName name="conductor35" localSheetId="29">#REF!</definedName>
    <definedName name="conductor35" localSheetId="35">#REF!</definedName>
    <definedName name="conductor35" localSheetId="34">#REF!</definedName>
    <definedName name="conductor35" localSheetId="66">#REF!</definedName>
    <definedName name="conductor35" localSheetId="22">#REF!</definedName>
    <definedName name="conductor35" localSheetId="24">#REF!</definedName>
    <definedName name="conductor35" localSheetId="39">#REF!</definedName>
    <definedName name="conductor35" localSheetId="40">#REF!</definedName>
    <definedName name="conductor35" localSheetId="53">#REF!</definedName>
    <definedName name="conductor35" localSheetId="54">#REF!</definedName>
    <definedName name="conductor35" localSheetId="5">#REF!</definedName>
    <definedName name="conductor35" localSheetId="3">#REF!</definedName>
    <definedName name="conductor35" localSheetId="48">#REF!</definedName>
    <definedName name="conductor35" localSheetId="47">#REF!</definedName>
    <definedName name="conductor35" localSheetId="52">#REF!</definedName>
    <definedName name="conductor35" localSheetId="58">#REF!</definedName>
    <definedName name="conductor35" localSheetId="59">#REF!</definedName>
    <definedName name="conductor35" localSheetId="8">#REF!</definedName>
    <definedName name="conductor35" localSheetId="17">#REF!</definedName>
    <definedName name="conductor35" localSheetId="18">#REF!</definedName>
    <definedName name="conductor35" localSheetId="63">#REF!</definedName>
    <definedName name="conductor35" localSheetId="13">#REF!</definedName>
    <definedName name="conductor35" localSheetId="12">#REF!</definedName>
    <definedName name="conductor35" localSheetId="41">#REF!</definedName>
    <definedName name="conductor35" localSheetId="42">#REF!</definedName>
    <definedName name="conductor35" localSheetId="65">#REF!</definedName>
    <definedName name="conductor35" localSheetId="25">#REF!</definedName>
    <definedName name="conductor35" localSheetId="23">#REF!</definedName>
    <definedName name="conductor35">#REF!</definedName>
    <definedName name="conductor4" localSheetId="30">#REF!</definedName>
    <definedName name="conductor4" localSheetId="29">#REF!</definedName>
    <definedName name="conductor4" localSheetId="35">#REF!</definedName>
    <definedName name="conductor4" localSheetId="34">#REF!</definedName>
    <definedName name="conductor4" localSheetId="66">#REF!</definedName>
    <definedName name="conductor4" localSheetId="22">#REF!</definedName>
    <definedName name="conductor4" localSheetId="24">#REF!</definedName>
    <definedName name="conductor4" localSheetId="39">#REF!</definedName>
    <definedName name="conductor4" localSheetId="40">#REF!</definedName>
    <definedName name="conductor4" localSheetId="53">#REF!</definedName>
    <definedName name="conductor4" localSheetId="54">#REF!</definedName>
    <definedName name="conductor4" localSheetId="5">#REF!</definedName>
    <definedName name="conductor4" localSheetId="3">#REF!</definedName>
    <definedName name="conductor4" localSheetId="48">#REF!</definedName>
    <definedName name="conductor4" localSheetId="47">#REF!</definedName>
    <definedName name="conductor4" localSheetId="52">#REF!</definedName>
    <definedName name="conductor4" localSheetId="58">#REF!</definedName>
    <definedName name="conductor4" localSheetId="59">#REF!</definedName>
    <definedName name="conductor4" localSheetId="8">#REF!</definedName>
    <definedName name="conductor4" localSheetId="17">#REF!</definedName>
    <definedName name="conductor4" localSheetId="18">#REF!</definedName>
    <definedName name="conductor4" localSheetId="63">#REF!</definedName>
    <definedName name="conductor4" localSheetId="13">#REF!</definedName>
    <definedName name="conductor4" localSheetId="12">#REF!</definedName>
    <definedName name="conductor4" localSheetId="41">#REF!</definedName>
    <definedName name="conductor4" localSheetId="42">#REF!</definedName>
    <definedName name="conductor4" localSheetId="65">#REF!</definedName>
    <definedName name="conductor4" localSheetId="25">#REF!</definedName>
    <definedName name="conductor4" localSheetId="23">#REF!</definedName>
    <definedName name="conductor4">#REF!</definedName>
    <definedName name="conductor50" localSheetId="30">#REF!</definedName>
    <definedName name="conductor50" localSheetId="29">#REF!</definedName>
    <definedName name="conductor50" localSheetId="35">#REF!</definedName>
    <definedName name="conductor50" localSheetId="34">#REF!</definedName>
    <definedName name="conductor50" localSheetId="66">#REF!</definedName>
    <definedName name="conductor50" localSheetId="22">#REF!</definedName>
    <definedName name="conductor50" localSheetId="24">#REF!</definedName>
    <definedName name="conductor50" localSheetId="39">#REF!</definedName>
    <definedName name="conductor50" localSheetId="40">#REF!</definedName>
    <definedName name="conductor50" localSheetId="53">#REF!</definedName>
    <definedName name="conductor50" localSheetId="54">#REF!</definedName>
    <definedName name="conductor50" localSheetId="5">#REF!</definedName>
    <definedName name="conductor50" localSheetId="3">#REF!</definedName>
    <definedName name="conductor50" localSheetId="48">#REF!</definedName>
    <definedName name="conductor50" localSheetId="47">#REF!</definedName>
    <definedName name="conductor50" localSheetId="52">#REF!</definedName>
    <definedName name="conductor50" localSheetId="58">#REF!</definedName>
    <definedName name="conductor50" localSheetId="59">#REF!</definedName>
    <definedName name="conductor50" localSheetId="8">#REF!</definedName>
    <definedName name="conductor50" localSheetId="17">#REF!</definedName>
    <definedName name="conductor50" localSheetId="18">#REF!</definedName>
    <definedName name="conductor50" localSheetId="63">#REF!</definedName>
    <definedName name="conductor50" localSheetId="13">#REF!</definedName>
    <definedName name="conductor50" localSheetId="12">#REF!</definedName>
    <definedName name="conductor50" localSheetId="41">#REF!</definedName>
    <definedName name="conductor50" localSheetId="42">#REF!</definedName>
    <definedName name="conductor50" localSheetId="65">#REF!</definedName>
    <definedName name="conductor50" localSheetId="25">#REF!</definedName>
    <definedName name="conductor50" localSheetId="23">#REF!</definedName>
    <definedName name="conductor50">#REF!</definedName>
    <definedName name="conductor6" localSheetId="30">#REF!</definedName>
    <definedName name="conductor6" localSheetId="29">#REF!</definedName>
    <definedName name="conductor6" localSheetId="35">#REF!</definedName>
    <definedName name="conductor6" localSheetId="34">#REF!</definedName>
    <definedName name="conductor6" localSheetId="66">#REF!</definedName>
    <definedName name="conductor6" localSheetId="22">#REF!</definedName>
    <definedName name="conductor6" localSheetId="24">#REF!</definedName>
    <definedName name="conductor6" localSheetId="39">#REF!</definedName>
    <definedName name="conductor6" localSheetId="40">#REF!</definedName>
    <definedName name="conductor6" localSheetId="53">#REF!</definedName>
    <definedName name="conductor6" localSheetId="54">#REF!</definedName>
    <definedName name="conductor6" localSheetId="5">#REF!</definedName>
    <definedName name="conductor6" localSheetId="3">#REF!</definedName>
    <definedName name="conductor6" localSheetId="48">#REF!</definedName>
    <definedName name="conductor6" localSheetId="47">#REF!</definedName>
    <definedName name="conductor6" localSheetId="52">#REF!</definedName>
    <definedName name="conductor6" localSheetId="58">#REF!</definedName>
    <definedName name="conductor6" localSheetId="59">#REF!</definedName>
    <definedName name="conductor6" localSheetId="8">#REF!</definedName>
    <definedName name="conductor6" localSheetId="17">#REF!</definedName>
    <definedName name="conductor6" localSheetId="18">#REF!</definedName>
    <definedName name="conductor6" localSheetId="63">#REF!</definedName>
    <definedName name="conductor6" localSheetId="13">#REF!</definedName>
    <definedName name="conductor6" localSheetId="12">#REF!</definedName>
    <definedName name="conductor6" localSheetId="41">#REF!</definedName>
    <definedName name="conductor6" localSheetId="42">#REF!</definedName>
    <definedName name="conductor6" localSheetId="65">#REF!</definedName>
    <definedName name="conductor6" localSheetId="25">#REF!</definedName>
    <definedName name="conductor6" localSheetId="23">#REF!</definedName>
    <definedName name="conductor6">#REF!</definedName>
    <definedName name="conductor70" localSheetId="30">#REF!</definedName>
    <definedName name="conductor70" localSheetId="29">#REF!</definedName>
    <definedName name="conductor70" localSheetId="35">#REF!</definedName>
    <definedName name="conductor70" localSheetId="34">#REF!</definedName>
    <definedName name="conductor70" localSheetId="66">#REF!</definedName>
    <definedName name="conductor70" localSheetId="22">#REF!</definedName>
    <definedName name="conductor70" localSheetId="24">#REF!</definedName>
    <definedName name="conductor70" localSheetId="39">#REF!</definedName>
    <definedName name="conductor70" localSheetId="40">#REF!</definedName>
    <definedName name="conductor70" localSheetId="53">#REF!</definedName>
    <definedName name="conductor70" localSheetId="54">#REF!</definedName>
    <definedName name="conductor70" localSheetId="5">#REF!</definedName>
    <definedName name="conductor70" localSheetId="3">#REF!</definedName>
    <definedName name="conductor70" localSheetId="48">#REF!</definedName>
    <definedName name="conductor70" localSheetId="47">#REF!</definedName>
    <definedName name="conductor70" localSheetId="52">#REF!</definedName>
    <definedName name="conductor70" localSheetId="58">#REF!</definedName>
    <definedName name="conductor70" localSheetId="59">#REF!</definedName>
    <definedName name="conductor70" localSheetId="8">#REF!</definedName>
    <definedName name="conductor70" localSheetId="17">#REF!</definedName>
    <definedName name="conductor70" localSheetId="18">#REF!</definedName>
    <definedName name="conductor70" localSheetId="63">#REF!</definedName>
    <definedName name="conductor70" localSheetId="13">#REF!</definedName>
    <definedName name="conductor70" localSheetId="12">#REF!</definedName>
    <definedName name="conductor70" localSheetId="41">#REF!</definedName>
    <definedName name="conductor70" localSheetId="42">#REF!</definedName>
    <definedName name="conductor70" localSheetId="65">#REF!</definedName>
    <definedName name="conductor70" localSheetId="25">#REF!</definedName>
    <definedName name="conductor70" localSheetId="23">#REF!</definedName>
    <definedName name="conductor70">#REF!</definedName>
    <definedName name="conduit110" localSheetId="30">#REF!</definedName>
    <definedName name="conduit110" localSheetId="29">#REF!</definedName>
    <definedName name="conduit110" localSheetId="35">#REF!</definedName>
    <definedName name="conduit110" localSheetId="34">#REF!</definedName>
    <definedName name="conduit110" localSheetId="66">#REF!</definedName>
    <definedName name="conduit110" localSheetId="22">#REF!</definedName>
    <definedName name="conduit110" localSheetId="24">#REF!</definedName>
    <definedName name="conduit110" localSheetId="39">#REF!</definedName>
    <definedName name="conduit110" localSheetId="40">#REF!</definedName>
    <definedName name="conduit110" localSheetId="53">#REF!</definedName>
    <definedName name="conduit110" localSheetId="54">#REF!</definedName>
    <definedName name="conduit110" localSheetId="5">#REF!</definedName>
    <definedName name="conduit110" localSheetId="3">#REF!</definedName>
    <definedName name="conduit110" localSheetId="48">#REF!</definedName>
    <definedName name="conduit110" localSheetId="47">#REF!</definedName>
    <definedName name="conduit110" localSheetId="52">#REF!</definedName>
    <definedName name="conduit110" localSheetId="58">#REF!</definedName>
    <definedName name="conduit110" localSheetId="59">#REF!</definedName>
    <definedName name="conduit110" localSheetId="8">#REF!</definedName>
    <definedName name="conduit110" localSheetId="17">#REF!</definedName>
    <definedName name="conduit110" localSheetId="18">#REF!</definedName>
    <definedName name="conduit110" localSheetId="63">#REF!</definedName>
    <definedName name="conduit110" localSheetId="13">#REF!</definedName>
    <definedName name="conduit110" localSheetId="12">#REF!</definedName>
    <definedName name="conduit110" localSheetId="41">#REF!</definedName>
    <definedName name="conduit110" localSheetId="42">#REF!</definedName>
    <definedName name="conduit110" localSheetId="65">#REF!</definedName>
    <definedName name="conduit110" localSheetId="25">#REF!</definedName>
    <definedName name="conduit110" localSheetId="23">#REF!</definedName>
    <definedName name="conduit110">#REF!</definedName>
    <definedName name="conduit13.5" localSheetId="30">#REF!</definedName>
    <definedName name="conduit13.5" localSheetId="29">#REF!</definedName>
    <definedName name="conduit13.5" localSheetId="35">#REF!</definedName>
    <definedName name="conduit13.5" localSheetId="34">#REF!</definedName>
    <definedName name="conduit13.5" localSheetId="66">#REF!</definedName>
    <definedName name="conduit13.5" localSheetId="22">#REF!</definedName>
    <definedName name="conduit13.5" localSheetId="24">#REF!</definedName>
    <definedName name="conduit13.5" localSheetId="39">#REF!</definedName>
    <definedName name="conduit13.5" localSheetId="40">#REF!</definedName>
    <definedName name="conduit13.5" localSheetId="53">#REF!</definedName>
    <definedName name="conduit13.5" localSheetId="54">#REF!</definedName>
    <definedName name="conduit13.5" localSheetId="5">#REF!</definedName>
    <definedName name="conduit13.5" localSheetId="3">#REF!</definedName>
    <definedName name="conduit13.5" localSheetId="48">#REF!</definedName>
    <definedName name="conduit13.5" localSheetId="47">#REF!</definedName>
    <definedName name="conduit13.5" localSheetId="52">#REF!</definedName>
    <definedName name="conduit13.5" localSheetId="58">#REF!</definedName>
    <definedName name="conduit13.5" localSheetId="59">#REF!</definedName>
    <definedName name="conduit13.5" localSheetId="8">#REF!</definedName>
    <definedName name="conduit13.5" localSheetId="17">#REF!</definedName>
    <definedName name="conduit13.5" localSheetId="18">#REF!</definedName>
    <definedName name="conduit13.5" localSheetId="63">#REF!</definedName>
    <definedName name="conduit13.5" localSheetId="13">#REF!</definedName>
    <definedName name="conduit13.5" localSheetId="12">#REF!</definedName>
    <definedName name="conduit13.5" localSheetId="41">#REF!</definedName>
    <definedName name="conduit13.5" localSheetId="42">#REF!</definedName>
    <definedName name="conduit13.5" localSheetId="65">#REF!</definedName>
    <definedName name="conduit13.5" localSheetId="25">#REF!</definedName>
    <definedName name="conduit13.5" localSheetId="23">#REF!</definedName>
    <definedName name="conduit13.5">#REF!</definedName>
    <definedName name="conduit16" localSheetId="30">#REF!</definedName>
    <definedName name="conduit16" localSheetId="29">#REF!</definedName>
    <definedName name="conduit16" localSheetId="35">#REF!</definedName>
    <definedName name="conduit16" localSheetId="34">#REF!</definedName>
    <definedName name="conduit16" localSheetId="66">#REF!</definedName>
    <definedName name="conduit16" localSheetId="22">#REF!</definedName>
    <definedName name="conduit16" localSheetId="24">#REF!</definedName>
    <definedName name="conduit16" localSheetId="39">#REF!</definedName>
    <definedName name="conduit16" localSheetId="40">#REF!</definedName>
    <definedName name="conduit16" localSheetId="53">#REF!</definedName>
    <definedName name="conduit16" localSheetId="54">#REF!</definedName>
    <definedName name="conduit16" localSheetId="5">#REF!</definedName>
    <definedName name="conduit16" localSheetId="3">#REF!</definedName>
    <definedName name="conduit16" localSheetId="48">#REF!</definedName>
    <definedName name="conduit16" localSheetId="47">#REF!</definedName>
    <definedName name="conduit16" localSheetId="52">#REF!</definedName>
    <definedName name="conduit16" localSheetId="58">#REF!</definedName>
    <definedName name="conduit16" localSheetId="59">#REF!</definedName>
    <definedName name="conduit16" localSheetId="8">#REF!</definedName>
    <definedName name="conduit16" localSheetId="17">#REF!</definedName>
    <definedName name="conduit16" localSheetId="18">#REF!</definedName>
    <definedName name="conduit16" localSheetId="63">#REF!</definedName>
    <definedName name="conduit16" localSheetId="13">#REF!</definedName>
    <definedName name="conduit16" localSheetId="12">#REF!</definedName>
    <definedName name="conduit16" localSheetId="41">#REF!</definedName>
    <definedName name="conduit16" localSheetId="42">#REF!</definedName>
    <definedName name="conduit16" localSheetId="65">#REF!</definedName>
    <definedName name="conduit16" localSheetId="25">#REF!</definedName>
    <definedName name="conduit16" localSheetId="23">#REF!</definedName>
    <definedName name="conduit16">#REF!</definedName>
    <definedName name="conduit19" localSheetId="30">#REF!</definedName>
    <definedName name="conduit19" localSheetId="29">#REF!</definedName>
    <definedName name="conduit19" localSheetId="35">#REF!</definedName>
    <definedName name="conduit19" localSheetId="34">#REF!</definedName>
    <definedName name="conduit19" localSheetId="66">#REF!</definedName>
    <definedName name="conduit19" localSheetId="22">#REF!</definedName>
    <definedName name="conduit19" localSheetId="24">#REF!</definedName>
    <definedName name="conduit19" localSheetId="39">#REF!</definedName>
    <definedName name="conduit19" localSheetId="40">#REF!</definedName>
    <definedName name="conduit19" localSheetId="53">#REF!</definedName>
    <definedName name="conduit19" localSheetId="54">#REF!</definedName>
    <definedName name="conduit19" localSheetId="5">#REF!</definedName>
    <definedName name="conduit19" localSheetId="3">#REF!</definedName>
    <definedName name="conduit19" localSheetId="48">#REF!</definedName>
    <definedName name="conduit19" localSheetId="47">#REF!</definedName>
    <definedName name="conduit19" localSheetId="52">#REF!</definedName>
    <definedName name="conduit19" localSheetId="58">#REF!</definedName>
    <definedName name="conduit19" localSheetId="59">#REF!</definedName>
    <definedName name="conduit19" localSheetId="8">#REF!</definedName>
    <definedName name="conduit19" localSheetId="17">#REF!</definedName>
    <definedName name="conduit19" localSheetId="18">#REF!</definedName>
    <definedName name="conduit19" localSheetId="63">#REF!</definedName>
    <definedName name="conduit19" localSheetId="13">#REF!</definedName>
    <definedName name="conduit19" localSheetId="12">#REF!</definedName>
    <definedName name="conduit19" localSheetId="41">#REF!</definedName>
    <definedName name="conduit19" localSheetId="42">#REF!</definedName>
    <definedName name="conduit19" localSheetId="65">#REF!</definedName>
    <definedName name="conduit19" localSheetId="25">#REF!</definedName>
    <definedName name="conduit19" localSheetId="23">#REF!</definedName>
    <definedName name="conduit19">#REF!</definedName>
    <definedName name="conduit20" localSheetId="30">#REF!</definedName>
    <definedName name="conduit20" localSheetId="29">#REF!</definedName>
    <definedName name="conduit20" localSheetId="35">#REF!</definedName>
    <definedName name="conduit20" localSheetId="34">#REF!</definedName>
    <definedName name="conduit20" localSheetId="66">#REF!</definedName>
    <definedName name="conduit20" localSheetId="22">#REF!</definedName>
    <definedName name="conduit20" localSheetId="24">#REF!</definedName>
    <definedName name="conduit20" localSheetId="39">#REF!</definedName>
    <definedName name="conduit20" localSheetId="40">#REF!</definedName>
    <definedName name="conduit20" localSheetId="53">#REF!</definedName>
    <definedName name="conduit20" localSheetId="54">#REF!</definedName>
    <definedName name="conduit20" localSheetId="5">#REF!</definedName>
    <definedName name="conduit20" localSheetId="3">#REF!</definedName>
    <definedName name="conduit20" localSheetId="48">#REF!</definedName>
    <definedName name="conduit20" localSheetId="47">#REF!</definedName>
    <definedName name="conduit20" localSheetId="52">#REF!</definedName>
    <definedName name="conduit20" localSheetId="58">#REF!</definedName>
    <definedName name="conduit20" localSheetId="59">#REF!</definedName>
    <definedName name="conduit20" localSheetId="8">#REF!</definedName>
    <definedName name="conduit20" localSheetId="17">#REF!</definedName>
    <definedName name="conduit20" localSheetId="18">#REF!</definedName>
    <definedName name="conduit20" localSheetId="63">#REF!</definedName>
    <definedName name="conduit20" localSheetId="13">#REF!</definedName>
    <definedName name="conduit20" localSheetId="12">#REF!</definedName>
    <definedName name="conduit20" localSheetId="41">#REF!</definedName>
    <definedName name="conduit20" localSheetId="42">#REF!</definedName>
    <definedName name="conduit20" localSheetId="65">#REF!</definedName>
    <definedName name="conduit20" localSheetId="25">#REF!</definedName>
    <definedName name="conduit20" localSheetId="23">#REF!</definedName>
    <definedName name="conduit20">#REF!</definedName>
    <definedName name="conduit21" localSheetId="30">#REF!</definedName>
    <definedName name="conduit21" localSheetId="29">#REF!</definedName>
    <definedName name="conduit21" localSheetId="35">#REF!</definedName>
    <definedName name="conduit21" localSheetId="34">#REF!</definedName>
    <definedName name="conduit21" localSheetId="66">#REF!</definedName>
    <definedName name="conduit21" localSheetId="22">#REF!</definedName>
    <definedName name="conduit21" localSheetId="24">#REF!</definedName>
    <definedName name="conduit21" localSheetId="39">#REF!</definedName>
    <definedName name="conduit21" localSheetId="40">#REF!</definedName>
    <definedName name="conduit21" localSheetId="53">#REF!</definedName>
    <definedName name="conduit21" localSheetId="54">#REF!</definedName>
    <definedName name="conduit21" localSheetId="5">#REF!</definedName>
    <definedName name="conduit21" localSheetId="3">#REF!</definedName>
    <definedName name="conduit21" localSheetId="48">#REF!</definedName>
    <definedName name="conduit21" localSheetId="47">#REF!</definedName>
    <definedName name="conduit21" localSheetId="52">#REF!</definedName>
    <definedName name="conduit21" localSheetId="58">#REF!</definedName>
    <definedName name="conduit21" localSheetId="59">#REF!</definedName>
    <definedName name="conduit21" localSheetId="8">#REF!</definedName>
    <definedName name="conduit21" localSheetId="17">#REF!</definedName>
    <definedName name="conduit21" localSheetId="18">#REF!</definedName>
    <definedName name="conduit21" localSheetId="63">#REF!</definedName>
    <definedName name="conduit21" localSheetId="13">#REF!</definedName>
    <definedName name="conduit21" localSheetId="12">#REF!</definedName>
    <definedName name="conduit21" localSheetId="41">#REF!</definedName>
    <definedName name="conduit21" localSheetId="42">#REF!</definedName>
    <definedName name="conduit21" localSheetId="65">#REF!</definedName>
    <definedName name="conduit21" localSheetId="25">#REF!</definedName>
    <definedName name="conduit21" localSheetId="23">#REF!</definedName>
    <definedName name="conduit21">#REF!</definedName>
    <definedName name="conduit25" localSheetId="30">#REF!</definedName>
    <definedName name="conduit25" localSheetId="29">#REF!</definedName>
    <definedName name="conduit25" localSheetId="35">#REF!</definedName>
    <definedName name="conduit25" localSheetId="34">#REF!</definedName>
    <definedName name="conduit25" localSheetId="66">#REF!</definedName>
    <definedName name="conduit25" localSheetId="22">#REF!</definedName>
    <definedName name="conduit25" localSheetId="24">#REF!</definedName>
    <definedName name="conduit25" localSheetId="39">#REF!</definedName>
    <definedName name="conduit25" localSheetId="40">#REF!</definedName>
    <definedName name="conduit25" localSheetId="53">#REF!</definedName>
    <definedName name="conduit25" localSheetId="54">#REF!</definedName>
    <definedName name="conduit25" localSheetId="5">#REF!</definedName>
    <definedName name="conduit25" localSheetId="3">#REF!</definedName>
    <definedName name="conduit25" localSheetId="48">#REF!</definedName>
    <definedName name="conduit25" localSheetId="47">#REF!</definedName>
    <definedName name="conduit25" localSheetId="52">#REF!</definedName>
    <definedName name="conduit25" localSheetId="58">#REF!</definedName>
    <definedName name="conduit25" localSheetId="59">#REF!</definedName>
    <definedName name="conduit25" localSheetId="8">#REF!</definedName>
    <definedName name="conduit25" localSheetId="17">#REF!</definedName>
    <definedName name="conduit25" localSheetId="18">#REF!</definedName>
    <definedName name="conduit25" localSheetId="63">#REF!</definedName>
    <definedName name="conduit25" localSheetId="13">#REF!</definedName>
    <definedName name="conduit25" localSheetId="12">#REF!</definedName>
    <definedName name="conduit25" localSheetId="41">#REF!</definedName>
    <definedName name="conduit25" localSheetId="42">#REF!</definedName>
    <definedName name="conduit25" localSheetId="65">#REF!</definedName>
    <definedName name="conduit25" localSheetId="25">#REF!</definedName>
    <definedName name="conduit25" localSheetId="23">#REF!</definedName>
    <definedName name="conduit25">#REF!</definedName>
    <definedName name="conduit29" localSheetId="30">#REF!</definedName>
    <definedName name="conduit29" localSheetId="29">#REF!</definedName>
    <definedName name="conduit29" localSheetId="35">#REF!</definedName>
    <definedName name="conduit29" localSheetId="34">#REF!</definedName>
    <definedName name="conduit29" localSheetId="66">#REF!</definedName>
    <definedName name="conduit29" localSheetId="22">#REF!</definedName>
    <definedName name="conduit29" localSheetId="24">#REF!</definedName>
    <definedName name="conduit29" localSheetId="39">#REF!</definedName>
    <definedName name="conduit29" localSheetId="40">#REF!</definedName>
    <definedName name="conduit29" localSheetId="53">#REF!</definedName>
    <definedName name="conduit29" localSheetId="54">#REF!</definedName>
    <definedName name="conduit29" localSheetId="5">#REF!</definedName>
    <definedName name="conduit29" localSheetId="3">#REF!</definedName>
    <definedName name="conduit29" localSheetId="48">#REF!</definedName>
    <definedName name="conduit29" localSheetId="47">#REF!</definedName>
    <definedName name="conduit29" localSheetId="52">#REF!</definedName>
    <definedName name="conduit29" localSheetId="58">#REF!</definedName>
    <definedName name="conduit29" localSheetId="59">#REF!</definedName>
    <definedName name="conduit29" localSheetId="8">#REF!</definedName>
    <definedName name="conduit29" localSheetId="17">#REF!</definedName>
    <definedName name="conduit29" localSheetId="18">#REF!</definedName>
    <definedName name="conduit29" localSheetId="63">#REF!</definedName>
    <definedName name="conduit29" localSheetId="13">#REF!</definedName>
    <definedName name="conduit29" localSheetId="12">#REF!</definedName>
    <definedName name="conduit29" localSheetId="41">#REF!</definedName>
    <definedName name="conduit29" localSheetId="42">#REF!</definedName>
    <definedName name="conduit29" localSheetId="65">#REF!</definedName>
    <definedName name="conduit29" localSheetId="25">#REF!</definedName>
    <definedName name="conduit29" localSheetId="23">#REF!</definedName>
    <definedName name="conduit29">#REF!</definedName>
    <definedName name="conduit32" localSheetId="30">#REF!</definedName>
    <definedName name="conduit32" localSheetId="29">#REF!</definedName>
    <definedName name="conduit32" localSheetId="35">#REF!</definedName>
    <definedName name="conduit32" localSheetId="34">#REF!</definedName>
    <definedName name="conduit32" localSheetId="66">#REF!</definedName>
    <definedName name="conduit32" localSheetId="22">#REF!</definedName>
    <definedName name="conduit32" localSheetId="24">#REF!</definedName>
    <definedName name="conduit32" localSheetId="39">#REF!</definedName>
    <definedName name="conduit32" localSheetId="40">#REF!</definedName>
    <definedName name="conduit32" localSheetId="53">#REF!</definedName>
    <definedName name="conduit32" localSheetId="54">#REF!</definedName>
    <definedName name="conduit32" localSheetId="5">#REF!</definedName>
    <definedName name="conduit32" localSheetId="3">#REF!</definedName>
    <definedName name="conduit32" localSheetId="48">#REF!</definedName>
    <definedName name="conduit32" localSheetId="47">#REF!</definedName>
    <definedName name="conduit32" localSheetId="52">#REF!</definedName>
    <definedName name="conduit32" localSheetId="58">#REF!</definedName>
    <definedName name="conduit32" localSheetId="59">#REF!</definedName>
    <definedName name="conduit32" localSheetId="8">#REF!</definedName>
    <definedName name="conduit32" localSheetId="17">#REF!</definedName>
    <definedName name="conduit32" localSheetId="18">#REF!</definedName>
    <definedName name="conduit32" localSheetId="63">#REF!</definedName>
    <definedName name="conduit32" localSheetId="13">#REF!</definedName>
    <definedName name="conduit32" localSheetId="12">#REF!</definedName>
    <definedName name="conduit32" localSheetId="41">#REF!</definedName>
    <definedName name="conduit32" localSheetId="42">#REF!</definedName>
    <definedName name="conduit32" localSheetId="65">#REF!</definedName>
    <definedName name="conduit32" localSheetId="25">#REF!</definedName>
    <definedName name="conduit32" localSheetId="23">#REF!</definedName>
    <definedName name="conduit32">#REF!</definedName>
    <definedName name="conduit36" localSheetId="30">#REF!</definedName>
    <definedName name="conduit36" localSheetId="29">#REF!</definedName>
    <definedName name="conduit36" localSheetId="35">#REF!</definedName>
    <definedName name="conduit36" localSheetId="34">#REF!</definedName>
    <definedName name="conduit36" localSheetId="66">#REF!</definedName>
    <definedName name="conduit36" localSheetId="22">#REF!</definedName>
    <definedName name="conduit36" localSheetId="24">#REF!</definedName>
    <definedName name="conduit36" localSheetId="39">#REF!</definedName>
    <definedName name="conduit36" localSheetId="40">#REF!</definedName>
    <definedName name="conduit36" localSheetId="53">#REF!</definedName>
    <definedName name="conduit36" localSheetId="54">#REF!</definedName>
    <definedName name="conduit36" localSheetId="5">#REF!</definedName>
    <definedName name="conduit36" localSheetId="3">#REF!</definedName>
    <definedName name="conduit36" localSheetId="48">#REF!</definedName>
    <definedName name="conduit36" localSheetId="47">#REF!</definedName>
    <definedName name="conduit36" localSheetId="52">#REF!</definedName>
    <definedName name="conduit36" localSheetId="58">#REF!</definedName>
    <definedName name="conduit36" localSheetId="59">#REF!</definedName>
    <definedName name="conduit36" localSheetId="8">#REF!</definedName>
    <definedName name="conduit36" localSheetId="17">#REF!</definedName>
    <definedName name="conduit36" localSheetId="18">#REF!</definedName>
    <definedName name="conduit36" localSheetId="63">#REF!</definedName>
    <definedName name="conduit36" localSheetId="13">#REF!</definedName>
    <definedName name="conduit36" localSheetId="12">#REF!</definedName>
    <definedName name="conduit36" localSheetId="41">#REF!</definedName>
    <definedName name="conduit36" localSheetId="42">#REF!</definedName>
    <definedName name="conduit36" localSheetId="65">#REF!</definedName>
    <definedName name="conduit36" localSheetId="25">#REF!</definedName>
    <definedName name="conduit36" localSheetId="23">#REF!</definedName>
    <definedName name="conduit36">#REF!</definedName>
    <definedName name="conduit40" localSheetId="30">#REF!</definedName>
    <definedName name="conduit40" localSheetId="29">#REF!</definedName>
    <definedName name="conduit40" localSheetId="35">#REF!</definedName>
    <definedName name="conduit40" localSheetId="34">#REF!</definedName>
    <definedName name="conduit40" localSheetId="66">#REF!</definedName>
    <definedName name="conduit40" localSheetId="22">#REF!</definedName>
    <definedName name="conduit40" localSheetId="24">#REF!</definedName>
    <definedName name="conduit40" localSheetId="39">#REF!</definedName>
    <definedName name="conduit40" localSheetId="40">#REF!</definedName>
    <definedName name="conduit40" localSheetId="53">#REF!</definedName>
    <definedName name="conduit40" localSheetId="54">#REF!</definedName>
    <definedName name="conduit40" localSheetId="5">#REF!</definedName>
    <definedName name="conduit40" localSheetId="3">#REF!</definedName>
    <definedName name="conduit40" localSheetId="48">#REF!</definedName>
    <definedName name="conduit40" localSheetId="47">#REF!</definedName>
    <definedName name="conduit40" localSheetId="52">#REF!</definedName>
    <definedName name="conduit40" localSheetId="58">#REF!</definedName>
    <definedName name="conduit40" localSheetId="59">#REF!</definedName>
    <definedName name="conduit40" localSheetId="8">#REF!</definedName>
    <definedName name="conduit40" localSheetId="17">#REF!</definedName>
    <definedName name="conduit40" localSheetId="18">#REF!</definedName>
    <definedName name="conduit40" localSheetId="63">#REF!</definedName>
    <definedName name="conduit40" localSheetId="13">#REF!</definedName>
    <definedName name="conduit40" localSheetId="12">#REF!</definedName>
    <definedName name="conduit40" localSheetId="41">#REF!</definedName>
    <definedName name="conduit40" localSheetId="42">#REF!</definedName>
    <definedName name="conduit40" localSheetId="65">#REF!</definedName>
    <definedName name="conduit40" localSheetId="25">#REF!</definedName>
    <definedName name="conduit40" localSheetId="23">#REF!</definedName>
    <definedName name="conduit40">#REF!</definedName>
    <definedName name="conduit50" localSheetId="30">#REF!</definedName>
    <definedName name="conduit50" localSheetId="29">#REF!</definedName>
    <definedName name="conduit50" localSheetId="35">#REF!</definedName>
    <definedName name="conduit50" localSheetId="34">#REF!</definedName>
    <definedName name="conduit50" localSheetId="66">#REF!</definedName>
    <definedName name="conduit50" localSheetId="22">#REF!</definedName>
    <definedName name="conduit50" localSheetId="24">#REF!</definedName>
    <definedName name="conduit50" localSheetId="39">#REF!</definedName>
    <definedName name="conduit50" localSheetId="40">#REF!</definedName>
    <definedName name="conduit50" localSheetId="53">#REF!</definedName>
    <definedName name="conduit50" localSheetId="54">#REF!</definedName>
    <definedName name="conduit50" localSheetId="5">#REF!</definedName>
    <definedName name="conduit50" localSheetId="3">#REF!</definedName>
    <definedName name="conduit50" localSheetId="48">#REF!</definedName>
    <definedName name="conduit50" localSheetId="47">#REF!</definedName>
    <definedName name="conduit50" localSheetId="52">#REF!</definedName>
    <definedName name="conduit50" localSheetId="58">#REF!</definedName>
    <definedName name="conduit50" localSheetId="59">#REF!</definedName>
    <definedName name="conduit50" localSheetId="8">#REF!</definedName>
    <definedName name="conduit50" localSheetId="17">#REF!</definedName>
    <definedName name="conduit50" localSheetId="18">#REF!</definedName>
    <definedName name="conduit50" localSheetId="63">#REF!</definedName>
    <definedName name="conduit50" localSheetId="13">#REF!</definedName>
    <definedName name="conduit50" localSheetId="12">#REF!</definedName>
    <definedName name="conduit50" localSheetId="41">#REF!</definedName>
    <definedName name="conduit50" localSheetId="42">#REF!</definedName>
    <definedName name="conduit50" localSheetId="65">#REF!</definedName>
    <definedName name="conduit50" localSheetId="25">#REF!</definedName>
    <definedName name="conduit50" localSheetId="23">#REF!</definedName>
    <definedName name="conduit50">#REF!</definedName>
    <definedName name="conduit75" localSheetId="30">#REF!</definedName>
    <definedName name="conduit75" localSheetId="29">#REF!</definedName>
    <definedName name="conduit75" localSheetId="35">#REF!</definedName>
    <definedName name="conduit75" localSheetId="34">#REF!</definedName>
    <definedName name="conduit75" localSheetId="66">#REF!</definedName>
    <definedName name="conduit75" localSheetId="22">#REF!</definedName>
    <definedName name="conduit75" localSheetId="24">#REF!</definedName>
    <definedName name="conduit75" localSheetId="39">#REF!</definedName>
    <definedName name="conduit75" localSheetId="40">#REF!</definedName>
    <definedName name="conduit75" localSheetId="53">#REF!</definedName>
    <definedName name="conduit75" localSheetId="54">#REF!</definedName>
    <definedName name="conduit75" localSheetId="5">#REF!</definedName>
    <definedName name="conduit75" localSheetId="3">#REF!</definedName>
    <definedName name="conduit75" localSheetId="48">#REF!</definedName>
    <definedName name="conduit75" localSheetId="47">#REF!</definedName>
    <definedName name="conduit75" localSheetId="52">#REF!</definedName>
    <definedName name="conduit75" localSheetId="58">#REF!</definedName>
    <definedName name="conduit75" localSheetId="59">#REF!</definedName>
    <definedName name="conduit75" localSheetId="8">#REF!</definedName>
    <definedName name="conduit75" localSheetId="17">#REF!</definedName>
    <definedName name="conduit75" localSheetId="18">#REF!</definedName>
    <definedName name="conduit75" localSheetId="63">#REF!</definedName>
    <definedName name="conduit75" localSheetId="13">#REF!</definedName>
    <definedName name="conduit75" localSheetId="12">#REF!</definedName>
    <definedName name="conduit75" localSheetId="41">#REF!</definedName>
    <definedName name="conduit75" localSheetId="42">#REF!</definedName>
    <definedName name="conduit75" localSheetId="65">#REF!</definedName>
    <definedName name="conduit75" localSheetId="25">#REF!</definedName>
    <definedName name="conduit75" localSheetId="23">#REF!</definedName>
    <definedName name="conduit75">#REF!</definedName>
    <definedName name="contactor10a3p" localSheetId="30">#REF!</definedName>
    <definedName name="contactor10a3p" localSheetId="29">#REF!</definedName>
    <definedName name="contactor10a3p" localSheetId="35">#REF!</definedName>
    <definedName name="contactor10a3p" localSheetId="34">#REF!</definedName>
    <definedName name="contactor10a3p" localSheetId="66">#REF!</definedName>
    <definedName name="contactor10a3p" localSheetId="22">#REF!</definedName>
    <definedName name="contactor10a3p" localSheetId="24">#REF!</definedName>
    <definedName name="contactor10a3p" localSheetId="39">#REF!</definedName>
    <definedName name="contactor10a3p" localSheetId="40">#REF!</definedName>
    <definedName name="contactor10a3p" localSheetId="53">#REF!</definedName>
    <definedName name="contactor10a3p" localSheetId="54">#REF!</definedName>
    <definedName name="contactor10a3p" localSheetId="5">#REF!</definedName>
    <definedName name="contactor10a3p" localSheetId="3">#REF!</definedName>
    <definedName name="contactor10a3p" localSheetId="48">#REF!</definedName>
    <definedName name="contactor10a3p" localSheetId="47">#REF!</definedName>
    <definedName name="contactor10a3p" localSheetId="52">#REF!</definedName>
    <definedName name="contactor10a3p" localSheetId="58">#REF!</definedName>
    <definedName name="contactor10a3p" localSheetId="59">#REF!</definedName>
    <definedName name="contactor10a3p" localSheetId="8">#REF!</definedName>
    <definedName name="contactor10a3p" localSheetId="17">#REF!</definedName>
    <definedName name="contactor10a3p" localSheetId="18">#REF!</definedName>
    <definedName name="contactor10a3p" localSheetId="63">#REF!</definedName>
    <definedName name="contactor10a3p" localSheetId="13">#REF!</definedName>
    <definedName name="contactor10a3p" localSheetId="12">#REF!</definedName>
    <definedName name="contactor10a3p" localSheetId="41">#REF!</definedName>
    <definedName name="contactor10a3p" localSheetId="42">#REF!</definedName>
    <definedName name="contactor10a3p" localSheetId="65">#REF!</definedName>
    <definedName name="contactor10a3p" localSheetId="25">#REF!</definedName>
    <definedName name="contactor10a3p" localSheetId="23">#REF!</definedName>
    <definedName name="contactor10a3p">#REF!</definedName>
    <definedName name="contactor16a3p" localSheetId="30">#REF!</definedName>
    <definedName name="contactor16a3p" localSheetId="29">#REF!</definedName>
    <definedName name="contactor16a3p" localSheetId="35">#REF!</definedName>
    <definedName name="contactor16a3p" localSheetId="34">#REF!</definedName>
    <definedName name="contactor16a3p" localSheetId="66">#REF!</definedName>
    <definedName name="contactor16a3p" localSheetId="22">#REF!</definedName>
    <definedName name="contactor16a3p" localSheetId="24">#REF!</definedName>
    <definedName name="contactor16a3p" localSheetId="39">#REF!</definedName>
    <definedName name="contactor16a3p" localSheetId="40">#REF!</definedName>
    <definedName name="contactor16a3p" localSheetId="53">#REF!</definedName>
    <definedName name="contactor16a3p" localSheetId="54">#REF!</definedName>
    <definedName name="contactor16a3p" localSheetId="5">#REF!</definedName>
    <definedName name="contactor16a3p" localSheetId="3">#REF!</definedName>
    <definedName name="contactor16a3p" localSheetId="48">#REF!</definedName>
    <definedName name="contactor16a3p" localSheetId="47">#REF!</definedName>
    <definedName name="contactor16a3p" localSheetId="52">#REF!</definedName>
    <definedName name="contactor16a3p" localSheetId="58">#REF!</definedName>
    <definedName name="contactor16a3p" localSheetId="59">#REF!</definedName>
    <definedName name="contactor16a3p" localSheetId="8">#REF!</definedName>
    <definedName name="contactor16a3p" localSheetId="17">#REF!</definedName>
    <definedName name="contactor16a3p" localSheetId="18">#REF!</definedName>
    <definedName name="contactor16a3p" localSheetId="63">#REF!</definedName>
    <definedName name="contactor16a3p" localSheetId="13">#REF!</definedName>
    <definedName name="contactor16a3p" localSheetId="12">#REF!</definedName>
    <definedName name="contactor16a3p" localSheetId="41">#REF!</definedName>
    <definedName name="contactor16a3p" localSheetId="42">#REF!</definedName>
    <definedName name="contactor16a3p" localSheetId="65">#REF!</definedName>
    <definedName name="contactor16a3p" localSheetId="25">#REF!</definedName>
    <definedName name="contactor16a3p" localSheetId="23">#REF!</definedName>
    <definedName name="contactor16a3p">#REF!</definedName>
    <definedName name="contactor25a3p" localSheetId="30">#REF!</definedName>
    <definedName name="contactor25a3p" localSheetId="29">#REF!</definedName>
    <definedName name="contactor25a3p" localSheetId="35">#REF!</definedName>
    <definedName name="contactor25a3p" localSheetId="34">#REF!</definedName>
    <definedName name="contactor25a3p" localSheetId="66">#REF!</definedName>
    <definedName name="contactor25a3p" localSheetId="22">#REF!</definedName>
    <definedName name="contactor25a3p" localSheetId="24">#REF!</definedName>
    <definedName name="contactor25a3p" localSheetId="39">#REF!</definedName>
    <definedName name="contactor25a3p" localSheetId="40">#REF!</definedName>
    <definedName name="contactor25a3p" localSheetId="53">#REF!</definedName>
    <definedName name="contactor25a3p" localSheetId="54">#REF!</definedName>
    <definedName name="contactor25a3p" localSheetId="5">#REF!</definedName>
    <definedName name="contactor25a3p" localSheetId="3">#REF!</definedName>
    <definedName name="contactor25a3p" localSheetId="48">#REF!</definedName>
    <definedName name="contactor25a3p" localSheetId="47">#REF!</definedName>
    <definedName name="contactor25a3p" localSheetId="52">#REF!</definedName>
    <definedName name="contactor25a3p" localSheetId="58">#REF!</definedName>
    <definedName name="contactor25a3p" localSheetId="59">#REF!</definedName>
    <definedName name="contactor25a3p" localSheetId="8">#REF!</definedName>
    <definedName name="contactor25a3p" localSheetId="17">#REF!</definedName>
    <definedName name="contactor25a3p" localSheetId="18">#REF!</definedName>
    <definedName name="contactor25a3p" localSheetId="63">#REF!</definedName>
    <definedName name="contactor25a3p" localSheetId="13">#REF!</definedName>
    <definedName name="contactor25a3p" localSheetId="12">#REF!</definedName>
    <definedName name="contactor25a3p" localSheetId="41">#REF!</definedName>
    <definedName name="contactor25a3p" localSheetId="42">#REF!</definedName>
    <definedName name="contactor25a3p" localSheetId="65">#REF!</definedName>
    <definedName name="contactor25a3p" localSheetId="25">#REF!</definedName>
    <definedName name="contactor25a3p" localSheetId="23">#REF!</definedName>
    <definedName name="contactor25a3p">#REF!</definedName>
    <definedName name="contactor32a3p" localSheetId="30">#REF!</definedName>
    <definedName name="contactor32a3p" localSheetId="29">#REF!</definedName>
    <definedName name="contactor32a3p" localSheetId="35">#REF!</definedName>
    <definedName name="contactor32a3p" localSheetId="34">#REF!</definedName>
    <definedName name="contactor32a3p" localSheetId="66">#REF!</definedName>
    <definedName name="contactor32a3p" localSheetId="22">#REF!</definedName>
    <definedName name="contactor32a3p" localSheetId="24">#REF!</definedName>
    <definedName name="contactor32a3p" localSheetId="39">#REF!</definedName>
    <definedName name="contactor32a3p" localSheetId="40">#REF!</definedName>
    <definedName name="contactor32a3p" localSheetId="53">#REF!</definedName>
    <definedName name="contactor32a3p" localSheetId="54">#REF!</definedName>
    <definedName name="contactor32a3p" localSheetId="5">#REF!</definedName>
    <definedName name="contactor32a3p" localSheetId="3">#REF!</definedName>
    <definedName name="contactor32a3p" localSheetId="48">#REF!</definedName>
    <definedName name="contactor32a3p" localSheetId="47">#REF!</definedName>
    <definedName name="contactor32a3p" localSheetId="52">#REF!</definedName>
    <definedName name="contactor32a3p" localSheetId="58">#REF!</definedName>
    <definedName name="contactor32a3p" localSheetId="59">#REF!</definedName>
    <definedName name="contactor32a3p" localSheetId="8">#REF!</definedName>
    <definedName name="contactor32a3p" localSheetId="17">#REF!</definedName>
    <definedName name="contactor32a3p" localSheetId="18">#REF!</definedName>
    <definedName name="contactor32a3p" localSheetId="63">#REF!</definedName>
    <definedName name="contactor32a3p" localSheetId="13">#REF!</definedName>
    <definedName name="contactor32a3p" localSheetId="12">#REF!</definedName>
    <definedName name="contactor32a3p" localSheetId="41">#REF!</definedName>
    <definedName name="contactor32a3p" localSheetId="42">#REF!</definedName>
    <definedName name="contactor32a3p" localSheetId="65">#REF!</definedName>
    <definedName name="contactor32a3p" localSheetId="25">#REF!</definedName>
    <definedName name="contactor32a3p" localSheetId="23">#REF!</definedName>
    <definedName name="contactor32a3p">#REF!</definedName>
    <definedName name="contactor40a3p" localSheetId="30">#REF!</definedName>
    <definedName name="contactor40a3p" localSheetId="29">#REF!</definedName>
    <definedName name="contactor40a3p" localSheetId="35">#REF!</definedName>
    <definedName name="contactor40a3p" localSheetId="34">#REF!</definedName>
    <definedName name="contactor40a3p" localSheetId="66">#REF!</definedName>
    <definedName name="contactor40a3p" localSheetId="22">#REF!</definedName>
    <definedName name="contactor40a3p" localSheetId="24">#REF!</definedName>
    <definedName name="contactor40a3p" localSheetId="39">#REF!</definedName>
    <definedName name="contactor40a3p" localSheetId="40">#REF!</definedName>
    <definedName name="contactor40a3p" localSheetId="53">#REF!</definedName>
    <definedName name="contactor40a3p" localSheetId="54">#REF!</definedName>
    <definedName name="contactor40a3p" localSheetId="5">#REF!</definedName>
    <definedName name="contactor40a3p" localSheetId="3">#REF!</definedName>
    <definedName name="contactor40a3p" localSheetId="48">#REF!</definedName>
    <definedName name="contactor40a3p" localSheetId="47">#REF!</definedName>
    <definedName name="contactor40a3p" localSheetId="52">#REF!</definedName>
    <definedName name="contactor40a3p" localSheetId="58">#REF!</definedName>
    <definedName name="contactor40a3p" localSheetId="59">#REF!</definedName>
    <definedName name="contactor40a3p" localSheetId="8">#REF!</definedName>
    <definedName name="contactor40a3p" localSheetId="17">#REF!</definedName>
    <definedName name="contactor40a3p" localSheetId="18">#REF!</definedName>
    <definedName name="contactor40a3p" localSheetId="63">#REF!</definedName>
    <definedName name="contactor40a3p" localSheetId="13">#REF!</definedName>
    <definedName name="contactor40a3p" localSheetId="12">#REF!</definedName>
    <definedName name="contactor40a3p" localSheetId="41">#REF!</definedName>
    <definedName name="contactor40a3p" localSheetId="42">#REF!</definedName>
    <definedName name="contactor40a3p" localSheetId="65">#REF!</definedName>
    <definedName name="contactor40a3p" localSheetId="25">#REF!</definedName>
    <definedName name="contactor40a3p" localSheetId="23">#REF!</definedName>
    <definedName name="contactor40a3p">#REF!</definedName>
    <definedName name="contactor60a3p" localSheetId="30">#REF!</definedName>
    <definedName name="contactor60a3p" localSheetId="29">#REF!</definedName>
    <definedName name="contactor60a3p" localSheetId="35">#REF!</definedName>
    <definedName name="contactor60a3p" localSheetId="34">#REF!</definedName>
    <definedName name="contactor60a3p" localSheetId="66">#REF!</definedName>
    <definedName name="contactor60a3p" localSheetId="22">#REF!</definedName>
    <definedName name="contactor60a3p" localSheetId="24">#REF!</definedName>
    <definedName name="contactor60a3p" localSheetId="39">#REF!</definedName>
    <definedName name="contactor60a3p" localSheetId="40">#REF!</definedName>
    <definedName name="contactor60a3p" localSheetId="53">#REF!</definedName>
    <definedName name="contactor60a3p" localSheetId="54">#REF!</definedName>
    <definedName name="contactor60a3p" localSheetId="5">#REF!</definedName>
    <definedName name="contactor60a3p" localSheetId="3">#REF!</definedName>
    <definedName name="contactor60a3p" localSheetId="48">#REF!</definedName>
    <definedName name="contactor60a3p" localSheetId="47">#REF!</definedName>
    <definedName name="contactor60a3p" localSheetId="52">#REF!</definedName>
    <definedName name="contactor60a3p" localSheetId="58">#REF!</definedName>
    <definedName name="contactor60a3p" localSheetId="59">#REF!</definedName>
    <definedName name="contactor60a3p" localSheetId="8">#REF!</definedName>
    <definedName name="contactor60a3p" localSheetId="17">#REF!</definedName>
    <definedName name="contactor60a3p" localSheetId="18">#REF!</definedName>
    <definedName name="contactor60a3p" localSheetId="63">#REF!</definedName>
    <definedName name="contactor60a3p" localSheetId="13">#REF!</definedName>
    <definedName name="contactor60a3p" localSheetId="12">#REF!</definedName>
    <definedName name="contactor60a3p" localSheetId="41">#REF!</definedName>
    <definedName name="contactor60a3p" localSheetId="42">#REF!</definedName>
    <definedName name="contactor60a3p" localSheetId="65">#REF!</definedName>
    <definedName name="contactor60a3p" localSheetId="25">#REF!</definedName>
    <definedName name="contactor60a3p" localSheetId="23">#REF!</definedName>
    <definedName name="contactor60a3p">#REF!</definedName>
    <definedName name="contactor6a3p" localSheetId="30">#REF!</definedName>
    <definedName name="contactor6a3p" localSheetId="29">#REF!</definedName>
    <definedName name="contactor6a3p" localSheetId="35">#REF!</definedName>
    <definedName name="contactor6a3p" localSheetId="34">#REF!</definedName>
    <definedName name="contactor6a3p" localSheetId="66">#REF!</definedName>
    <definedName name="contactor6a3p" localSheetId="22">#REF!</definedName>
    <definedName name="contactor6a3p" localSheetId="24">#REF!</definedName>
    <definedName name="contactor6a3p" localSheetId="39">#REF!</definedName>
    <definedName name="contactor6a3p" localSheetId="40">#REF!</definedName>
    <definedName name="contactor6a3p" localSheetId="53">#REF!</definedName>
    <definedName name="contactor6a3p" localSheetId="54">#REF!</definedName>
    <definedName name="contactor6a3p" localSheetId="5">#REF!</definedName>
    <definedName name="contactor6a3p" localSheetId="3">#REF!</definedName>
    <definedName name="contactor6a3p" localSheetId="48">#REF!</definedName>
    <definedName name="contactor6a3p" localSheetId="47">#REF!</definedName>
    <definedName name="contactor6a3p" localSheetId="52">#REF!</definedName>
    <definedName name="contactor6a3p" localSheetId="58">#REF!</definedName>
    <definedName name="contactor6a3p" localSheetId="59">#REF!</definedName>
    <definedName name="contactor6a3p" localSheetId="8">#REF!</definedName>
    <definedName name="contactor6a3p" localSheetId="17">#REF!</definedName>
    <definedName name="contactor6a3p" localSheetId="18">#REF!</definedName>
    <definedName name="contactor6a3p" localSheetId="63">#REF!</definedName>
    <definedName name="contactor6a3p" localSheetId="13">#REF!</definedName>
    <definedName name="contactor6a3p" localSheetId="12">#REF!</definedName>
    <definedName name="contactor6a3p" localSheetId="41">#REF!</definedName>
    <definedName name="contactor6a3p" localSheetId="42">#REF!</definedName>
    <definedName name="contactor6a3p" localSheetId="65">#REF!</definedName>
    <definedName name="contactor6a3p" localSheetId="25">#REF!</definedName>
    <definedName name="contactor6a3p" localSheetId="23">#REF!</definedName>
    <definedName name="contactor6a3p">#REF!</definedName>
    <definedName name="contactor90a3p" localSheetId="30">#REF!</definedName>
    <definedName name="contactor90a3p" localSheetId="29">#REF!</definedName>
    <definedName name="contactor90a3p" localSheetId="35">#REF!</definedName>
    <definedName name="contactor90a3p" localSheetId="34">#REF!</definedName>
    <definedName name="contactor90a3p" localSheetId="66">#REF!</definedName>
    <definedName name="contactor90a3p" localSheetId="22">#REF!</definedName>
    <definedName name="contactor90a3p" localSheetId="24">#REF!</definedName>
    <definedName name="contactor90a3p" localSheetId="39">#REF!</definedName>
    <definedName name="contactor90a3p" localSheetId="40">#REF!</definedName>
    <definedName name="contactor90a3p" localSheetId="53">#REF!</definedName>
    <definedName name="contactor90a3p" localSheetId="54">#REF!</definedName>
    <definedName name="contactor90a3p" localSheetId="5">#REF!</definedName>
    <definedName name="contactor90a3p" localSheetId="3">#REF!</definedName>
    <definedName name="contactor90a3p" localSheetId="48">#REF!</definedName>
    <definedName name="contactor90a3p" localSheetId="47">#REF!</definedName>
    <definedName name="contactor90a3p" localSheetId="52">#REF!</definedName>
    <definedName name="contactor90a3p" localSheetId="58">#REF!</definedName>
    <definedName name="contactor90a3p" localSheetId="59">#REF!</definedName>
    <definedName name="contactor90a3p" localSheetId="8">#REF!</definedName>
    <definedName name="contactor90a3p" localSheetId="17">#REF!</definedName>
    <definedName name="contactor90a3p" localSheetId="18">#REF!</definedName>
    <definedName name="contactor90a3p" localSheetId="63">#REF!</definedName>
    <definedName name="contactor90a3p" localSheetId="13">#REF!</definedName>
    <definedName name="contactor90a3p" localSheetId="12">#REF!</definedName>
    <definedName name="contactor90a3p" localSheetId="41">#REF!</definedName>
    <definedName name="contactor90a3p" localSheetId="42">#REF!</definedName>
    <definedName name="contactor90a3p" localSheetId="65">#REF!</definedName>
    <definedName name="contactor90a3p" localSheetId="25">#REF!</definedName>
    <definedName name="contactor90a3p" localSheetId="23">#REF!</definedName>
    <definedName name="contactor90a3p">#REF!</definedName>
    <definedName name="coppertape25x3" localSheetId="30">#REF!</definedName>
    <definedName name="coppertape25x3" localSheetId="29">#REF!</definedName>
    <definedName name="coppertape25x3" localSheetId="35">#REF!</definedName>
    <definedName name="coppertape25x3" localSheetId="34">#REF!</definedName>
    <definedName name="coppertape25x3" localSheetId="66">#REF!</definedName>
    <definedName name="coppertape25x3" localSheetId="22">#REF!</definedName>
    <definedName name="coppertape25x3" localSheetId="24">#REF!</definedName>
    <definedName name="coppertape25x3" localSheetId="39">#REF!</definedName>
    <definedName name="coppertape25x3" localSheetId="40">#REF!</definedName>
    <definedName name="coppertape25x3" localSheetId="53">#REF!</definedName>
    <definedName name="coppertape25x3" localSheetId="54">#REF!</definedName>
    <definedName name="coppertape25x3" localSheetId="5">#REF!</definedName>
    <definedName name="coppertape25x3" localSheetId="3">#REF!</definedName>
    <definedName name="coppertape25x3" localSheetId="48">#REF!</definedName>
    <definedName name="coppertape25x3" localSheetId="47">#REF!</definedName>
    <definedName name="coppertape25x3" localSheetId="52">#REF!</definedName>
    <definedName name="coppertape25x3" localSheetId="58">#REF!</definedName>
    <definedName name="coppertape25x3" localSheetId="59">#REF!</definedName>
    <definedName name="coppertape25x3" localSheetId="8">#REF!</definedName>
    <definedName name="coppertape25x3" localSheetId="17">#REF!</definedName>
    <definedName name="coppertape25x3" localSheetId="18">#REF!</definedName>
    <definedName name="coppertape25x3" localSheetId="63">#REF!</definedName>
    <definedName name="coppertape25x3" localSheetId="13">#REF!</definedName>
    <definedName name="coppertape25x3" localSheetId="12">#REF!</definedName>
    <definedName name="coppertape25x3" localSheetId="41">#REF!</definedName>
    <definedName name="coppertape25x3" localSheetId="42">#REF!</definedName>
    <definedName name="coppertape25x3" localSheetId="65">#REF!</definedName>
    <definedName name="coppertape25x3" localSheetId="25">#REF!</definedName>
    <definedName name="coppertape25x3" localSheetId="23">#REF!</definedName>
    <definedName name="coppertape25x3">#REF!</definedName>
    <definedName name="Crystal_glass_mirrow_50x40cm" localSheetId="30">'[2]Break Down  '!#REF!</definedName>
    <definedName name="Crystal_glass_mirrow_50x40cm" localSheetId="29">'[2]Break Down  '!#REF!</definedName>
    <definedName name="Crystal_glass_mirrow_50x40cm" localSheetId="35">'[2]Break Down  '!#REF!</definedName>
    <definedName name="Crystal_glass_mirrow_50x40cm" localSheetId="34">'[2]Break Down  '!#REF!</definedName>
    <definedName name="Crystal_glass_mirrow_50x40cm" localSheetId="66">'[1]Break Down  '!#REF!</definedName>
    <definedName name="Crystal_glass_mirrow_50x40cm" localSheetId="22">'[2]Break Down  '!#REF!</definedName>
    <definedName name="Crystal_glass_mirrow_50x40cm" localSheetId="24">'[2]Break Down  '!#REF!</definedName>
    <definedName name="Crystal_glass_mirrow_50x40cm" localSheetId="39">'[2]Break Down  '!#REF!</definedName>
    <definedName name="Crystal_glass_mirrow_50x40cm" localSheetId="40">'[2]Break Down  '!#REF!</definedName>
    <definedName name="Crystal_glass_mirrow_50x40cm" localSheetId="53">'[2]Break Down  '!#REF!</definedName>
    <definedName name="Crystal_glass_mirrow_50x40cm" localSheetId="54">'[2]Break Down  '!#REF!</definedName>
    <definedName name="Crystal_glass_mirrow_50x40cm" localSheetId="5">'[1]Break Down  '!#REF!</definedName>
    <definedName name="Crystal_glass_mirrow_50x40cm" localSheetId="3">'[2]Break Down  '!#REF!</definedName>
    <definedName name="Crystal_glass_mirrow_50x40cm" localSheetId="4">'[2]Break Down  '!#REF!</definedName>
    <definedName name="Crystal_glass_mirrow_50x40cm" localSheetId="48">'[2]Break Down  '!#REF!</definedName>
    <definedName name="Crystal_glass_mirrow_50x40cm" localSheetId="47">'[2]Break Down  '!#REF!</definedName>
    <definedName name="Crystal_glass_mirrow_50x40cm" localSheetId="52">'[1]Break Down  '!#REF!</definedName>
    <definedName name="Crystal_glass_mirrow_50x40cm" localSheetId="58">'[2]Break Down  '!#REF!</definedName>
    <definedName name="Crystal_glass_mirrow_50x40cm" localSheetId="59">'[2]Break Down  '!#REF!</definedName>
    <definedName name="Crystal_glass_mirrow_50x40cm" localSheetId="8">'[2]Break Down  '!#REF!</definedName>
    <definedName name="Crystal_glass_mirrow_50x40cm" localSheetId="17">'[2]Break Down  '!#REF!</definedName>
    <definedName name="Crystal_glass_mirrow_50x40cm" localSheetId="18">'[2]Break Down  '!#REF!</definedName>
    <definedName name="Crystal_glass_mirrow_50x40cm" localSheetId="63">'[2]Break Down  '!#REF!</definedName>
    <definedName name="Crystal_glass_mirrow_50x40cm" localSheetId="13">'[2]Break Down  '!#REF!</definedName>
    <definedName name="Crystal_glass_mirrow_50x40cm" localSheetId="12">'[2]Break Down  '!#REF!</definedName>
    <definedName name="Crystal_glass_mirrow_50x40cm" localSheetId="41">'[2]Break Down  '!#REF!</definedName>
    <definedName name="Crystal_glass_mirrow_50x40cm" localSheetId="42">'[2]Break Down  '!#REF!</definedName>
    <definedName name="Crystal_glass_mirrow_50x40cm" localSheetId="65">'[2]Break Down  '!#REF!</definedName>
    <definedName name="Crystal_glass_mirrow_50x40cm" localSheetId="25">'[2]Break Down  '!#REF!</definedName>
    <definedName name="Crystal_glass_mirrow_50x40cm" localSheetId="23">'[2]Break Down  '!#REF!</definedName>
    <definedName name="Crystal_glass_mirrow_50x40cm">'[1]Break Down  '!#REF!</definedName>
    <definedName name="d" localSheetId="30">[4]Sheet4!$B$4</definedName>
    <definedName name="d" localSheetId="29">[4]Sheet4!$B$4</definedName>
    <definedName name="d" localSheetId="35">[4]Sheet4!$B$4</definedName>
    <definedName name="d" localSheetId="34">[4]Sheet4!$B$4</definedName>
    <definedName name="d" localSheetId="22">[4]Sheet4!$B$4</definedName>
    <definedName name="d" localSheetId="24">[4]Sheet4!$B$4</definedName>
    <definedName name="d" localSheetId="39">[4]Sheet4!$B$4</definedName>
    <definedName name="d" localSheetId="40">[4]Sheet4!$B$4</definedName>
    <definedName name="d" localSheetId="53">[4]Sheet4!$B$4</definedName>
    <definedName name="d" localSheetId="54">[4]Sheet4!$B$4</definedName>
    <definedName name="d" localSheetId="3">[4]Sheet4!$B$4</definedName>
    <definedName name="d" localSheetId="4">[4]Sheet4!$B$4</definedName>
    <definedName name="d" localSheetId="48">[4]Sheet4!$B$4</definedName>
    <definedName name="d" localSheetId="47">[4]Sheet4!$B$4</definedName>
    <definedName name="d" localSheetId="58">[4]Sheet4!$B$4</definedName>
    <definedName name="d" localSheetId="59">[4]Sheet4!$B$4</definedName>
    <definedName name="d" localSheetId="8">[4]Sheet4!$B$4</definedName>
    <definedName name="d" localSheetId="17">[4]Sheet4!$B$4</definedName>
    <definedName name="d" localSheetId="18">[4]Sheet4!$B$4</definedName>
    <definedName name="d" localSheetId="63">[4]Sheet4!$B$4</definedName>
    <definedName name="d" localSheetId="13">[4]Sheet4!$B$4</definedName>
    <definedName name="d" localSheetId="12">[4]Sheet4!$B$4</definedName>
    <definedName name="d" localSheetId="41">[4]Sheet4!$B$4</definedName>
    <definedName name="d" localSheetId="42">[4]Sheet4!$B$4</definedName>
    <definedName name="d" localSheetId="65">[4]Sheet4!$B$4</definedName>
    <definedName name="d" localSheetId="25">[4]Sheet4!$B$4</definedName>
    <definedName name="d" localSheetId="23">[4]Sheet4!$B$4</definedName>
    <definedName name="d">[5]Sheet4!$B$4</definedName>
    <definedName name="da" localSheetId="30">[6]Sheet4!$B$8</definedName>
    <definedName name="da" localSheetId="29">[6]Sheet4!$B$8</definedName>
    <definedName name="da" localSheetId="35">[6]Sheet4!$B$8</definedName>
    <definedName name="da" localSheetId="34">[6]Sheet4!$B$8</definedName>
    <definedName name="da" localSheetId="22">[6]Sheet4!$B$8</definedName>
    <definedName name="da" localSheetId="24">[6]Sheet4!$B$8</definedName>
    <definedName name="da" localSheetId="39">[6]Sheet4!$B$8</definedName>
    <definedName name="da" localSheetId="40">[6]Sheet4!$B$8</definedName>
    <definedName name="da" localSheetId="53">[6]Sheet4!$B$8</definedName>
    <definedName name="da" localSheetId="54">[6]Sheet4!$B$8</definedName>
    <definedName name="da" localSheetId="3">[6]Sheet4!$B$8</definedName>
    <definedName name="da" localSheetId="4">[6]Sheet4!$B$8</definedName>
    <definedName name="da" localSheetId="48">[6]Sheet4!$B$8</definedName>
    <definedName name="da" localSheetId="47">[6]Sheet4!$B$8</definedName>
    <definedName name="da" localSheetId="58">[6]Sheet4!$B$8</definedName>
    <definedName name="da" localSheetId="59">[6]Sheet4!$B$8</definedName>
    <definedName name="da" localSheetId="8">[6]Sheet4!$B$8</definedName>
    <definedName name="da" localSheetId="17">[6]Sheet4!$B$8</definedName>
    <definedName name="da" localSheetId="18">[6]Sheet4!$B$8</definedName>
    <definedName name="da" localSheetId="63">[6]Sheet4!$B$8</definedName>
    <definedName name="da" localSheetId="13">[6]Sheet4!$B$8</definedName>
    <definedName name="da" localSheetId="12">[6]Sheet4!$B$8</definedName>
    <definedName name="da" localSheetId="41">[6]Sheet4!$B$8</definedName>
    <definedName name="da" localSheetId="42">[6]Sheet4!$B$8</definedName>
    <definedName name="da" localSheetId="65">[6]Sheet4!$B$8</definedName>
    <definedName name="da" localSheetId="25">[6]Sheet4!$B$8</definedName>
    <definedName name="da" localSheetId="23">[6]Sheet4!$B$8</definedName>
    <definedName name="da">[7]Sheet4!$B$8</definedName>
    <definedName name="DALI_8BUTTON" localSheetId="30">#REF!</definedName>
    <definedName name="DALI_8BUTTON" localSheetId="29">#REF!</definedName>
    <definedName name="DALI_8BUTTON" localSheetId="35">#REF!</definedName>
    <definedName name="DALI_8BUTTON" localSheetId="34">#REF!</definedName>
    <definedName name="DALI_8BUTTON" localSheetId="66">#REF!</definedName>
    <definedName name="DALI_8BUTTON" localSheetId="22">#REF!</definedName>
    <definedName name="DALI_8BUTTON" localSheetId="24">#REF!</definedName>
    <definedName name="DALI_8BUTTON" localSheetId="39">#REF!</definedName>
    <definedName name="DALI_8BUTTON" localSheetId="40">#REF!</definedName>
    <definedName name="DALI_8BUTTON" localSheetId="53">#REF!</definedName>
    <definedName name="DALI_8BUTTON" localSheetId="54">#REF!</definedName>
    <definedName name="DALI_8BUTTON" localSheetId="5">#REF!</definedName>
    <definedName name="DALI_8BUTTON" localSheetId="3">#REF!</definedName>
    <definedName name="DALI_8BUTTON" localSheetId="48">#REF!</definedName>
    <definedName name="DALI_8BUTTON" localSheetId="47">#REF!</definedName>
    <definedName name="DALI_8BUTTON" localSheetId="52">#REF!</definedName>
    <definedName name="DALI_8BUTTON" localSheetId="58">#REF!</definedName>
    <definedName name="DALI_8BUTTON" localSheetId="59">#REF!</definedName>
    <definedName name="DALI_8BUTTON" localSheetId="8">#REF!</definedName>
    <definedName name="DALI_8BUTTON" localSheetId="17">#REF!</definedName>
    <definedName name="DALI_8BUTTON" localSheetId="18">#REF!</definedName>
    <definedName name="DALI_8BUTTON" localSheetId="63">#REF!</definedName>
    <definedName name="DALI_8BUTTON" localSheetId="13">#REF!</definedName>
    <definedName name="DALI_8BUTTON" localSheetId="12">#REF!</definedName>
    <definedName name="DALI_8BUTTON" localSheetId="41">#REF!</definedName>
    <definedName name="DALI_8BUTTON" localSheetId="42">#REF!</definedName>
    <definedName name="DALI_8BUTTON" localSheetId="65">#REF!</definedName>
    <definedName name="DALI_8BUTTON" localSheetId="25">#REF!</definedName>
    <definedName name="DALI_8BUTTON" localSheetId="23">#REF!</definedName>
    <definedName name="DALI_8BUTTON">#REF!</definedName>
    <definedName name="DALI_DIMMER" localSheetId="30">#REF!</definedName>
    <definedName name="DALI_DIMMER" localSheetId="29">#REF!</definedName>
    <definedName name="DALI_DIMMER" localSheetId="35">#REF!</definedName>
    <definedName name="DALI_DIMMER" localSheetId="34">#REF!</definedName>
    <definedName name="DALI_DIMMER" localSheetId="66">#REF!</definedName>
    <definedName name="DALI_DIMMER" localSheetId="22">#REF!</definedName>
    <definedName name="DALI_DIMMER" localSheetId="24">#REF!</definedName>
    <definedName name="DALI_DIMMER" localSheetId="39">#REF!</definedName>
    <definedName name="DALI_DIMMER" localSheetId="40">#REF!</definedName>
    <definedName name="DALI_DIMMER" localSheetId="53">#REF!</definedName>
    <definedName name="DALI_DIMMER" localSheetId="54">#REF!</definedName>
    <definedName name="DALI_DIMMER" localSheetId="5">#REF!</definedName>
    <definedName name="DALI_DIMMER" localSheetId="3">#REF!</definedName>
    <definedName name="DALI_DIMMER" localSheetId="48">#REF!</definedName>
    <definedName name="DALI_DIMMER" localSheetId="47">#REF!</definedName>
    <definedName name="DALI_DIMMER" localSheetId="52">#REF!</definedName>
    <definedName name="DALI_DIMMER" localSheetId="58">#REF!</definedName>
    <definedName name="DALI_DIMMER" localSheetId="59">#REF!</definedName>
    <definedName name="DALI_DIMMER" localSheetId="8">#REF!</definedName>
    <definedName name="DALI_DIMMER" localSheetId="17">#REF!</definedName>
    <definedName name="DALI_DIMMER" localSheetId="18">#REF!</definedName>
    <definedName name="DALI_DIMMER" localSheetId="63">#REF!</definedName>
    <definedName name="DALI_DIMMER" localSheetId="13">#REF!</definedName>
    <definedName name="DALI_DIMMER" localSheetId="12">#REF!</definedName>
    <definedName name="DALI_DIMMER" localSheetId="41">#REF!</definedName>
    <definedName name="DALI_DIMMER" localSheetId="42">#REF!</definedName>
    <definedName name="DALI_DIMMER" localSheetId="65">#REF!</definedName>
    <definedName name="DALI_DIMMER" localSheetId="25">#REF!</definedName>
    <definedName name="DALI_DIMMER" localSheetId="23">#REF!</definedName>
    <definedName name="DALI_DIMMER">#REF!</definedName>
    <definedName name="DALI_INFRARED_SENSOR" localSheetId="30">#REF!</definedName>
    <definedName name="DALI_INFRARED_SENSOR" localSheetId="29">#REF!</definedName>
    <definedName name="DALI_INFRARED_SENSOR" localSheetId="35">#REF!</definedName>
    <definedName name="DALI_INFRARED_SENSOR" localSheetId="34">#REF!</definedName>
    <definedName name="DALI_INFRARED_SENSOR" localSheetId="66">#REF!</definedName>
    <definedName name="DALI_INFRARED_SENSOR" localSheetId="22">#REF!</definedName>
    <definedName name="DALI_INFRARED_SENSOR" localSheetId="24">#REF!</definedName>
    <definedName name="DALI_INFRARED_SENSOR" localSheetId="39">#REF!</definedName>
    <definedName name="DALI_INFRARED_SENSOR" localSheetId="40">#REF!</definedName>
    <definedName name="DALI_INFRARED_SENSOR" localSheetId="53">#REF!</definedName>
    <definedName name="DALI_INFRARED_SENSOR" localSheetId="54">#REF!</definedName>
    <definedName name="DALI_INFRARED_SENSOR" localSheetId="5">#REF!</definedName>
    <definedName name="DALI_INFRARED_SENSOR" localSheetId="3">#REF!</definedName>
    <definedName name="DALI_INFRARED_SENSOR" localSheetId="48">#REF!</definedName>
    <definedName name="DALI_INFRARED_SENSOR" localSheetId="47">#REF!</definedName>
    <definedName name="DALI_INFRARED_SENSOR" localSheetId="52">#REF!</definedName>
    <definedName name="DALI_INFRARED_SENSOR" localSheetId="58">#REF!</definedName>
    <definedName name="DALI_INFRARED_SENSOR" localSheetId="59">#REF!</definedName>
    <definedName name="DALI_INFRARED_SENSOR" localSheetId="8">#REF!</definedName>
    <definedName name="DALI_INFRARED_SENSOR" localSheetId="17">#REF!</definedName>
    <definedName name="DALI_INFRARED_SENSOR" localSheetId="18">#REF!</definedName>
    <definedName name="DALI_INFRARED_SENSOR" localSheetId="63">#REF!</definedName>
    <definedName name="DALI_INFRARED_SENSOR" localSheetId="13">#REF!</definedName>
    <definedName name="DALI_INFRARED_SENSOR" localSheetId="12">#REF!</definedName>
    <definedName name="DALI_INFRARED_SENSOR" localSheetId="41">#REF!</definedName>
    <definedName name="DALI_INFRARED_SENSOR" localSheetId="42">#REF!</definedName>
    <definedName name="DALI_INFRARED_SENSOR" localSheetId="65">#REF!</definedName>
    <definedName name="DALI_INFRARED_SENSOR" localSheetId="25">#REF!</definedName>
    <definedName name="DALI_INFRARED_SENSOR" localSheetId="23">#REF!</definedName>
    <definedName name="DALI_INFRARED_SENSOR">#REF!</definedName>
    <definedName name="dali_infraredsensor" localSheetId="30">#REF!</definedName>
    <definedName name="dali_infraredsensor" localSheetId="29">#REF!</definedName>
    <definedName name="dali_infraredsensor" localSheetId="35">#REF!</definedName>
    <definedName name="dali_infraredsensor" localSheetId="34">#REF!</definedName>
    <definedName name="dali_infraredsensor" localSheetId="66">#REF!</definedName>
    <definedName name="dali_infraredsensor" localSheetId="22">#REF!</definedName>
    <definedName name="dali_infraredsensor" localSheetId="24">#REF!</definedName>
    <definedName name="dali_infraredsensor" localSheetId="39">#REF!</definedName>
    <definedName name="dali_infraredsensor" localSheetId="40">#REF!</definedName>
    <definedName name="dali_infraredsensor" localSheetId="53">#REF!</definedName>
    <definedName name="dali_infraredsensor" localSheetId="54">#REF!</definedName>
    <definedName name="dali_infraredsensor" localSheetId="5">#REF!</definedName>
    <definedName name="dali_infraredsensor" localSheetId="3">#REF!</definedName>
    <definedName name="dali_infraredsensor" localSheetId="48">#REF!</definedName>
    <definedName name="dali_infraredsensor" localSheetId="47">#REF!</definedName>
    <definedName name="dali_infraredsensor" localSheetId="52">#REF!</definedName>
    <definedName name="dali_infraredsensor" localSheetId="58">#REF!</definedName>
    <definedName name="dali_infraredsensor" localSheetId="59">#REF!</definedName>
    <definedName name="dali_infraredsensor" localSheetId="8">#REF!</definedName>
    <definedName name="dali_infraredsensor" localSheetId="17">#REF!</definedName>
    <definedName name="dali_infraredsensor" localSheetId="18">#REF!</definedName>
    <definedName name="dali_infraredsensor" localSheetId="63">#REF!</definedName>
    <definedName name="dali_infraredsensor" localSheetId="13">#REF!</definedName>
    <definedName name="dali_infraredsensor" localSheetId="12">#REF!</definedName>
    <definedName name="dali_infraredsensor" localSheetId="41">#REF!</definedName>
    <definedName name="dali_infraredsensor" localSheetId="42">#REF!</definedName>
    <definedName name="dali_infraredsensor" localSheetId="65">#REF!</definedName>
    <definedName name="dali_infraredsensor" localSheetId="25">#REF!</definedName>
    <definedName name="dali_infraredsensor" localSheetId="23">#REF!</definedName>
    <definedName name="dali_infraredsensor">#REF!</definedName>
    <definedName name="DALI_MULTISENSOR" localSheetId="30">#REF!</definedName>
    <definedName name="DALI_MULTISENSOR" localSheetId="29">#REF!</definedName>
    <definedName name="DALI_MULTISENSOR" localSheetId="35">#REF!</definedName>
    <definedName name="DALI_MULTISENSOR" localSheetId="34">#REF!</definedName>
    <definedName name="DALI_MULTISENSOR" localSheetId="66">#REF!</definedName>
    <definedName name="DALI_MULTISENSOR" localSheetId="22">#REF!</definedName>
    <definedName name="DALI_MULTISENSOR" localSheetId="24">#REF!</definedName>
    <definedName name="DALI_MULTISENSOR" localSheetId="39">#REF!</definedName>
    <definedName name="DALI_MULTISENSOR" localSheetId="40">#REF!</definedName>
    <definedName name="DALI_MULTISENSOR" localSheetId="53">#REF!</definedName>
    <definedName name="DALI_MULTISENSOR" localSheetId="54">#REF!</definedName>
    <definedName name="DALI_MULTISENSOR" localSheetId="5">#REF!</definedName>
    <definedName name="DALI_MULTISENSOR" localSheetId="3">#REF!</definedName>
    <definedName name="DALI_MULTISENSOR" localSheetId="48">#REF!</definedName>
    <definedName name="DALI_MULTISENSOR" localSheetId="47">#REF!</definedName>
    <definedName name="DALI_MULTISENSOR" localSheetId="52">#REF!</definedName>
    <definedName name="DALI_MULTISENSOR" localSheetId="58">#REF!</definedName>
    <definedName name="DALI_MULTISENSOR" localSheetId="59">#REF!</definedName>
    <definedName name="DALI_MULTISENSOR" localSheetId="8">#REF!</definedName>
    <definedName name="DALI_MULTISENSOR" localSheetId="17">#REF!</definedName>
    <definedName name="DALI_MULTISENSOR" localSheetId="18">#REF!</definedName>
    <definedName name="DALI_MULTISENSOR" localSheetId="63">#REF!</definedName>
    <definedName name="DALI_MULTISENSOR" localSheetId="13">#REF!</definedName>
    <definedName name="DALI_MULTISENSOR" localSheetId="12">#REF!</definedName>
    <definedName name="DALI_MULTISENSOR" localSheetId="41">#REF!</definedName>
    <definedName name="DALI_MULTISENSOR" localSheetId="42">#REF!</definedName>
    <definedName name="DALI_MULTISENSOR" localSheetId="65">#REF!</definedName>
    <definedName name="DALI_MULTISENSOR" localSheetId="25">#REF!</definedName>
    <definedName name="DALI_MULTISENSOR" localSheetId="23">#REF!</definedName>
    <definedName name="DALI_MULTISENSOR">#REF!</definedName>
    <definedName name="DALI_POWERSUPPLY" localSheetId="30">#REF!</definedName>
    <definedName name="DALI_POWERSUPPLY" localSheetId="29">#REF!</definedName>
    <definedName name="DALI_POWERSUPPLY" localSheetId="35">#REF!</definedName>
    <definedName name="DALI_POWERSUPPLY" localSheetId="34">#REF!</definedName>
    <definedName name="DALI_POWERSUPPLY" localSheetId="66">#REF!</definedName>
    <definedName name="DALI_POWERSUPPLY" localSheetId="22">#REF!</definedName>
    <definedName name="DALI_POWERSUPPLY" localSheetId="24">#REF!</definedName>
    <definedName name="DALI_POWERSUPPLY" localSheetId="39">#REF!</definedName>
    <definedName name="DALI_POWERSUPPLY" localSheetId="40">#REF!</definedName>
    <definedName name="DALI_POWERSUPPLY" localSheetId="53">#REF!</definedName>
    <definedName name="DALI_POWERSUPPLY" localSheetId="54">#REF!</definedName>
    <definedName name="DALI_POWERSUPPLY" localSheetId="5">#REF!</definedName>
    <definedName name="DALI_POWERSUPPLY" localSheetId="3">#REF!</definedName>
    <definedName name="DALI_POWERSUPPLY" localSheetId="48">#REF!</definedName>
    <definedName name="DALI_POWERSUPPLY" localSheetId="47">#REF!</definedName>
    <definedName name="DALI_POWERSUPPLY" localSheetId="52">#REF!</definedName>
    <definedName name="DALI_POWERSUPPLY" localSheetId="58">#REF!</definedName>
    <definedName name="DALI_POWERSUPPLY" localSheetId="59">#REF!</definedName>
    <definedName name="DALI_POWERSUPPLY" localSheetId="8">#REF!</definedName>
    <definedName name="DALI_POWERSUPPLY" localSheetId="17">#REF!</definedName>
    <definedName name="DALI_POWERSUPPLY" localSheetId="18">#REF!</definedName>
    <definedName name="DALI_POWERSUPPLY" localSheetId="63">#REF!</definedName>
    <definedName name="DALI_POWERSUPPLY" localSheetId="13">#REF!</definedName>
    <definedName name="DALI_POWERSUPPLY" localSheetId="12">#REF!</definedName>
    <definedName name="DALI_POWERSUPPLY" localSheetId="41">#REF!</definedName>
    <definedName name="DALI_POWERSUPPLY" localSheetId="42">#REF!</definedName>
    <definedName name="DALI_POWERSUPPLY" localSheetId="65">#REF!</definedName>
    <definedName name="DALI_POWERSUPPLY" localSheetId="25">#REF!</definedName>
    <definedName name="DALI_POWERSUPPLY" localSheetId="23">#REF!</definedName>
    <definedName name="DALI_POWERSUPPLY">#REF!</definedName>
    <definedName name="DALI_PROGRAM" localSheetId="30">#REF!</definedName>
    <definedName name="DALI_PROGRAM" localSheetId="29">#REF!</definedName>
    <definedName name="DALI_PROGRAM" localSheetId="35">#REF!</definedName>
    <definedName name="DALI_PROGRAM" localSheetId="34">#REF!</definedName>
    <definedName name="DALI_PROGRAM" localSheetId="66">#REF!</definedName>
    <definedName name="DALI_PROGRAM" localSheetId="22">#REF!</definedName>
    <definedName name="DALI_PROGRAM" localSheetId="24">#REF!</definedName>
    <definedName name="DALI_PROGRAM" localSheetId="39">#REF!</definedName>
    <definedName name="DALI_PROGRAM" localSheetId="40">#REF!</definedName>
    <definedName name="DALI_PROGRAM" localSheetId="53">#REF!</definedName>
    <definedName name="DALI_PROGRAM" localSheetId="54">#REF!</definedName>
    <definedName name="DALI_PROGRAM" localSheetId="5">#REF!</definedName>
    <definedName name="DALI_PROGRAM" localSheetId="3">#REF!</definedName>
    <definedName name="DALI_PROGRAM" localSheetId="48">#REF!</definedName>
    <definedName name="DALI_PROGRAM" localSheetId="47">#REF!</definedName>
    <definedName name="DALI_PROGRAM" localSheetId="52">#REF!</definedName>
    <definedName name="DALI_PROGRAM" localSheetId="58">#REF!</definedName>
    <definedName name="DALI_PROGRAM" localSheetId="59">#REF!</definedName>
    <definedName name="DALI_PROGRAM" localSheetId="8">#REF!</definedName>
    <definedName name="DALI_PROGRAM" localSheetId="17">#REF!</definedName>
    <definedName name="DALI_PROGRAM" localSheetId="18">#REF!</definedName>
    <definedName name="DALI_PROGRAM" localSheetId="63">#REF!</definedName>
    <definedName name="DALI_PROGRAM" localSheetId="13">#REF!</definedName>
    <definedName name="DALI_PROGRAM" localSheetId="12">#REF!</definedName>
    <definedName name="DALI_PROGRAM" localSheetId="41">#REF!</definedName>
    <definedName name="DALI_PROGRAM" localSheetId="42">#REF!</definedName>
    <definedName name="DALI_PROGRAM" localSheetId="65">#REF!</definedName>
    <definedName name="DALI_PROGRAM" localSheetId="25">#REF!</definedName>
    <definedName name="DALI_PROGRAM" localSheetId="23">#REF!</definedName>
    <definedName name="DALI_PROGRAM">#REF!</definedName>
    <definedName name="DALI_RELAY" localSheetId="30">#REF!</definedName>
    <definedName name="DALI_RELAY" localSheetId="29">#REF!</definedName>
    <definedName name="DALI_RELAY" localSheetId="35">#REF!</definedName>
    <definedName name="DALI_RELAY" localSheetId="34">#REF!</definedName>
    <definedName name="DALI_RELAY" localSheetId="66">#REF!</definedName>
    <definedName name="DALI_RELAY" localSheetId="22">#REF!</definedName>
    <definedName name="DALI_RELAY" localSheetId="24">#REF!</definedName>
    <definedName name="DALI_RELAY" localSheetId="39">#REF!</definedName>
    <definedName name="DALI_RELAY" localSheetId="40">#REF!</definedName>
    <definedName name="DALI_RELAY" localSheetId="53">#REF!</definedName>
    <definedName name="DALI_RELAY" localSheetId="54">#REF!</definedName>
    <definedName name="DALI_RELAY" localSheetId="5">#REF!</definedName>
    <definedName name="DALI_RELAY" localSheetId="3">#REF!</definedName>
    <definedName name="DALI_RELAY" localSheetId="48">#REF!</definedName>
    <definedName name="DALI_RELAY" localSheetId="47">#REF!</definedName>
    <definedName name="DALI_RELAY" localSheetId="52">#REF!</definedName>
    <definedName name="DALI_RELAY" localSheetId="58">#REF!</definedName>
    <definedName name="DALI_RELAY" localSheetId="59">#REF!</definedName>
    <definedName name="DALI_RELAY" localSheetId="8">#REF!</definedName>
    <definedName name="DALI_RELAY" localSheetId="17">#REF!</definedName>
    <definedName name="DALI_RELAY" localSheetId="18">#REF!</definedName>
    <definedName name="DALI_RELAY" localSheetId="63">#REF!</definedName>
    <definedName name="DALI_RELAY" localSheetId="13">#REF!</definedName>
    <definedName name="DALI_RELAY" localSheetId="12">#REF!</definedName>
    <definedName name="DALI_RELAY" localSheetId="41">#REF!</definedName>
    <definedName name="DALI_RELAY" localSheetId="42">#REF!</definedName>
    <definedName name="DALI_RELAY" localSheetId="65">#REF!</definedName>
    <definedName name="DALI_RELAY" localSheetId="25">#REF!</definedName>
    <definedName name="DALI_RELAY" localSheetId="23">#REF!</definedName>
    <definedName name="DALI_RELAY">#REF!</definedName>
    <definedName name="dali_remote" localSheetId="30">#REF!</definedName>
    <definedName name="dali_remote" localSheetId="29">#REF!</definedName>
    <definedName name="dali_remote" localSheetId="35">#REF!</definedName>
    <definedName name="dali_remote" localSheetId="34">#REF!</definedName>
    <definedName name="dali_remote" localSheetId="66">#REF!</definedName>
    <definedName name="dali_remote" localSheetId="22">#REF!</definedName>
    <definedName name="dali_remote" localSheetId="24">#REF!</definedName>
    <definedName name="dali_remote" localSheetId="39">#REF!</definedName>
    <definedName name="dali_remote" localSheetId="40">#REF!</definedName>
    <definedName name="dali_remote" localSheetId="53">#REF!</definedName>
    <definedName name="dali_remote" localSheetId="54">#REF!</definedName>
    <definedName name="dali_remote" localSheetId="5">#REF!</definedName>
    <definedName name="dali_remote" localSheetId="3">#REF!</definedName>
    <definedName name="dali_remote" localSheetId="48">#REF!</definedName>
    <definedName name="dali_remote" localSheetId="47">#REF!</definedName>
    <definedName name="dali_remote" localSheetId="52">#REF!</definedName>
    <definedName name="dali_remote" localSheetId="58">#REF!</definedName>
    <definedName name="dali_remote" localSheetId="59">#REF!</definedName>
    <definedName name="dali_remote" localSheetId="8">#REF!</definedName>
    <definedName name="dali_remote" localSheetId="17">#REF!</definedName>
    <definedName name="dali_remote" localSheetId="18">#REF!</definedName>
    <definedName name="dali_remote" localSheetId="63">#REF!</definedName>
    <definedName name="dali_remote" localSheetId="13">#REF!</definedName>
    <definedName name="dali_remote" localSheetId="12">#REF!</definedName>
    <definedName name="dali_remote" localSheetId="41">#REF!</definedName>
    <definedName name="dali_remote" localSheetId="42">#REF!</definedName>
    <definedName name="dali_remote" localSheetId="65">#REF!</definedName>
    <definedName name="dali_remote" localSheetId="25">#REF!</definedName>
    <definedName name="dali_remote" localSheetId="23">#REF!</definedName>
    <definedName name="dali_remote">#REF!</definedName>
    <definedName name="DALI_SOFTWARE" localSheetId="30">#REF!</definedName>
    <definedName name="DALI_SOFTWARE" localSheetId="29">#REF!</definedName>
    <definedName name="DALI_SOFTWARE" localSheetId="35">#REF!</definedName>
    <definedName name="DALI_SOFTWARE" localSheetId="34">#REF!</definedName>
    <definedName name="DALI_SOFTWARE" localSheetId="66">#REF!</definedName>
    <definedName name="DALI_SOFTWARE" localSheetId="22">#REF!</definedName>
    <definedName name="DALI_SOFTWARE" localSheetId="24">#REF!</definedName>
    <definedName name="DALI_SOFTWARE" localSheetId="39">#REF!</definedName>
    <definedName name="DALI_SOFTWARE" localSheetId="40">#REF!</definedName>
    <definedName name="DALI_SOFTWARE" localSheetId="53">#REF!</definedName>
    <definedName name="DALI_SOFTWARE" localSheetId="54">#REF!</definedName>
    <definedName name="DALI_SOFTWARE" localSheetId="5">#REF!</definedName>
    <definedName name="DALI_SOFTWARE" localSheetId="3">#REF!</definedName>
    <definedName name="DALI_SOFTWARE" localSheetId="48">#REF!</definedName>
    <definedName name="DALI_SOFTWARE" localSheetId="47">#REF!</definedName>
    <definedName name="DALI_SOFTWARE" localSheetId="52">#REF!</definedName>
    <definedName name="DALI_SOFTWARE" localSheetId="58">#REF!</definedName>
    <definedName name="DALI_SOFTWARE" localSheetId="59">#REF!</definedName>
    <definedName name="DALI_SOFTWARE" localSheetId="8">#REF!</definedName>
    <definedName name="DALI_SOFTWARE" localSheetId="17">#REF!</definedName>
    <definedName name="DALI_SOFTWARE" localSheetId="18">#REF!</definedName>
    <definedName name="DALI_SOFTWARE" localSheetId="63">#REF!</definedName>
    <definedName name="DALI_SOFTWARE" localSheetId="13">#REF!</definedName>
    <definedName name="DALI_SOFTWARE" localSheetId="12">#REF!</definedName>
    <definedName name="DALI_SOFTWARE" localSheetId="41">#REF!</definedName>
    <definedName name="DALI_SOFTWARE" localSheetId="42">#REF!</definedName>
    <definedName name="DALI_SOFTWARE" localSheetId="65">#REF!</definedName>
    <definedName name="DALI_SOFTWARE" localSheetId="25">#REF!</definedName>
    <definedName name="DALI_SOFTWARE" localSheetId="23">#REF!</definedName>
    <definedName name="DALI_SOFTWARE">#REF!</definedName>
    <definedName name="dat" localSheetId="30">[4]Sheet4!$B$2</definedName>
    <definedName name="dat" localSheetId="29">[4]Sheet4!$B$2</definedName>
    <definedName name="dat" localSheetId="35">[4]Sheet4!$B$2</definedName>
    <definedName name="dat" localSheetId="34">[4]Sheet4!$B$2</definedName>
    <definedName name="dat" localSheetId="22">[4]Sheet4!$B$2</definedName>
    <definedName name="dat" localSheetId="24">[4]Sheet4!$B$2</definedName>
    <definedName name="dat" localSheetId="39">[4]Sheet4!$B$2</definedName>
    <definedName name="dat" localSheetId="40">[4]Sheet4!$B$2</definedName>
    <definedName name="dat" localSheetId="53">[4]Sheet4!$B$2</definedName>
    <definedName name="dat" localSheetId="54">[4]Sheet4!$B$2</definedName>
    <definedName name="dat" localSheetId="3">[4]Sheet4!$B$2</definedName>
    <definedName name="dat" localSheetId="4">[4]Sheet4!$B$2</definedName>
    <definedName name="dat" localSheetId="48">[4]Sheet4!$B$2</definedName>
    <definedName name="dat" localSheetId="47">[4]Sheet4!$B$2</definedName>
    <definedName name="dat" localSheetId="58">[4]Sheet4!$B$2</definedName>
    <definedName name="dat" localSheetId="59">[4]Sheet4!$B$2</definedName>
    <definedName name="dat" localSheetId="8">[4]Sheet4!$B$2</definedName>
    <definedName name="dat" localSheetId="17">[4]Sheet4!$B$2</definedName>
    <definedName name="dat" localSheetId="18">[4]Sheet4!$B$2</definedName>
    <definedName name="dat" localSheetId="63">[4]Sheet4!$B$2</definedName>
    <definedName name="dat" localSheetId="13">[4]Sheet4!$B$2</definedName>
    <definedName name="dat" localSheetId="12">[4]Sheet4!$B$2</definedName>
    <definedName name="dat" localSheetId="41">[4]Sheet4!$B$2</definedName>
    <definedName name="dat" localSheetId="42">[4]Sheet4!$B$2</definedName>
    <definedName name="dat" localSheetId="65">[4]Sheet4!$B$2</definedName>
    <definedName name="dat" localSheetId="25">[4]Sheet4!$B$2</definedName>
    <definedName name="dat" localSheetId="23">[4]Sheet4!$B$2</definedName>
    <definedName name="dat">[5]Sheet4!$B$2</definedName>
    <definedName name="data" localSheetId="30">#REF!</definedName>
    <definedName name="data" localSheetId="29">#REF!</definedName>
    <definedName name="data" localSheetId="35">#REF!</definedName>
    <definedName name="data" localSheetId="34">#REF!</definedName>
    <definedName name="data" localSheetId="66">#REF!</definedName>
    <definedName name="data" localSheetId="22">#REF!</definedName>
    <definedName name="data" localSheetId="24">#REF!</definedName>
    <definedName name="data" localSheetId="39">#REF!</definedName>
    <definedName name="data" localSheetId="40">#REF!</definedName>
    <definedName name="data" localSheetId="53">#REF!</definedName>
    <definedName name="data" localSheetId="54">#REF!</definedName>
    <definedName name="data" localSheetId="5">#REF!</definedName>
    <definedName name="data" localSheetId="3">#REF!</definedName>
    <definedName name="data" localSheetId="48">#REF!</definedName>
    <definedName name="data" localSheetId="47">#REF!</definedName>
    <definedName name="data" localSheetId="52">#REF!</definedName>
    <definedName name="data" localSheetId="58">#REF!</definedName>
    <definedName name="data" localSheetId="59">#REF!</definedName>
    <definedName name="data" localSheetId="8">#REF!</definedName>
    <definedName name="data" localSheetId="17">#REF!</definedName>
    <definedName name="data" localSheetId="18">#REF!</definedName>
    <definedName name="data" localSheetId="63">#REF!</definedName>
    <definedName name="data" localSheetId="13">#REF!</definedName>
    <definedName name="data" localSheetId="12">#REF!</definedName>
    <definedName name="data" localSheetId="41">#REF!</definedName>
    <definedName name="data" localSheetId="42">#REF!</definedName>
    <definedName name="data" localSheetId="65">#REF!</definedName>
    <definedName name="data" localSheetId="25">#REF!</definedName>
    <definedName name="data" localSheetId="23">#REF!</definedName>
    <definedName name="data">#REF!</definedName>
    <definedName name="data_telecom" localSheetId="30">#REF!</definedName>
    <definedName name="data_telecom" localSheetId="29">#REF!</definedName>
    <definedName name="data_telecom" localSheetId="35">#REF!</definedName>
    <definedName name="data_telecom" localSheetId="34">#REF!</definedName>
    <definedName name="data_telecom" localSheetId="66">#REF!</definedName>
    <definedName name="data_telecom" localSheetId="22">#REF!</definedName>
    <definedName name="data_telecom" localSheetId="24">#REF!</definedName>
    <definedName name="data_telecom" localSheetId="39">#REF!</definedName>
    <definedName name="data_telecom" localSheetId="40">#REF!</definedName>
    <definedName name="data_telecom" localSheetId="53">#REF!</definedName>
    <definedName name="data_telecom" localSheetId="54">#REF!</definedName>
    <definedName name="data_telecom" localSheetId="5">#REF!</definedName>
    <definedName name="data_telecom" localSheetId="3">#REF!</definedName>
    <definedName name="data_telecom" localSheetId="48">#REF!</definedName>
    <definedName name="data_telecom" localSheetId="47">#REF!</definedName>
    <definedName name="data_telecom" localSheetId="52">#REF!</definedName>
    <definedName name="data_telecom" localSheetId="58">#REF!</definedName>
    <definedName name="data_telecom" localSheetId="59">#REF!</definedName>
    <definedName name="data_telecom" localSheetId="8">#REF!</definedName>
    <definedName name="data_telecom" localSheetId="17">#REF!</definedName>
    <definedName name="data_telecom" localSheetId="18">#REF!</definedName>
    <definedName name="data_telecom" localSheetId="63">#REF!</definedName>
    <definedName name="data_telecom" localSheetId="13">#REF!</definedName>
    <definedName name="data_telecom" localSheetId="12">#REF!</definedName>
    <definedName name="data_telecom" localSheetId="41">#REF!</definedName>
    <definedName name="data_telecom" localSheetId="42">#REF!</definedName>
    <definedName name="data_telecom" localSheetId="65">#REF!</definedName>
    <definedName name="data_telecom" localSheetId="25">#REF!</definedName>
    <definedName name="data_telecom" localSheetId="23">#REF!</definedName>
    <definedName name="data_telecom">#REF!</definedName>
    <definedName name="DATE" localSheetId="30">[8]Sheet2!$B$2</definedName>
    <definedName name="DATE" localSheetId="29">[8]Sheet2!$B$2</definedName>
    <definedName name="DATE" localSheetId="35">[8]Sheet2!$B$2</definedName>
    <definedName name="DATE" localSheetId="34">[8]Sheet2!$B$2</definedName>
    <definedName name="DATE" localSheetId="22">[8]Sheet2!$B$2</definedName>
    <definedName name="DATE" localSheetId="24">[8]Sheet2!$B$2</definedName>
    <definedName name="DATE" localSheetId="39">[8]Sheet2!$B$2</definedName>
    <definedName name="DATE" localSheetId="40">[8]Sheet2!$B$2</definedName>
    <definedName name="DATE" localSheetId="53">[8]Sheet2!$B$2</definedName>
    <definedName name="DATE" localSheetId="54">[8]Sheet2!$B$2</definedName>
    <definedName name="DATE" localSheetId="3">[8]Sheet2!$B$2</definedName>
    <definedName name="DATE" localSheetId="4">[8]Sheet2!$B$2</definedName>
    <definedName name="DATE" localSheetId="48">[8]Sheet2!$B$2</definedName>
    <definedName name="DATE" localSheetId="47">[8]Sheet2!$B$2</definedName>
    <definedName name="DATE" localSheetId="58">[8]Sheet2!$B$2</definedName>
    <definedName name="DATE" localSheetId="59">[8]Sheet2!$B$2</definedName>
    <definedName name="DATE" localSheetId="8">[8]Sheet2!$B$2</definedName>
    <definedName name="DATE" localSheetId="17">[8]Sheet2!$B$2</definedName>
    <definedName name="DATE" localSheetId="18">[8]Sheet2!$B$2</definedName>
    <definedName name="DATE" localSheetId="63">[8]Sheet2!$B$2</definedName>
    <definedName name="DATE" localSheetId="13">[8]Sheet2!$B$2</definedName>
    <definedName name="DATE" localSheetId="12">[8]Sheet2!$B$2</definedName>
    <definedName name="DATE" localSheetId="41">[8]Sheet2!$B$2</definedName>
    <definedName name="DATE" localSheetId="42">[8]Sheet2!$B$2</definedName>
    <definedName name="DATE" localSheetId="65">[8]Sheet2!$B$2</definedName>
    <definedName name="DATE" localSheetId="25">[8]Sheet2!$B$2</definedName>
    <definedName name="DATE" localSheetId="23">[8]Sheet2!$B$2</definedName>
    <definedName name="DATE">[9]Sheet2!$B$2</definedName>
    <definedName name="date9" localSheetId="30">[6]Sheet4!$B$4</definedName>
    <definedName name="date9" localSheetId="29">[6]Sheet4!$B$4</definedName>
    <definedName name="date9" localSheetId="35">[6]Sheet4!$B$4</definedName>
    <definedName name="date9" localSheetId="34">[6]Sheet4!$B$4</definedName>
    <definedName name="date9" localSheetId="22">[6]Sheet4!$B$4</definedName>
    <definedName name="date9" localSheetId="24">[6]Sheet4!$B$4</definedName>
    <definedName name="date9" localSheetId="39">[6]Sheet4!$B$4</definedName>
    <definedName name="date9" localSheetId="40">[6]Sheet4!$B$4</definedName>
    <definedName name="date9" localSheetId="53">[6]Sheet4!$B$4</definedName>
    <definedName name="date9" localSheetId="54">[6]Sheet4!$B$4</definedName>
    <definedName name="date9" localSheetId="3">[6]Sheet4!$B$4</definedName>
    <definedName name="date9" localSheetId="4">[6]Sheet4!$B$4</definedName>
    <definedName name="date9" localSheetId="48">[6]Sheet4!$B$4</definedName>
    <definedName name="date9" localSheetId="47">[6]Sheet4!$B$4</definedName>
    <definedName name="date9" localSheetId="58">[6]Sheet4!$B$4</definedName>
    <definedName name="date9" localSheetId="59">[6]Sheet4!$B$4</definedName>
    <definedName name="date9" localSheetId="8">[6]Sheet4!$B$4</definedName>
    <definedName name="date9" localSheetId="17">[6]Sheet4!$B$4</definedName>
    <definedName name="date9" localSheetId="18">[6]Sheet4!$B$4</definedName>
    <definedName name="date9" localSheetId="63">[6]Sheet4!$B$4</definedName>
    <definedName name="date9" localSheetId="13">[6]Sheet4!$B$4</definedName>
    <definedName name="date9" localSheetId="12">[6]Sheet4!$B$4</definedName>
    <definedName name="date9" localSheetId="41">[6]Sheet4!$B$4</definedName>
    <definedName name="date9" localSheetId="42">[6]Sheet4!$B$4</definedName>
    <definedName name="date9" localSheetId="65">[6]Sheet4!$B$4</definedName>
    <definedName name="date9" localSheetId="25">[6]Sheet4!$B$4</definedName>
    <definedName name="date9" localSheetId="23">[6]Sheet4!$B$4</definedName>
    <definedName name="date9">[7]Sheet4!$B$4</definedName>
    <definedName name="datk" localSheetId="30">[6]Sheet4!$B$4</definedName>
    <definedName name="datk" localSheetId="29">[6]Sheet4!$B$4</definedName>
    <definedName name="datk" localSheetId="35">[6]Sheet4!$B$4</definedName>
    <definedName name="datk" localSheetId="34">[6]Sheet4!$B$4</definedName>
    <definedName name="datk" localSheetId="22">[6]Sheet4!$B$4</definedName>
    <definedName name="datk" localSheetId="24">[6]Sheet4!$B$4</definedName>
    <definedName name="datk" localSheetId="39">[6]Sheet4!$B$4</definedName>
    <definedName name="datk" localSheetId="40">[6]Sheet4!$B$4</definedName>
    <definedName name="datk" localSheetId="53">[6]Sheet4!$B$4</definedName>
    <definedName name="datk" localSheetId="54">[6]Sheet4!$B$4</definedName>
    <definedName name="datk" localSheetId="3">[6]Sheet4!$B$4</definedName>
    <definedName name="datk" localSheetId="4">[6]Sheet4!$B$4</definedName>
    <definedName name="datk" localSheetId="48">[6]Sheet4!$B$4</definedName>
    <definedName name="datk" localSheetId="47">[6]Sheet4!$B$4</definedName>
    <definedName name="datk" localSheetId="58">[6]Sheet4!$B$4</definedName>
    <definedName name="datk" localSheetId="59">[6]Sheet4!$B$4</definedName>
    <definedName name="datk" localSheetId="8">[6]Sheet4!$B$4</definedName>
    <definedName name="datk" localSheetId="17">[6]Sheet4!$B$4</definedName>
    <definedName name="datk" localSheetId="18">[6]Sheet4!$B$4</definedName>
    <definedName name="datk" localSheetId="63">[6]Sheet4!$B$4</definedName>
    <definedName name="datk" localSheetId="13">[6]Sheet4!$B$4</definedName>
    <definedName name="datk" localSheetId="12">[6]Sheet4!$B$4</definedName>
    <definedName name="datk" localSheetId="41">[6]Sheet4!$B$4</definedName>
    <definedName name="datk" localSheetId="42">[6]Sheet4!$B$4</definedName>
    <definedName name="datk" localSheetId="65">[6]Sheet4!$B$4</definedName>
    <definedName name="datk" localSheetId="25">[6]Sheet4!$B$4</definedName>
    <definedName name="datk" localSheetId="23">[6]Sheet4!$B$4</definedName>
    <definedName name="datk">[7]Sheet4!$B$4</definedName>
    <definedName name="dau" localSheetId="30">[10]Sheet1!$B$2</definedName>
    <definedName name="dau" localSheetId="29">[10]Sheet1!$B$2</definedName>
    <definedName name="dau" localSheetId="35">[10]Sheet1!$B$2</definedName>
    <definedName name="dau" localSheetId="34">[10]Sheet1!$B$2</definedName>
    <definedName name="dau" localSheetId="22">[10]Sheet1!$B$2</definedName>
    <definedName name="dau" localSheetId="24">[10]Sheet1!$B$2</definedName>
    <definedName name="dau" localSheetId="39">[10]Sheet1!$B$2</definedName>
    <definedName name="dau" localSheetId="40">[10]Sheet1!$B$2</definedName>
    <definedName name="dau" localSheetId="53">[10]Sheet1!$B$2</definedName>
    <definedName name="dau" localSheetId="54">[10]Sheet1!$B$2</definedName>
    <definedName name="dau" localSheetId="3">[10]Sheet1!$B$2</definedName>
    <definedName name="dau" localSheetId="4">[10]Sheet1!$B$2</definedName>
    <definedName name="dau" localSheetId="48">[10]Sheet1!$B$2</definedName>
    <definedName name="dau" localSheetId="47">[10]Sheet1!$B$2</definedName>
    <definedName name="dau" localSheetId="58">[10]Sheet1!$B$2</definedName>
    <definedName name="dau" localSheetId="59">[10]Sheet1!$B$2</definedName>
    <definedName name="dau" localSheetId="8">[10]Sheet1!$B$2</definedName>
    <definedName name="dau" localSheetId="17">[10]Sheet1!$B$2</definedName>
    <definedName name="dau" localSheetId="18">[10]Sheet1!$B$2</definedName>
    <definedName name="dau" localSheetId="63">[10]Sheet1!$B$2</definedName>
    <definedName name="dau" localSheetId="13">[10]Sheet1!$B$2</definedName>
    <definedName name="dau" localSheetId="12">[10]Sheet1!$B$2</definedName>
    <definedName name="dau" localSheetId="41">[10]Sheet1!$B$2</definedName>
    <definedName name="dau" localSheetId="42">[10]Sheet1!$B$2</definedName>
    <definedName name="dau" localSheetId="65">[10]Sheet1!$B$2</definedName>
    <definedName name="dau" localSheetId="25">[10]Sheet1!$B$2</definedName>
    <definedName name="dau" localSheetId="23">[10]Sheet1!$B$2</definedName>
    <definedName name="dau">[11]Sheet1!$B$2</definedName>
    <definedName name="dfg" localSheetId="30">#REF!</definedName>
    <definedName name="dfg" localSheetId="29">#REF!</definedName>
    <definedName name="dfg" localSheetId="35">#REF!</definedName>
    <definedName name="dfg" localSheetId="34">#REF!</definedName>
    <definedName name="dfg" localSheetId="66">#REF!</definedName>
    <definedName name="dfg" localSheetId="22">#REF!</definedName>
    <definedName name="dfg" localSheetId="24">#REF!</definedName>
    <definedName name="dfg" localSheetId="39">#REF!</definedName>
    <definedName name="dfg" localSheetId="40">#REF!</definedName>
    <definedName name="dfg" localSheetId="53">#REF!</definedName>
    <definedName name="dfg" localSheetId="54">#REF!</definedName>
    <definedName name="dfg" localSheetId="5">#REF!</definedName>
    <definedName name="dfg" localSheetId="3">#REF!</definedName>
    <definedName name="dfg" localSheetId="48">#REF!</definedName>
    <definedName name="dfg" localSheetId="47">#REF!</definedName>
    <definedName name="dfg" localSheetId="52">#REF!</definedName>
    <definedName name="dfg" localSheetId="58">#REF!</definedName>
    <definedName name="dfg" localSheetId="59">#REF!</definedName>
    <definedName name="dfg" localSheetId="8">#REF!</definedName>
    <definedName name="dfg" localSheetId="17">#REF!</definedName>
    <definedName name="dfg" localSheetId="18">#REF!</definedName>
    <definedName name="dfg" localSheetId="63">#REF!</definedName>
    <definedName name="dfg" localSheetId="13">#REF!</definedName>
    <definedName name="dfg" localSheetId="12">#REF!</definedName>
    <definedName name="dfg" localSheetId="41">#REF!</definedName>
    <definedName name="dfg" localSheetId="42">#REF!</definedName>
    <definedName name="dfg" localSheetId="65">#REF!</definedName>
    <definedName name="dfg" localSheetId="25">#REF!</definedName>
    <definedName name="dfg" localSheetId="23">#REF!</definedName>
    <definedName name="dfg">#REF!</definedName>
    <definedName name="Dia.15mm_G.I.pipe" localSheetId="30">'[2]Break Down  '!#REF!</definedName>
    <definedName name="Dia.15mm_G.I.pipe" localSheetId="29">'[2]Break Down  '!#REF!</definedName>
    <definedName name="Dia.15mm_G.I.pipe" localSheetId="35">'[2]Break Down  '!#REF!</definedName>
    <definedName name="Dia.15mm_G.I.pipe" localSheetId="34">'[2]Break Down  '!#REF!</definedName>
    <definedName name="Dia.15mm_G.I.pipe" localSheetId="66">'[1]Break Down  '!#REF!</definedName>
    <definedName name="Dia.15mm_G.I.pipe" localSheetId="22">'[2]Break Down  '!#REF!</definedName>
    <definedName name="Dia.15mm_G.I.pipe" localSheetId="24">'[2]Break Down  '!#REF!</definedName>
    <definedName name="Dia.15mm_G.I.pipe" localSheetId="39">'[2]Break Down  '!#REF!</definedName>
    <definedName name="Dia.15mm_G.I.pipe" localSheetId="40">'[2]Break Down  '!#REF!</definedName>
    <definedName name="Dia.15mm_G.I.pipe" localSheetId="53">'[2]Break Down  '!#REF!</definedName>
    <definedName name="Dia.15mm_G.I.pipe" localSheetId="54">'[2]Break Down  '!#REF!</definedName>
    <definedName name="Dia.15mm_G.I.pipe" localSheetId="5">'[1]Break Down  '!#REF!</definedName>
    <definedName name="Dia.15mm_G.I.pipe" localSheetId="3">'[2]Break Down  '!#REF!</definedName>
    <definedName name="Dia.15mm_G.I.pipe" localSheetId="4">'[2]Break Down  '!#REF!</definedName>
    <definedName name="Dia.15mm_G.I.pipe" localSheetId="48">'[2]Break Down  '!#REF!</definedName>
    <definedName name="Dia.15mm_G.I.pipe" localSheetId="47">'[2]Break Down  '!#REF!</definedName>
    <definedName name="Dia.15mm_G.I.pipe" localSheetId="52">'[1]Break Down  '!#REF!</definedName>
    <definedName name="Dia.15mm_G.I.pipe" localSheetId="58">'[2]Break Down  '!#REF!</definedName>
    <definedName name="Dia.15mm_G.I.pipe" localSheetId="59">'[2]Break Down  '!#REF!</definedName>
    <definedName name="Dia.15mm_G.I.pipe" localSheetId="8">'[2]Break Down  '!#REF!</definedName>
    <definedName name="Dia.15mm_G.I.pipe" localSheetId="17">'[2]Break Down  '!#REF!</definedName>
    <definedName name="Dia.15mm_G.I.pipe" localSheetId="18">'[2]Break Down  '!#REF!</definedName>
    <definedName name="Dia.15mm_G.I.pipe" localSheetId="63">'[2]Break Down  '!#REF!</definedName>
    <definedName name="Dia.15mm_G.I.pipe" localSheetId="13">'[2]Break Down  '!#REF!</definedName>
    <definedName name="Dia.15mm_G.I.pipe" localSheetId="12">'[2]Break Down  '!#REF!</definedName>
    <definedName name="Dia.15mm_G.I.pipe" localSheetId="41">'[2]Break Down  '!#REF!</definedName>
    <definedName name="Dia.15mm_G.I.pipe" localSheetId="42">'[2]Break Down  '!#REF!</definedName>
    <definedName name="Dia.15mm_G.I.pipe" localSheetId="65">'[2]Break Down  '!#REF!</definedName>
    <definedName name="Dia.15mm_G.I.pipe" localSheetId="25">'[2]Break Down  '!#REF!</definedName>
    <definedName name="Dia.15mm_G.I.pipe" localSheetId="23">'[2]Break Down  '!#REF!</definedName>
    <definedName name="Dia.15mm_G.I.pipe">'[1]Break Down  '!#REF!</definedName>
    <definedName name="Dia.15mm_G.S.pipe" localSheetId="30">'[2]Break Down  '!#REF!</definedName>
    <definedName name="Dia.15mm_G.S.pipe" localSheetId="29">'[2]Break Down  '!#REF!</definedName>
    <definedName name="Dia.15mm_G.S.pipe" localSheetId="35">'[2]Break Down  '!#REF!</definedName>
    <definedName name="Dia.15mm_G.S.pipe" localSheetId="34">'[2]Break Down  '!#REF!</definedName>
    <definedName name="Dia.15mm_G.S.pipe" localSheetId="66">'[1]Break Down  '!#REF!</definedName>
    <definedName name="Dia.15mm_G.S.pipe" localSheetId="22">'[2]Break Down  '!#REF!</definedName>
    <definedName name="Dia.15mm_G.S.pipe" localSheetId="24">'[2]Break Down  '!#REF!</definedName>
    <definedName name="Dia.15mm_G.S.pipe" localSheetId="39">'[2]Break Down  '!#REF!</definedName>
    <definedName name="Dia.15mm_G.S.pipe" localSheetId="40">'[2]Break Down  '!#REF!</definedName>
    <definedName name="Dia.15mm_G.S.pipe" localSheetId="53">'[2]Break Down  '!#REF!</definedName>
    <definedName name="Dia.15mm_G.S.pipe" localSheetId="54">'[2]Break Down  '!#REF!</definedName>
    <definedName name="Dia.15mm_G.S.pipe" localSheetId="5">'[1]Break Down  '!#REF!</definedName>
    <definedName name="Dia.15mm_G.S.pipe" localSheetId="3">'[2]Break Down  '!#REF!</definedName>
    <definedName name="Dia.15mm_G.S.pipe" localSheetId="4">'[2]Break Down  '!#REF!</definedName>
    <definedName name="Dia.15mm_G.S.pipe" localSheetId="48">'[2]Break Down  '!#REF!</definedName>
    <definedName name="Dia.15mm_G.S.pipe" localSheetId="47">'[2]Break Down  '!#REF!</definedName>
    <definedName name="Dia.15mm_G.S.pipe" localSheetId="52">'[1]Break Down  '!#REF!</definedName>
    <definedName name="Dia.15mm_G.S.pipe" localSheetId="58">'[2]Break Down  '!#REF!</definedName>
    <definedName name="Dia.15mm_G.S.pipe" localSheetId="59">'[2]Break Down  '!#REF!</definedName>
    <definedName name="Dia.15mm_G.S.pipe" localSheetId="8">'[2]Break Down  '!#REF!</definedName>
    <definedName name="Dia.15mm_G.S.pipe" localSheetId="17">'[2]Break Down  '!#REF!</definedName>
    <definedName name="Dia.15mm_G.S.pipe" localSheetId="18">'[2]Break Down  '!#REF!</definedName>
    <definedName name="Dia.15mm_G.S.pipe" localSheetId="63">'[2]Break Down  '!#REF!</definedName>
    <definedName name="Dia.15mm_G.S.pipe" localSheetId="13">'[2]Break Down  '!#REF!</definedName>
    <definedName name="Dia.15mm_G.S.pipe" localSheetId="12">'[2]Break Down  '!#REF!</definedName>
    <definedName name="Dia.15mm_G.S.pipe" localSheetId="41">'[2]Break Down  '!#REF!</definedName>
    <definedName name="Dia.15mm_G.S.pipe" localSheetId="42">'[2]Break Down  '!#REF!</definedName>
    <definedName name="Dia.15mm_G.S.pipe" localSheetId="65">'[2]Break Down  '!#REF!</definedName>
    <definedName name="Dia.15mm_G.S.pipe" localSheetId="25">'[2]Break Down  '!#REF!</definedName>
    <definedName name="Dia.15mm_G.S.pipe" localSheetId="23">'[2]Break Down  '!#REF!</definedName>
    <definedName name="Dia.15mm_G.S.pipe">'[1]Break Down  '!#REF!</definedName>
    <definedName name="Dia.20mm_G.I.P" localSheetId="30">'[2]Break Down  '!#REF!</definedName>
    <definedName name="Dia.20mm_G.I.P" localSheetId="29">'[2]Break Down  '!#REF!</definedName>
    <definedName name="Dia.20mm_G.I.P" localSheetId="35">'[2]Break Down  '!#REF!</definedName>
    <definedName name="Dia.20mm_G.I.P" localSheetId="34">'[2]Break Down  '!#REF!</definedName>
    <definedName name="Dia.20mm_G.I.P" localSheetId="66">'[1]Break Down  '!#REF!</definedName>
    <definedName name="Dia.20mm_G.I.P" localSheetId="22">'[2]Break Down  '!#REF!</definedName>
    <definedName name="Dia.20mm_G.I.P" localSheetId="24">'[2]Break Down  '!#REF!</definedName>
    <definedName name="Dia.20mm_G.I.P" localSheetId="39">'[2]Break Down  '!#REF!</definedName>
    <definedName name="Dia.20mm_G.I.P" localSheetId="40">'[2]Break Down  '!#REF!</definedName>
    <definedName name="Dia.20mm_G.I.P" localSheetId="53">'[2]Break Down  '!#REF!</definedName>
    <definedName name="Dia.20mm_G.I.P" localSheetId="54">'[2]Break Down  '!#REF!</definedName>
    <definedName name="Dia.20mm_G.I.P" localSheetId="5">'[1]Break Down  '!#REF!</definedName>
    <definedName name="Dia.20mm_G.I.P" localSheetId="3">'[2]Break Down  '!#REF!</definedName>
    <definedName name="Dia.20mm_G.I.P" localSheetId="4">'[2]Break Down  '!#REF!</definedName>
    <definedName name="Dia.20mm_G.I.P" localSheetId="48">'[2]Break Down  '!#REF!</definedName>
    <definedName name="Dia.20mm_G.I.P" localSheetId="47">'[2]Break Down  '!#REF!</definedName>
    <definedName name="Dia.20mm_G.I.P" localSheetId="52">'[1]Break Down  '!#REF!</definedName>
    <definedName name="Dia.20mm_G.I.P" localSheetId="58">'[2]Break Down  '!#REF!</definedName>
    <definedName name="Dia.20mm_G.I.P" localSheetId="59">'[2]Break Down  '!#REF!</definedName>
    <definedName name="Dia.20mm_G.I.P" localSheetId="8">'[2]Break Down  '!#REF!</definedName>
    <definedName name="Dia.20mm_G.I.P" localSheetId="17">'[2]Break Down  '!#REF!</definedName>
    <definedName name="Dia.20mm_G.I.P" localSheetId="18">'[2]Break Down  '!#REF!</definedName>
    <definedName name="Dia.20mm_G.I.P" localSheetId="63">'[2]Break Down  '!#REF!</definedName>
    <definedName name="Dia.20mm_G.I.P" localSheetId="13">'[2]Break Down  '!#REF!</definedName>
    <definedName name="Dia.20mm_G.I.P" localSheetId="12">'[2]Break Down  '!#REF!</definedName>
    <definedName name="Dia.20mm_G.I.P" localSheetId="41">'[2]Break Down  '!#REF!</definedName>
    <definedName name="Dia.20mm_G.I.P" localSheetId="42">'[2]Break Down  '!#REF!</definedName>
    <definedName name="Dia.20mm_G.I.P" localSheetId="65">'[2]Break Down  '!#REF!</definedName>
    <definedName name="Dia.20mm_G.I.P" localSheetId="25">'[2]Break Down  '!#REF!</definedName>
    <definedName name="Dia.20mm_G.I.P" localSheetId="23">'[2]Break Down  '!#REF!</definedName>
    <definedName name="Dia.20mm_G.I.P">'[1]Break Down  '!#REF!</definedName>
    <definedName name="Dia.21mm_PVC_pipe" localSheetId="30">'[2]Break Down  '!#REF!</definedName>
    <definedName name="Dia.21mm_PVC_pipe" localSheetId="29">'[2]Break Down  '!#REF!</definedName>
    <definedName name="Dia.21mm_PVC_pipe" localSheetId="35">'[2]Break Down  '!#REF!</definedName>
    <definedName name="Dia.21mm_PVC_pipe" localSheetId="34">'[2]Break Down  '!#REF!</definedName>
    <definedName name="Dia.21mm_PVC_pipe" localSheetId="66">'[1]Break Down  '!#REF!</definedName>
    <definedName name="Dia.21mm_PVC_pipe" localSheetId="22">'[2]Break Down  '!#REF!</definedName>
    <definedName name="Dia.21mm_PVC_pipe" localSheetId="24">'[2]Break Down  '!#REF!</definedName>
    <definedName name="Dia.21mm_PVC_pipe" localSheetId="39">'[2]Break Down  '!#REF!</definedName>
    <definedName name="Dia.21mm_PVC_pipe" localSheetId="40">'[2]Break Down  '!#REF!</definedName>
    <definedName name="Dia.21mm_PVC_pipe" localSheetId="53">'[2]Break Down  '!#REF!</definedName>
    <definedName name="Dia.21mm_PVC_pipe" localSheetId="54">'[2]Break Down  '!#REF!</definedName>
    <definedName name="Dia.21mm_PVC_pipe" localSheetId="5">'[1]Break Down  '!#REF!</definedName>
    <definedName name="Dia.21mm_PVC_pipe" localSheetId="3">'[2]Break Down  '!#REF!</definedName>
    <definedName name="Dia.21mm_PVC_pipe" localSheetId="4">'[2]Break Down  '!#REF!</definedName>
    <definedName name="Dia.21mm_PVC_pipe" localSheetId="48">'[2]Break Down  '!#REF!</definedName>
    <definedName name="Dia.21mm_PVC_pipe" localSheetId="47">'[2]Break Down  '!#REF!</definedName>
    <definedName name="Dia.21mm_PVC_pipe" localSheetId="52">'[1]Break Down  '!#REF!</definedName>
    <definedName name="Dia.21mm_PVC_pipe" localSheetId="58">'[2]Break Down  '!#REF!</definedName>
    <definedName name="Dia.21mm_PVC_pipe" localSheetId="59">'[2]Break Down  '!#REF!</definedName>
    <definedName name="Dia.21mm_PVC_pipe" localSheetId="8">'[2]Break Down  '!#REF!</definedName>
    <definedName name="Dia.21mm_PVC_pipe" localSheetId="17">'[2]Break Down  '!#REF!</definedName>
    <definedName name="Dia.21mm_PVC_pipe" localSheetId="18">'[2]Break Down  '!#REF!</definedName>
    <definedName name="Dia.21mm_PVC_pipe" localSheetId="63">'[2]Break Down  '!#REF!</definedName>
    <definedName name="Dia.21mm_PVC_pipe" localSheetId="13">'[2]Break Down  '!#REF!</definedName>
    <definedName name="Dia.21mm_PVC_pipe" localSheetId="12">'[2]Break Down  '!#REF!</definedName>
    <definedName name="Dia.21mm_PVC_pipe" localSheetId="41">'[2]Break Down  '!#REF!</definedName>
    <definedName name="Dia.21mm_PVC_pipe" localSheetId="42">'[2]Break Down  '!#REF!</definedName>
    <definedName name="Dia.21mm_PVC_pipe" localSheetId="65">'[2]Break Down  '!#REF!</definedName>
    <definedName name="Dia.21mm_PVC_pipe" localSheetId="25">'[2]Break Down  '!#REF!</definedName>
    <definedName name="Dia.21mm_PVC_pipe" localSheetId="23">'[2]Break Down  '!#REF!</definedName>
    <definedName name="Dia.21mm_PVC_pipe">'[1]Break Down  '!#REF!</definedName>
    <definedName name="dilla1" localSheetId="30">#REF!</definedName>
    <definedName name="dilla1" localSheetId="29">#REF!</definedName>
    <definedName name="dilla1" localSheetId="35">#REF!</definedName>
    <definedName name="dilla1" localSheetId="34">#REF!</definedName>
    <definedName name="dilla1" localSheetId="66">#REF!</definedName>
    <definedName name="dilla1" localSheetId="22">#REF!</definedName>
    <definedName name="dilla1" localSheetId="24">#REF!</definedName>
    <definedName name="dilla1" localSheetId="39">#REF!</definedName>
    <definedName name="dilla1" localSheetId="40">#REF!</definedName>
    <definedName name="dilla1" localSheetId="53">#REF!</definedName>
    <definedName name="dilla1" localSheetId="54">#REF!</definedName>
    <definedName name="dilla1" localSheetId="5">#REF!</definedName>
    <definedName name="dilla1" localSheetId="3">#REF!</definedName>
    <definedName name="dilla1" localSheetId="48">#REF!</definedName>
    <definedName name="dilla1" localSheetId="47">#REF!</definedName>
    <definedName name="dilla1" localSheetId="52">#REF!</definedName>
    <definedName name="dilla1" localSheetId="58">#REF!</definedName>
    <definedName name="dilla1" localSheetId="59">#REF!</definedName>
    <definedName name="dilla1" localSheetId="8">#REF!</definedName>
    <definedName name="dilla1" localSheetId="17">#REF!</definedName>
    <definedName name="dilla1" localSheetId="18">#REF!</definedName>
    <definedName name="dilla1" localSheetId="63">#REF!</definedName>
    <definedName name="dilla1" localSheetId="13">#REF!</definedName>
    <definedName name="dilla1" localSheetId="12">#REF!</definedName>
    <definedName name="dilla1" localSheetId="41">#REF!</definedName>
    <definedName name="dilla1" localSheetId="42">#REF!</definedName>
    <definedName name="dilla1" localSheetId="65">#REF!</definedName>
    <definedName name="dilla1" localSheetId="25">#REF!</definedName>
    <definedName name="dilla1" localSheetId="23">#REF!</definedName>
    <definedName name="dilla1">#REF!</definedName>
    <definedName name="dimmerswitch1200w" localSheetId="30">#REF!</definedName>
    <definedName name="dimmerswitch1200w" localSheetId="29">#REF!</definedName>
    <definedName name="dimmerswitch1200w" localSheetId="35">#REF!</definedName>
    <definedName name="dimmerswitch1200w" localSheetId="34">#REF!</definedName>
    <definedName name="dimmerswitch1200w" localSheetId="66">#REF!</definedName>
    <definedName name="dimmerswitch1200w" localSheetId="22">#REF!</definedName>
    <definedName name="dimmerswitch1200w" localSheetId="24">#REF!</definedName>
    <definedName name="dimmerswitch1200w" localSheetId="39">#REF!</definedName>
    <definedName name="dimmerswitch1200w" localSheetId="40">#REF!</definedName>
    <definedName name="dimmerswitch1200w" localSheetId="53">#REF!</definedName>
    <definedName name="dimmerswitch1200w" localSheetId="54">#REF!</definedName>
    <definedName name="dimmerswitch1200w" localSheetId="5">#REF!</definedName>
    <definedName name="dimmerswitch1200w" localSheetId="3">#REF!</definedName>
    <definedName name="dimmerswitch1200w" localSheetId="48">#REF!</definedName>
    <definedName name="dimmerswitch1200w" localSheetId="47">#REF!</definedName>
    <definedName name="dimmerswitch1200w" localSheetId="52">#REF!</definedName>
    <definedName name="dimmerswitch1200w" localSheetId="58">#REF!</definedName>
    <definedName name="dimmerswitch1200w" localSheetId="59">#REF!</definedName>
    <definedName name="dimmerswitch1200w" localSheetId="8">#REF!</definedName>
    <definedName name="dimmerswitch1200w" localSheetId="17">#REF!</definedName>
    <definedName name="dimmerswitch1200w" localSheetId="18">#REF!</definedName>
    <definedName name="dimmerswitch1200w" localSheetId="63">#REF!</definedName>
    <definedName name="dimmerswitch1200w" localSheetId="13">#REF!</definedName>
    <definedName name="dimmerswitch1200w" localSheetId="12">#REF!</definedName>
    <definedName name="dimmerswitch1200w" localSheetId="41">#REF!</definedName>
    <definedName name="dimmerswitch1200w" localSheetId="42">#REF!</definedName>
    <definedName name="dimmerswitch1200w" localSheetId="65">#REF!</definedName>
    <definedName name="dimmerswitch1200w" localSheetId="25">#REF!</definedName>
    <definedName name="dimmerswitch1200w" localSheetId="23">#REF!</definedName>
    <definedName name="dimmerswitch1200w">#REF!</definedName>
    <definedName name="dimmerswitch2000w" localSheetId="30">#REF!</definedName>
    <definedName name="dimmerswitch2000w" localSheetId="29">#REF!</definedName>
    <definedName name="dimmerswitch2000w" localSheetId="35">#REF!</definedName>
    <definedName name="dimmerswitch2000w" localSheetId="34">#REF!</definedName>
    <definedName name="dimmerswitch2000w" localSheetId="66">#REF!</definedName>
    <definedName name="dimmerswitch2000w" localSheetId="22">#REF!</definedName>
    <definedName name="dimmerswitch2000w" localSheetId="24">#REF!</definedName>
    <definedName name="dimmerswitch2000w" localSheetId="39">#REF!</definedName>
    <definedName name="dimmerswitch2000w" localSheetId="40">#REF!</definedName>
    <definedName name="dimmerswitch2000w" localSheetId="53">#REF!</definedName>
    <definedName name="dimmerswitch2000w" localSheetId="54">#REF!</definedName>
    <definedName name="dimmerswitch2000w" localSheetId="5">#REF!</definedName>
    <definedName name="dimmerswitch2000w" localSheetId="3">#REF!</definedName>
    <definedName name="dimmerswitch2000w" localSheetId="48">#REF!</definedName>
    <definedName name="dimmerswitch2000w" localSheetId="47">#REF!</definedName>
    <definedName name="dimmerswitch2000w" localSheetId="52">#REF!</definedName>
    <definedName name="dimmerswitch2000w" localSheetId="58">#REF!</definedName>
    <definedName name="dimmerswitch2000w" localSheetId="59">#REF!</definedName>
    <definedName name="dimmerswitch2000w" localSheetId="8">#REF!</definedName>
    <definedName name="dimmerswitch2000w" localSheetId="17">#REF!</definedName>
    <definedName name="dimmerswitch2000w" localSheetId="18">#REF!</definedName>
    <definedName name="dimmerswitch2000w" localSheetId="63">#REF!</definedName>
    <definedName name="dimmerswitch2000w" localSheetId="13">#REF!</definedName>
    <definedName name="dimmerswitch2000w" localSheetId="12">#REF!</definedName>
    <definedName name="dimmerswitch2000w" localSheetId="41">#REF!</definedName>
    <definedName name="dimmerswitch2000w" localSheetId="42">#REF!</definedName>
    <definedName name="dimmerswitch2000w" localSheetId="65">#REF!</definedName>
    <definedName name="dimmerswitch2000w" localSheetId="25">#REF!</definedName>
    <definedName name="dimmerswitch2000w" localSheetId="23">#REF!</definedName>
    <definedName name="dimmerswitch2000w">#REF!</definedName>
    <definedName name="dimmerswitch300w" localSheetId="30">#REF!</definedName>
    <definedName name="dimmerswitch300w" localSheetId="29">#REF!</definedName>
    <definedName name="dimmerswitch300w" localSheetId="35">#REF!</definedName>
    <definedName name="dimmerswitch300w" localSheetId="34">#REF!</definedName>
    <definedName name="dimmerswitch300w" localSheetId="66">#REF!</definedName>
    <definedName name="dimmerswitch300w" localSheetId="22">#REF!</definedName>
    <definedName name="dimmerswitch300w" localSheetId="24">#REF!</definedName>
    <definedName name="dimmerswitch300w" localSheetId="39">#REF!</definedName>
    <definedName name="dimmerswitch300w" localSheetId="40">#REF!</definedName>
    <definedName name="dimmerswitch300w" localSheetId="53">#REF!</definedName>
    <definedName name="dimmerswitch300w" localSheetId="54">#REF!</definedName>
    <definedName name="dimmerswitch300w" localSheetId="5">#REF!</definedName>
    <definedName name="dimmerswitch300w" localSheetId="3">#REF!</definedName>
    <definedName name="dimmerswitch300w" localSheetId="48">#REF!</definedName>
    <definedName name="dimmerswitch300w" localSheetId="47">#REF!</definedName>
    <definedName name="dimmerswitch300w" localSheetId="52">#REF!</definedName>
    <definedName name="dimmerswitch300w" localSheetId="58">#REF!</definedName>
    <definedName name="dimmerswitch300w" localSheetId="59">#REF!</definedName>
    <definedName name="dimmerswitch300w" localSheetId="8">#REF!</definedName>
    <definedName name="dimmerswitch300w" localSheetId="17">#REF!</definedName>
    <definedName name="dimmerswitch300w" localSheetId="18">#REF!</definedName>
    <definedName name="dimmerswitch300w" localSheetId="63">#REF!</definedName>
    <definedName name="dimmerswitch300w" localSheetId="13">#REF!</definedName>
    <definedName name="dimmerswitch300w" localSheetId="12">#REF!</definedName>
    <definedName name="dimmerswitch300w" localSheetId="41">#REF!</definedName>
    <definedName name="dimmerswitch300w" localSheetId="42">#REF!</definedName>
    <definedName name="dimmerswitch300w" localSheetId="65">#REF!</definedName>
    <definedName name="dimmerswitch300w" localSheetId="25">#REF!</definedName>
    <definedName name="dimmerswitch300w" localSheetId="23">#REF!</definedName>
    <definedName name="dimmerswitch300w">#REF!</definedName>
    <definedName name="doorswitchpoint" localSheetId="30">#REF!</definedName>
    <definedName name="doorswitchpoint" localSheetId="29">#REF!</definedName>
    <definedName name="doorswitchpoint" localSheetId="35">#REF!</definedName>
    <definedName name="doorswitchpoint" localSheetId="34">#REF!</definedName>
    <definedName name="doorswitchpoint" localSheetId="66">#REF!</definedName>
    <definedName name="doorswitchpoint" localSheetId="22">#REF!</definedName>
    <definedName name="doorswitchpoint" localSheetId="24">#REF!</definedName>
    <definedName name="doorswitchpoint" localSheetId="39">#REF!</definedName>
    <definedName name="doorswitchpoint" localSheetId="40">#REF!</definedName>
    <definedName name="doorswitchpoint" localSheetId="53">#REF!</definedName>
    <definedName name="doorswitchpoint" localSheetId="54">#REF!</definedName>
    <definedName name="doorswitchpoint" localSheetId="5">#REF!</definedName>
    <definedName name="doorswitchpoint" localSheetId="3">#REF!</definedName>
    <definedName name="doorswitchpoint" localSheetId="48">#REF!</definedName>
    <definedName name="doorswitchpoint" localSheetId="47">#REF!</definedName>
    <definedName name="doorswitchpoint" localSheetId="52">#REF!</definedName>
    <definedName name="doorswitchpoint" localSheetId="58">#REF!</definedName>
    <definedName name="doorswitchpoint" localSheetId="59">#REF!</definedName>
    <definedName name="doorswitchpoint" localSheetId="8">#REF!</definedName>
    <definedName name="doorswitchpoint" localSheetId="17">#REF!</definedName>
    <definedName name="doorswitchpoint" localSheetId="18">#REF!</definedName>
    <definedName name="doorswitchpoint" localSheetId="63">#REF!</definedName>
    <definedName name="doorswitchpoint" localSheetId="13">#REF!</definedName>
    <definedName name="doorswitchpoint" localSheetId="12">#REF!</definedName>
    <definedName name="doorswitchpoint" localSheetId="41">#REF!</definedName>
    <definedName name="doorswitchpoint" localSheetId="42">#REF!</definedName>
    <definedName name="doorswitchpoint" localSheetId="65">#REF!</definedName>
    <definedName name="doorswitchpoint" localSheetId="25">#REF!</definedName>
    <definedName name="doorswitchpoint" localSheetId="23">#REF!</definedName>
    <definedName name="doorswitchpoint">#REF!</definedName>
    <definedName name="doubleswitch" localSheetId="30">#REF!</definedName>
    <definedName name="doubleswitch" localSheetId="29">#REF!</definedName>
    <definedName name="doubleswitch" localSheetId="35">#REF!</definedName>
    <definedName name="doubleswitch" localSheetId="34">#REF!</definedName>
    <definedName name="doubleswitch" localSheetId="66">#REF!</definedName>
    <definedName name="doubleswitch" localSheetId="22">#REF!</definedName>
    <definedName name="doubleswitch" localSheetId="24">#REF!</definedName>
    <definedName name="doubleswitch" localSheetId="39">#REF!</definedName>
    <definedName name="doubleswitch" localSheetId="40">#REF!</definedName>
    <definedName name="doubleswitch" localSheetId="53">#REF!</definedName>
    <definedName name="doubleswitch" localSheetId="54">#REF!</definedName>
    <definedName name="doubleswitch" localSheetId="5">#REF!</definedName>
    <definedName name="doubleswitch" localSheetId="3">#REF!</definedName>
    <definedName name="doubleswitch" localSheetId="48">#REF!</definedName>
    <definedName name="doubleswitch" localSheetId="47">#REF!</definedName>
    <definedName name="doubleswitch" localSheetId="52">#REF!</definedName>
    <definedName name="doubleswitch" localSheetId="58">#REF!</definedName>
    <definedName name="doubleswitch" localSheetId="59">#REF!</definedName>
    <definedName name="doubleswitch" localSheetId="8">#REF!</definedName>
    <definedName name="doubleswitch" localSheetId="17">#REF!</definedName>
    <definedName name="doubleswitch" localSheetId="18">#REF!</definedName>
    <definedName name="doubleswitch" localSheetId="63">#REF!</definedName>
    <definedName name="doubleswitch" localSheetId="13">#REF!</definedName>
    <definedName name="doubleswitch" localSheetId="12">#REF!</definedName>
    <definedName name="doubleswitch" localSheetId="41">#REF!</definedName>
    <definedName name="doubleswitch" localSheetId="42">#REF!</definedName>
    <definedName name="doubleswitch" localSheetId="65">#REF!</definedName>
    <definedName name="doubleswitch" localSheetId="25">#REF!</definedName>
    <definedName name="doubleswitch" localSheetId="23">#REF!</definedName>
    <definedName name="doubleswitch">#REF!</definedName>
    <definedName name="doubletwowayswitch" localSheetId="30">#REF!</definedName>
    <definedName name="doubletwowayswitch" localSheetId="29">#REF!</definedName>
    <definedName name="doubletwowayswitch" localSheetId="35">#REF!</definedName>
    <definedName name="doubletwowayswitch" localSheetId="34">#REF!</definedName>
    <definedName name="doubletwowayswitch" localSheetId="66">#REF!</definedName>
    <definedName name="doubletwowayswitch" localSheetId="22">#REF!</definedName>
    <definedName name="doubletwowayswitch" localSheetId="24">#REF!</definedName>
    <definedName name="doubletwowayswitch" localSheetId="39">#REF!</definedName>
    <definedName name="doubletwowayswitch" localSheetId="40">#REF!</definedName>
    <definedName name="doubletwowayswitch" localSheetId="53">#REF!</definedName>
    <definedName name="doubletwowayswitch" localSheetId="54">#REF!</definedName>
    <definedName name="doubletwowayswitch" localSheetId="5">#REF!</definedName>
    <definedName name="doubletwowayswitch" localSheetId="3">#REF!</definedName>
    <definedName name="doubletwowayswitch" localSheetId="48">#REF!</definedName>
    <definedName name="doubletwowayswitch" localSheetId="47">#REF!</definedName>
    <definedName name="doubletwowayswitch" localSheetId="52">#REF!</definedName>
    <definedName name="doubletwowayswitch" localSheetId="58">#REF!</definedName>
    <definedName name="doubletwowayswitch" localSheetId="59">#REF!</definedName>
    <definedName name="doubletwowayswitch" localSheetId="8">#REF!</definedName>
    <definedName name="doubletwowayswitch" localSheetId="17">#REF!</definedName>
    <definedName name="doubletwowayswitch" localSheetId="18">#REF!</definedName>
    <definedName name="doubletwowayswitch" localSheetId="63">#REF!</definedName>
    <definedName name="doubletwowayswitch" localSheetId="13">#REF!</definedName>
    <definedName name="doubletwowayswitch" localSheetId="12">#REF!</definedName>
    <definedName name="doubletwowayswitch" localSheetId="41">#REF!</definedName>
    <definedName name="doubletwowayswitch" localSheetId="42">#REF!</definedName>
    <definedName name="doubletwowayswitch" localSheetId="65">#REF!</definedName>
    <definedName name="doubletwowayswitch" localSheetId="25">#REF!</definedName>
    <definedName name="doubletwowayswitch" localSheetId="23">#REF!</definedName>
    <definedName name="doubletwowayswitch">#REF!</definedName>
    <definedName name="du" localSheetId="30">[6]Sheet4!$B$7</definedName>
    <definedName name="du" localSheetId="29">[6]Sheet4!$B$7</definedName>
    <definedName name="du" localSheetId="35">[6]Sheet4!$B$7</definedName>
    <definedName name="du" localSheetId="34">[6]Sheet4!$B$7</definedName>
    <definedName name="du" localSheetId="22">[6]Sheet4!$B$7</definedName>
    <definedName name="du" localSheetId="24">[6]Sheet4!$B$7</definedName>
    <definedName name="du" localSheetId="39">[6]Sheet4!$B$7</definedName>
    <definedName name="du" localSheetId="40">[6]Sheet4!$B$7</definedName>
    <definedName name="du" localSheetId="53">[6]Sheet4!$B$7</definedName>
    <definedName name="du" localSheetId="54">[6]Sheet4!$B$7</definedName>
    <definedName name="du" localSheetId="3">[6]Sheet4!$B$7</definedName>
    <definedName name="du" localSheetId="4">[6]Sheet4!$B$7</definedName>
    <definedName name="du" localSheetId="48">[6]Sheet4!$B$7</definedName>
    <definedName name="du" localSheetId="47">[6]Sheet4!$B$7</definedName>
    <definedName name="du" localSheetId="58">[6]Sheet4!$B$7</definedName>
    <definedName name="du" localSheetId="59">[6]Sheet4!$B$7</definedName>
    <definedName name="du" localSheetId="8">[6]Sheet4!$B$7</definedName>
    <definedName name="du" localSheetId="17">[6]Sheet4!$B$7</definedName>
    <definedName name="du" localSheetId="18">[6]Sheet4!$B$7</definedName>
    <definedName name="du" localSheetId="63">[6]Sheet4!$B$7</definedName>
    <definedName name="du" localSheetId="13">[6]Sheet4!$B$7</definedName>
    <definedName name="du" localSheetId="12">[6]Sheet4!$B$7</definedName>
    <definedName name="du" localSheetId="41">[6]Sheet4!$B$7</definedName>
    <definedName name="du" localSheetId="42">[6]Sheet4!$B$7</definedName>
    <definedName name="du" localSheetId="65">[6]Sheet4!$B$7</definedName>
    <definedName name="du" localSheetId="25">[6]Sheet4!$B$7</definedName>
    <definedName name="du" localSheetId="23">[6]Sheet4!$B$7</definedName>
    <definedName name="du">[7]Sheet4!$B$7</definedName>
    <definedName name="Dur" localSheetId="30">[6]Sheet4!$B$3</definedName>
    <definedName name="Dur" localSheetId="29">[6]Sheet4!$B$3</definedName>
    <definedName name="Dur" localSheetId="35">[6]Sheet4!$B$3</definedName>
    <definedName name="Dur" localSheetId="34">[6]Sheet4!$B$3</definedName>
    <definedName name="Dur" localSheetId="22">[6]Sheet4!$B$3</definedName>
    <definedName name="Dur" localSheetId="24">[6]Sheet4!$B$3</definedName>
    <definedName name="Dur" localSheetId="39">[6]Sheet4!$B$3</definedName>
    <definedName name="Dur" localSheetId="40">[6]Sheet4!$B$3</definedName>
    <definedName name="Dur" localSheetId="53">[6]Sheet4!$B$3</definedName>
    <definedName name="Dur" localSheetId="54">[6]Sheet4!$B$3</definedName>
    <definedName name="Dur" localSheetId="3">[6]Sheet4!$B$3</definedName>
    <definedName name="Dur" localSheetId="4">[6]Sheet4!$B$3</definedName>
    <definedName name="Dur" localSheetId="48">[6]Sheet4!$B$3</definedName>
    <definedName name="Dur" localSheetId="47">[6]Sheet4!$B$3</definedName>
    <definedName name="Dur" localSheetId="58">[6]Sheet4!$B$3</definedName>
    <definedName name="Dur" localSheetId="59">[6]Sheet4!$B$3</definedName>
    <definedName name="Dur" localSheetId="8">[6]Sheet4!$B$3</definedName>
    <definedName name="Dur" localSheetId="17">[6]Sheet4!$B$3</definedName>
    <definedName name="Dur" localSheetId="18">[6]Sheet4!$B$3</definedName>
    <definedName name="Dur" localSheetId="63">[6]Sheet4!$B$3</definedName>
    <definedName name="Dur" localSheetId="13">[6]Sheet4!$B$3</definedName>
    <definedName name="Dur" localSheetId="12">[6]Sheet4!$B$3</definedName>
    <definedName name="Dur" localSheetId="41">[6]Sheet4!$B$3</definedName>
    <definedName name="Dur" localSheetId="42">[6]Sheet4!$B$3</definedName>
    <definedName name="Dur" localSheetId="65">[6]Sheet4!$B$3</definedName>
    <definedName name="Dur" localSheetId="25">[6]Sheet4!$B$3</definedName>
    <definedName name="Dur" localSheetId="23">[6]Sheet4!$B$3</definedName>
    <definedName name="Dur">[7]Sheet4!$B$3</definedName>
    <definedName name="e" localSheetId="30">[12]Sheet1!$B$2</definedName>
    <definedName name="e" localSheetId="29">[12]Sheet1!$B$2</definedName>
    <definedName name="e" localSheetId="35">[12]Sheet1!$B$2</definedName>
    <definedName name="e" localSheetId="34">[12]Sheet1!$B$2</definedName>
    <definedName name="e" localSheetId="22">[12]Sheet1!$B$2</definedName>
    <definedName name="e" localSheetId="24">[12]Sheet1!$B$2</definedName>
    <definedName name="e" localSheetId="39">[12]Sheet1!$B$2</definedName>
    <definedName name="e" localSheetId="40">[12]Sheet1!$B$2</definedName>
    <definedName name="e" localSheetId="53">[12]Sheet1!$B$2</definedName>
    <definedName name="e" localSheetId="54">[12]Sheet1!$B$2</definedName>
    <definedName name="e" localSheetId="3">[12]Sheet1!$B$2</definedName>
    <definedName name="e" localSheetId="4">[12]Sheet1!$B$2</definedName>
    <definedName name="e" localSheetId="48">[12]Sheet1!$B$2</definedName>
    <definedName name="e" localSheetId="47">[12]Sheet1!$B$2</definedName>
    <definedName name="e" localSheetId="58">[12]Sheet1!$B$2</definedName>
    <definedName name="e" localSheetId="59">[12]Sheet1!$B$2</definedName>
    <definedName name="e" localSheetId="8">[12]Sheet1!$B$2</definedName>
    <definedName name="e" localSheetId="17">[12]Sheet1!$B$2</definedName>
    <definedName name="e" localSheetId="18">[12]Sheet1!$B$2</definedName>
    <definedName name="e" localSheetId="63">[12]Sheet1!$B$2</definedName>
    <definedName name="e" localSheetId="13">[12]Sheet1!$B$2</definedName>
    <definedName name="e" localSheetId="12">[12]Sheet1!$B$2</definedName>
    <definedName name="e" localSheetId="41">[12]Sheet1!$B$2</definedName>
    <definedName name="e" localSheetId="42">[12]Sheet1!$B$2</definedName>
    <definedName name="e" localSheetId="65">[12]Sheet1!$B$2</definedName>
    <definedName name="e" localSheetId="25">[12]Sheet1!$B$2</definedName>
    <definedName name="e" localSheetId="23">[12]Sheet1!$B$2</definedName>
    <definedName name="e">[13]Sheet1!$B$2</definedName>
    <definedName name="earthrod1200x16" localSheetId="30">#REF!</definedName>
    <definedName name="earthrod1200x16" localSheetId="29">#REF!</definedName>
    <definedName name="earthrod1200x16" localSheetId="35">#REF!</definedName>
    <definedName name="earthrod1200x16" localSheetId="34">#REF!</definedName>
    <definedName name="earthrod1200x16" localSheetId="66">#REF!</definedName>
    <definedName name="earthrod1200x16" localSheetId="22">#REF!</definedName>
    <definedName name="earthrod1200x16" localSheetId="24">#REF!</definedName>
    <definedName name="earthrod1200x16" localSheetId="39">#REF!</definedName>
    <definedName name="earthrod1200x16" localSheetId="40">#REF!</definedName>
    <definedName name="earthrod1200x16" localSheetId="53">#REF!</definedName>
    <definedName name="earthrod1200x16" localSheetId="54">#REF!</definedName>
    <definedName name="earthrod1200x16" localSheetId="5">#REF!</definedName>
    <definedName name="earthrod1200x16" localSheetId="3">#REF!</definedName>
    <definedName name="earthrod1200x16" localSheetId="48">#REF!</definedName>
    <definedName name="earthrod1200x16" localSheetId="47">#REF!</definedName>
    <definedName name="earthrod1200x16" localSheetId="52">#REF!</definedName>
    <definedName name="earthrod1200x16" localSheetId="58">#REF!</definedName>
    <definedName name="earthrod1200x16" localSheetId="59">#REF!</definedName>
    <definedName name="earthrod1200x16" localSheetId="8">#REF!</definedName>
    <definedName name="earthrod1200x16" localSheetId="17">#REF!</definedName>
    <definedName name="earthrod1200x16" localSheetId="18">#REF!</definedName>
    <definedName name="earthrod1200x16" localSheetId="63">#REF!</definedName>
    <definedName name="earthrod1200x16" localSheetId="13">#REF!</definedName>
    <definedName name="earthrod1200x16" localSheetId="12">#REF!</definedName>
    <definedName name="earthrod1200x16" localSheetId="41">#REF!</definedName>
    <definedName name="earthrod1200x16" localSheetId="42">#REF!</definedName>
    <definedName name="earthrod1200x16" localSheetId="65">#REF!</definedName>
    <definedName name="earthrod1200x16" localSheetId="25">#REF!</definedName>
    <definedName name="earthrod1200x16" localSheetId="23">#REF!</definedName>
    <definedName name="earthrod1200x16">#REF!</definedName>
    <definedName name="earthrod2400x16" localSheetId="30">#REF!</definedName>
    <definedName name="earthrod2400x16" localSheetId="29">#REF!</definedName>
    <definedName name="earthrod2400x16" localSheetId="35">#REF!</definedName>
    <definedName name="earthrod2400x16" localSheetId="34">#REF!</definedName>
    <definedName name="earthrod2400x16" localSheetId="66">#REF!</definedName>
    <definedName name="earthrod2400x16" localSheetId="22">#REF!</definedName>
    <definedName name="earthrod2400x16" localSheetId="24">#REF!</definedName>
    <definedName name="earthrod2400x16" localSheetId="39">#REF!</definedName>
    <definedName name="earthrod2400x16" localSheetId="40">#REF!</definedName>
    <definedName name="earthrod2400x16" localSheetId="53">#REF!</definedName>
    <definedName name="earthrod2400x16" localSheetId="54">#REF!</definedName>
    <definedName name="earthrod2400x16" localSheetId="5">#REF!</definedName>
    <definedName name="earthrod2400x16" localSheetId="3">#REF!</definedName>
    <definedName name="earthrod2400x16" localSheetId="48">#REF!</definedName>
    <definedName name="earthrod2400x16" localSheetId="47">#REF!</definedName>
    <definedName name="earthrod2400x16" localSheetId="52">#REF!</definedName>
    <definedName name="earthrod2400x16" localSheetId="58">#REF!</definedName>
    <definedName name="earthrod2400x16" localSheetId="59">#REF!</definedName>
    <definedName name="earthrod2400x16" localSheetId="8">#REF!</definedName>
    <definedName name="earthrod2400x16" localSheetId="17">#REF!</definedName>
    <definedName name="earthrod2400x16" localSheetId="18">#REF!</definedName>
    <definedName name="earthrod2400x16" localSheetId="63">#REF!</definedName>
    <definedName name="earthrod2400x16" localSheetId="13">#REF!</definedName>
    <definedName name="earthrod2400x16" localSheetId="12">#REF!</definedName>
    <definedName name="earthrod2400x16" localSheetId="41">#REF!</definedName>
    <definedName name="earthrod2400x16" localSheetId="42">#REF!</definedName>
    <definedName name="earthrod2400x16" localSheetId="65">#REF!</definedName>
    <definedName name="earthrod2400x16" localSheetId="25">#REF!</definedName>
    <definedName name="earthrod2400x16" localSheetId="23">#REF!</definedName>
    <definedName name="earthrod2400x16">#REF!</definedName>
    <definedName name="eth" localSheetId="30">#REF!</definedName>
    <definedName name="eth" localSheetId="29">#REF!</definedName>
    <definedName name="eth" localSheetId="35">#REF!</definedName>
    <definedName name="eth" localSheetId="34">#REF!</definedName>
    <definedName name="eth" localSheetId="66">#REF!</definedName>
    <definedName name="eth" localSheetId="22">#REF!</definedName>
    <definedName name="eth" localSheetId="24">#REF!</definedName>
    <definedName name="eth" localSheetId="39">#REF!</definedName>
    <definedName name="eth" localSheetId="40">#REF!</definedName>
    <definedName name="eth" localSheetId="53">#REF!</definedName>
    <definedName name="eth" localSheetId="54">#REF!</definedName>
    <definedName name="eth" localSheetId="5">#REF!</definedName>
    <definedName name="eth" localSheetId="3">#REF!</definedName>
    <definedName name="eth" localSheetId="48">#REF!</definedName>
    <definedName name="eth" localSheetId="47">#REF!</definedName>
    <definedName name="eth" localSheetId="52">#REF!</definedName>
    <definedName name="eth" localSheetId="58">#REF!</definedName>
    <definedName name="eth" localSheetId="59">#REF!</definedName>
    <definedName name="eth" localSheetId="8">#REF!</definedName>
    <definedName name="eth" localSheetId="17">#REF!</definedName>
    <definedName name="eth" localSheetId="18">#REF!</definedName>
    <definedName name="eth" localSheetId="63">#REF!</definedName>
    <definedName name="eth" localSheetId="13">#REF!</definedName>
    <definedName name="eth" localSheetId="12">#REF!</definedName>
    <definedName name="eth" localSheetId="41">#REF!</definedName>
    <definedName name="eth" localSheetId="42">#REF!</definedName>
    <definedName name="eth" localSheetId="65">#REF!</definedName>
    <definedName name="eth" localSheetId="25">#REF!</definedName>
    <definedName name="eth" localSheetId="23">#REF!</definedName>
    <definedName name="eth">#REF!</definedName>
    <definedName name="ew" localSheetId="30">#REF!</definedName>
    <definedName name="ew" localSheetId="29">#REF!</definedName>
    <definedName name="ew" localSheetId="35">#REF!</definedName>
    <definedName name="ew" localSheetId="34">#REF!</definedName>
    <definedName name="ew" localSheetId="66">#REF!</definedName>
    <definedName name="ew" localSheetId="22">#REF!</definedName>
    <definedName name="ew" localSheetId="24">#REF!</definedName>
    <definedName name="ew" localSheetId="39">#REF!</definedName>
    <definedName name="ew" localSheetId="40">#REF!</definedName>
    <definedName name="ew" localSheetId="53">#REF!</definedName>
    <definedName name="ew" localSheetId="54">#REF!</definedName>
    <definedName name="ew" localSheetId="5">#REF!</definedName>
    <definedName name="ew" localSheetId="3">#REF!</definedName>
    <definedName name="ew" localSheetId="48">#REF!</definedName>
    <definedName name="ew" localSheetId="47">#REF!</definedName>
    <definedName name="ew" localSheetId="52">#REF!</definedName>
    <definedName name="ew" localSheetId="58">#REF!</definedName>
    <definedName name="ew" localSheetId="59">#REF!</definedName>
    <definedName name="ew" localSheetId="8">#REF!</definedName>
    <definedName name="ew" localSheetId="17">#REF!</definedName>
    <definedName name="ew" localSheetId="18">#REF!</definedName>
    <definedName name="ew" localSheetId="63">#REF!</definedName>
    <definedName name="ew" localSheetId="13">#REF!</definedName>
    <definedName name="ew" localSheetId="12">#REF!</definedName>
    <definedName name="ew" localSheetId="41">#REF!</definedName>
    <definedName name="ew" localSheetId="42">#REF!</definedName>
    <definedName name="ew" localSheetId="65">#REF!</definedName>
    <definedName name="ew" localSheetId="25">#REF!</definedName>
    <definedName name="ew" localSheetId="23">#REF!</definedName>
    <definedName name="ew">#REF!</definedName>
    <definedName name="External_lighting_poles_dia.60_2_1.4_galvanized_steel_pole" localSheetId="30">'[2]Break Down  '!#REF!</definedName>
    <definedName name="External_lighting_poles_dia.60_2_1.4_galvanized_steel_pole" localSheetId="29">'[2]Break Down  '!#REF!</definedName>
    <definedName name="External_lighting_poles_dia.60_2_1.4_galvanized_steel_pole" localSheetId="35">'[2]Break Down  '!#REF!</definedName>
    <definedName name="External_lighting_poles_dia.60_2_1.4_galvanized_steel_pole" localSheetId="34">'[2]Break Down  '!#REF!</definedName>
    <definedName name="External_lighting_poles_dia.60_2_1.4_galvanized_steel_pole" localSheetId="66">'[1]Break Down  '!#REF!</definedName>
    <definedName name="External_lighting_poles_dia.60_2_1.4_galvanized_steel_pole" localSheetId="22">'[2]Break Down  '!#REF!</definedName>
    <definedName name="External_lighting_poles_dia.60_2_1.4_galvanized_steel_pole" localSheetId="24">'[2]Break Down  '!#REF!</definedName>
    <definedName name="External_lighting_poles_dia.60_2_1.4_galvanized_steel_pole" localSheetId="39">'[2]Break Down  '!#REF!</definedName>
    <definedName name="External_lighting_poles_dia.60_2_1.4_galvanized_steel_pole" localSheetId="40">'[2]Break Down  '!#REF!</definedName>
    <definedName name="External_lighting_poles_dia.60_2_1.4_galvanized_steel_pole" localSheetId="53">'[2]Break Down  '!#REF!</definedName>
    <definedName name="External_lighting_poles_dia.60_2_1.4_galvanized_steel_pole" localSheetId="54">'[2]Break Down  '!#REF!</definedName>
    <definedName name="External_lighting_poles_dia.60_2_1.4_galvanized_steel_pole" localSheetId="5">'[1]Break Down  '!#REF!</definedName>
    <definedName name="External_lighting_poles_dia.60_2_1.4_galvanized_steel_pole" localSheetId="3">'[2]Break Down  '!#REF!</definedName>
    <definedName name="External_lighting_poles_dia.60_2_1.4_galvanized_steel_pole" localSheetId="4">'[2]Break Down  '!#REF!</definedName>
    <definedName name="External_lighting_poles_dia.60_2_1.4_galvanized_steel_pole" localSheetId="48">'[2]Break Down  '!#REF!</definedName>
    <definedName name="External_lighting_poles_dia.60_2_1.4_galvanized_steel_pole" localSheetId="47">'[2]Break Down  '!#REF!</definedName>
    <definedName name="External_lighting_poles_dia.60_2_1.4_galvanized_steel_pole" localSheetId="52">'[1]Break Down  '!#REF!</definedName>
    <definedName name="External_lighting_poles_dia.60_2_1.4_galvanized_steel_pole" localSheetId="58">'[2]Break Down  '!#REF!</definedName>
    <definedName name="External_lighting_poles_dia.60_2_1.4_galvanized_steel_pole" localSheetId="59">'[2]Break Down  '!#REF!</definedName>
    <definedName name="External_lighting_poles_dia.60_2_1.4_galvanized_steel_pole" localSheetId="8">'[2]Break Down  '!#REF!</definedName>
    <definedName name="External_lighting_poles_dia.60_2_1.4_galvanized_steel_pole" localSheetId="17">'[2]Break Down  '!#REF!</definedName>
    <definedName name="External_lighting_poles_dia.60_2_1.4_galvanized_steel_pole" localSheetId="18">'[2]Break Down  '!#REF!</definedName>
    <definedName name="External_lighting_poles_dia.60_2_1.4_galvanized_steel_pole" localSheetId="63">'[2]Break Down  '!#REF!</definedName>
    <definedName name="External_lighting_poles_dia.60_2_1.4_galvanized_steel_pole" localSheetId="13">'[2]Break Down  '!#REF!</definedName>
    <definedName name="External_lighting_poles_dia.60_2_1.4_galvanized_steel_pole" localSheetId="12">'[2]Break Down  '!#REF!</definedName>
    <definedName name="External_lighting_poles_dia.60_2_1.4_galvanized_steel_pole" localSheetId="41">'[2]Break Down  '!#REF!</definedName>
    <definedName name="External_lighting_poles_dia.60_2_1.4_galvanized_steel_pole" localSheetId="42">'[2]Break Down  '!#REF!</definedName>
    <definedName name="External_lighting_poles_dia.60_2_1.4_galvanized_steel_pole" localSheetId="65">'[2]Break Down  '!#REF!</definedName>
    <definedName name="External_lighting_poles_dia.60_2_1.4_galvanized_steel_pole" localSheetId="25">'[2]Break Down  '!#REF!</definedName>
    <definedName name="External_lighting_poles_dia.60_2_1.4_galvanized_steel_pole" localSheetId="23">'[2]Break Down  '!#REF!</definedName>
    <definedName name="External_lighting_poles_dia.60_2_1.4_galvanized_steel_pole">'[1]Break Down  '!#REF!</definedName>
    <definedName name="Extra_ovey_light_single_on_off_switch" localSheetId="30">'[2]Break Down  '!#REF!</definedName>
    <definedName name="Extra_ovey_light_single_on_off_switch" localSheetId="29">'[2]Break Down  '!#REF!</definedName>
    <definedName name="Extra_ovey_light_single_on_off_switch" localSheetId="35">'[2]Break Down  '!#REF!</definedName>
    <definedName name="Extra_ovey_light_single_on_off_switch" localSheetId="34">'[2]Break Down  '!#REF!</definedName>
    <definedName name="Extra_ovey_light_single_on_off_switch" localSheetId="66">'[1]Break Down  '!#REF!</definedName>
    <definedName name="Extra_ovey_light_single_on_off_switch" localSheetId="22">'[2]Break Down  '!#REF!</definedName>
    <definedName name="Extra_ovey_light_single_on_off_switch" localSheetId="24">'[2]Break Down  '!#REF!</definedName>
    <definedName name="Extra_ovey_light_single_on_off_switch" localSheetId="39">'[2]Break Down  '!#REF!</definedName>
    <definedName name="Extra_ovey_light_single_on_off_switch" localSheetId="40">'[2]Break Down  '!#REF!</definedName>
    <definedName name="Extra_ovey_light_single_on_off_switch" localSheetId="53">'[2]Break Down  '!#REF!</definedName>
    <definedName name="Extra_ovey_light_single_on_off_switch" localSheetId="54">'[2]Break Down  '!#REF!</definedName>
    <definedName name="Extra_ovey_light_single_on_off_switch" localSheetId="5">'[1]Break Down  '!#REF!</definedName>
    <definedName name="Extra_ovey_light_single_on_off_switch" localSheetId="3">'[2]Break Down  '!#REF!</definedName>
    <definedName name="Extra_ovey_light_single_on_off_switch" localSheetId="4">'[2]Break Down  '!#REF!</definedName>
    <definedName name="Extra_ovey_light_single_on_off_switch" localSheetId="48">'[2]Break Down  '!#REF!</definedName>
    <definedName name="Extra_ovey_light_single_on_off_switch" localSheetId="47">'[2]Break Down  '!#REF!</definedName>
    <definedName name="Extra_ovey_light_single_on_off_switch" localSheetId="52">'[1]Break Down  '!#REF!</definedName>
    <definedName name="Extra_ovey_light_single_on_off_switch" localSheetId="58">'[2]Break Down  '!#REF!</definedName>
    <definedName name="Extra_ovey_light_single_on_off_switch" localSheetId="59">'[2]Break Down  '!#REF!</definedName>
    <definedName name="Extra_ovey_light_single_on_off_switch" localSheetId="8">'[2]Break Down  '!#REF!</definedName>
    <definedName name="Extra_ovey_light_single_on_off_switch" localSheetId="17">'[2]Break Down  '!#REF!</definedName>
    <definedName name="Extra_ovey_light_single_on_off_switch" localSheetId="18">'[2]Break Down  '!#REF!</definedName>
    <definedName name="Extra_ovey_light_single_on_off_switch" localSheetId="63">'[2]Break Down  '!#REF!</definedName>
    <definedName name="Extra_ovey_light_single_on_off_switch" localSheetId="13">'[2]Break Down  '!#REF!</definedName>
    <definedName name="Extra_ovey_light_single_on_off_switch" localSheetId="12">'[2]Break Down  '!#REF!</definedName>
    <definedName name="Extra_ovey_light_single_on_off_switch" localSheetId="41">'[2]Break Down  '!#REF!</definedName>
    <definedName name="Extra_ovey_light_single_on_off_switch" localSheetId="42">'[2]Break Down  '!#REF!</definedName>
    <definedName name="Extra_ovey_light_single_on_off_switch" localSheetId="65">'[2]Break Down  '!#REF!</definedName>
    <definedName name="Extra_ovey_light_single_on_off_switch" localSheetId="25">'[2]Break Down  '!#REF!</definedName>
    <definedName name="Extra_ovey_light_single_on_off_switch" localSheetId="23">'[2]Break Down  '!#REF!</definedName>
    <definedName name="Extra_ovey_light_single_on_off_switch">'[1]Break Down  '!#REF!</definedName>
    <definedName name="Extra_ovey_light_two_circuit_switch" localSheetId="30">'[2]Break Down  '!#REF!</definedName>
    <definedName name="Extra_ovey_light_two_circuit_switch" localSheetId="29">'[2]Break Down  '!#REF!</definedName>
    <definedName name="Extra_ovey_light_two_circuit_switch" localSheetId="35">'[2]Break Down  '!#REF!</definedName>
    <definedName name="Extra_ovey_light_two_circuit_switch" localSheetId="34">'[2]Break Down  '!#REF!</definedName>
    <definedName name="Extra_ovey_light_two_circuit_switch" localSheetId="66">'[1]Break Down  '!#REF!</definedName>
    <definedName name="Extra_ovey_light_two_circuit_switch" localSheetId="22">'[2]Break Down  '!#REF!</definedName>
    <definedName name="Extra_ovey_light_two_circuit_switch" localSheetId="24">'[2]Break Down  '!#REF!</definedName>
    <definedName name="Extra_ovey_light_two_circuit_switch" localSheetId="39">'[2]Break Down  '!#REF!</definedName>
    <definedName name="Extra_ovey_light_two_circuit_switch" localSheetId="40">'[2]Break Down  '!#REF!</definedName>
    <definedName name="Extra_ovey_light_two_circuit_switch" localSheetId="53">'[2]Break Down  '!#REF!</definedName>
    <definedName name="Extra_ovey_light_two_circuit_switch" localSheetId="54">'[2]Break Down  '!#REF!</definedName>
    <definedName name="Extra_ovey_light_two_circuit_switch" localSheetId="5">'[1]Break Down  '!#REF!</definedName>
    <definedName name="Extra_ovey_light_two_circuit_switch" localSheetId="3">'[2]Break Down  '!#REF!</definedName>
    <definedName name="Extra_ovey_light_two_circuit_switch" localSheetId="4">'[2]Break Down  '!#REF!</definedName>
    <definedName name="Extra_ovey_light_two_circuit_switch" localSheetId="48">'[2]Break Down  '!#REF!</definedName>
    <definedName name="Extra_ovey_light_two_circuit_switch" localSheetId="47">'[2]Break Down  '!#REF!</definedName>
    <definedName name="Extra_ovey_light_two_circuit_switch" localSheetId="52">'[1]Break Down  '!#REF!</definedName>
    <definedName name="Extra_ovey_light_two_circuit_switch" localSheetId="58">'[2]Break Down  '!#REF!</definedName>
    <definedName name="Extra_ovey_light_two_circuit_switch" localSheetId="59">'[2]Break Down  '!#REF!</definedName>
    <definedName name="Extra_ovey_light_two_circuit_switch" localSheetId="8">'[2]Break Down  '!#REF!</definedName>
    <definedName name="Extra_ovey_light_two_circuit_switch" localSheetId="17">'[2]Break Down  '!#REF!</definedName>
    <definedName name="Extra_ovey_light_two_circuit_switch" localSheetId="18">'[2]Break Down  '!#REF!</definedName>
    <definedName name="Extra_ovey_light_two_circuit_switch" localSheetId="63">'[2]Break Down  '!#REF!</definedName>
    <definedName name="Extra_ovey_light_two_circuit_switch" localSheetId="13">'[2]Break Down  '!#REF!</definedName>
    <definedName name="Extra_ovey_light_two_circuit_switch" localSheetId="12">'[2]Break Down  '!#REF!</definedName>
    <definedName name="Extra_ovey_light_two_circuit_switch" localSheetId="41">'[2]Break Down  '!#REF!</definedName>
    <definedName name="Extra_ovey_light_two_circuit_switch" localSheetId="42">'[2]Break Down  '!#REF!</definedName>
    <definedName name="Extra_ovey_light_two_circuit_switch" localSheetId="65">'[2]Break Down  '!#REF!</definedName>
    <definedName name="Extra_ovey_light_two_circuit_switch" localSheetId="25">'[2]Break Down  '!#REF!</definedName>
    <definedName name="Extra_ovey_light_two_circuit_switch" localSheetId="23">'[2]Break Down  '!#REF!</definedName>
    <definedName name="Extra_ovey_light_two_circuit_switch">'[1]Break Down  '!#REF!</definedName>
    <definedName name="Extra_ovey_light_two_way_switch" localSheetId="30">'[2]Break Down  '!#REF!</definedName>
    <definedName name="Extra_ovey_light_two_way_switch" localSheetId="29">'[2]Break Down  '!#REF!</definedName>
    <definedName name="Extra_ovey_light_two_way_switch" localSheetId="35">'[2]Break Down  '!#REF!</definedName>
    <definedName name="Extra_ovey_light_two_way_switch" localSheetId="34">'[2]Break Down  '!#REF!</definedName>
    <definedName name="Extra_ovey_light_two_way_switch" localSheetId="66">'[1]Break Down  '!#REF!</definedName>
    <definedName name="Extra_ovey_light_two_way_switch" localSheetId="22">'[2]Break Down  '!#REF!</definedName>
    <definedName name="Extra_ovey_light_two_way_switch" localSheetId="24">'[2]Break Down  '!#REF!</definedName>
    <definedName name="Extra_ovey_light_two_way_switch" localSheetId="39">'[2]Break Down  '!#REF!</definedName>
    <definedName name="Extra_ovey_light_two_way_switch" localSheetId="40">'[2]Break Down  '!#REF!</definedName>
    <definedName name="Extra_ovey_light_two_way_switch" localSheetId="53">'[2]Break Down  '!#REF!</definedName>
    <definedName name="Extra_ovey_light_two_way_switch" localSheetId="54">'[2]Break Down  '!#REF!</definedName>
    <definedName name="Extra_ovey_light_two_way_switch" localSheetId="5">'[1]Break Down  '!#REF!</definedName>
    <definedName name="Extra_ovey_light_two_way_switch" localSheetId="3">'[2]Break Down  '!#REF!</definedName>
    <definedName name="Extra_ovey_light_two_way_switch" localSheetId="4">'[2]Break Down  '!#REF!</definedName>
    <definedName name="Extra_ovey_light_two_way_switch" localSheetId="48">'[2]Break Down  '!#REF!</definedName>
    <definedName name="Extra_ovey_light_two_way_switch" localSheetId="47">'[2]Break Down  '!#REF!</definedName>
    <definedName name="Extra_ovey_light_two_way_switch" localSheetId="52">'[1]Break Down  '!#REF!</definedName>
    <definedName name="Extra_ovey_light_two_way_switch" localSheetId="58">'[2]Break Down  '!#REF!</definedName>
    <definedName name="Extra_ovey_light_two_way_switch" localSheetId="59">'[2]Break Down  '!#REF!</definedName>
    <definedName name="Extra_ovey_light_two_way_switch" localSheetId="8">'[2]Break Down  '!#REF!</definedName>
    <definedName name="Extra_ovey_light_two_way_switch" localSheetId="17">'[2]Break Down  '!#REF!</definedName>
    <definedName name="Extra_ovey_light_two_way_switch" localSheetId="18">'[2]Break Down  '!#REF!</definedName>
    <definedName name="Extra_ovey_light_two_way_switch" localSheetId="63">'[2]Break Down  '!#REF!</definedName>
    <definedName name="Extra_ovey_light_two_way_switch" localSheetId="13">'[2]Break Down  '!#REF!</definedName>
    <definedName name="Extra_ovey_light_two_way_switch" localSheetId="12">'[2]Break Down  '!#REF!</definedName>
    <definedName name="Extra_ovey_light_two_way_switch" localSheetId="41">'[2]Break Down  '!#REF!</definedName>
    <definedName name="Extra_ovey_light_two_way_switch" localSheetId="42">'[2]Break Down  '!#REF!</definedName>
    <definedName name="Extra_ovey_light_two_way_switch" localSheetId="65">'[2]Break Down  '!#REF!</definedName>
    <definedName name="Extra_ovey_light_two_way_switch" localSheetId="25">'[2]Break Down  '!#REF!</definedName>
    <definedName name="Extra_ovey_light_two_way_switch" localSheetId="23">'[2]Break Down  '!#REF!</definedName>
    <definedName name="Extra_ovey_light_two_way_switch">'[1]Break Down  '!#REF!</definedName>
    <definedName name="Extra_ovy_light_two_cutt_guage" localSheetId="30">'[2]Break Down  '!#REF!</definedName>
    <definedName name="Extra_ovy_light_two_cutt_guage" localSheetId="29">'[2]Break Down  '!#REF!</definedName>
    <definedName name="Extra_ovy_light_two_cutt_guage" localSheetId="35">'[2]Break Down  '!#REF!</definedName>
    <definedName name="Extra_ovy_light_two_cutt_guage" localSheetId="34">'[2]Break Down  '!#REF!</definedName>
    <definedName name="Extra_ovy_light_two_cutt_guage" localSheetId="66">'[1]Break Down  '!#REF!</definedName>
    <definedName name="Extra_ovy_light_two_cutt_guage" localSheetId="22">'[2]Break Down  '!#REF!</definedName>
    <definedName name="Extra_ovy_light_two_cutt_guage" localSheetId="24">'[2]Break Down  '!#REF!</definedName>
    <definedName name="Extra_ovy_light_two_cutt_guage" localSheetId="39">'[2]Break Down  '!#REF!</definedName>
    <definedName name="Extra_ovy_light_two_cutt_guage" localSheetId="40">'[2]Break Down  '!#REF!</definedName>
    <definedName name="Extra_ovy_light_two_cutt_guage" localSheetId="53">'[2]Break Down  '!#REF!</definedName>
    <definedName name="Extra_ovy_light_two_cutt_guage" localSheetId="54">'[2]Break Down  '!#REF!</definedName>
    <definedName name="Extra_ovy_light_two_cutt_guage" localSheetId="5">'[1]Break Down  '!#REF!</definedName>
    <definedName name="Extra_ovy_light_two_cutt_guage" localSheetId="3">'[2]Break Down  '!#REF!</definedName>
    <definedName name="Extra_ovy_light_two_cutt_guage" localSheetId="4">'[2]Break Down  '!#REF!</definedName>
    <definedName name="Extra_ovy_light_two_cutt_guage" localSheetId="48">'[2]Break Down  '!#REF!</definedName>
    <definedName name="Extra_ovy_light_two_cutt_guage" localSheetId="47">'[2]Break Down  '!#REF!</definedName>
    <definedName name="Extra_ovy_light_two_cutt_guage" localSheetId="52">'[1]Break Down  '!#REF!</definedName>
    <definedName name="Extra_ovy_light_two_cutt_guage" localSheetId="58">'[2]Break Down  '!#REF!</definedName>
    <definedName name="Extra_ovy_light_two_cutt_guage" localSheetId="59">'[2]Break Down  '!#REF!</definedName>
    <definedName name="Extra_ovy_light_two_cutt_guage" localSheetId="8">'[2]Break Down  '!#REF!</definedName>
    <definedName name="Extra_ovy_light_two_cutt_guage" localSheetId="17">'[2]Break Down  '!#REF!</definedName>
    <definedName name="Extra_ovy_light_two_cutt_guage" localSheetId="18">'[2]Break Down  '!#REF!</definedName>
    <definedName name="Extra_ovy_light_two_cutt_guage" localSheetId="63">'[2]Break Down  '!#REF!</definedName>
    <definedName name="Extra_ovy_light_two_cutt_guage" localSheetId="13">'[2]Break Down  '!#REF!</definedName>
    <definedName name="Extra_ovy_light_two_cutt_guage" localSheetId="12">'[2]Break Down  '!#REF!</definedName>
    <definedName name="Extra_ovy_light_two_cutt_guage" localSheetId="41">'[2]Break Down  '!#REF!</definedName>
    <definedName name="Extra_ovy_light_two_cutt_guage" localSheetId="42">'[2]Break Down  '!#REF!</definedName>
    <definedName name="Extra_ovy_light_two_cutt_guage" localSheetId="65">'[2]Break Down  '!#REF!</definedName>
    <definedName name="Extra_ovy_light_two_cutt_guage" localSheetId="25">'[2]Break Down  '!#REF!</definedName>
    <definedName name="Extra_ovy_light_two_cutt_guage" localSheetId="23">'[2]Break Down  '!#REF!</definedName>
    <definedName name="Extra_ovy_light_two_cutt_guage">'[1]Break Down  '!#REF!</definedName>
    <definedName name="FF" localSheetId="30">#REF!</definedName>
    <definedName name="FF" localSheetId="29">#REF!</definedName>
    <definedName name="FF" localSheetId="35">#REF!</definedName>
    <definedName name="FF" localSheetId="34">#REF!</definedName>
    <definedName name="FF" localSheetId="66">#REF!</definedName>
    <definedName name="FF" localSheetId="22">#REF!</definedName>
    <definedName name="FF" localSheetId="24">#REF!</definedName>
    <definedName name="FF" localSheetId="39">#REF!</definedName>
    <definedName name="FF" localSheetId="40">#REF!</definedName>
    <definedName name="FF" localSheetId="53">#REF!</definedName>
    <definedName name="FF" localSheetId="54">#REF!</definedName>
    <definedName name="FF" localSheetId="5">#REF!</definedName>
    <definedName name="FF" localSheetId="3">#REF!</definedName>
    <definedName name="FF" localSheetId="48">#REF!</definedName>
    <definedName name="FF" localSheetId="47">#REF!</definedName>
    <definedName name="FF" localSheetId="52">#REF!</definedName>
    <definedName name="FF" localSheetId="58">#REF!</definedName>
    <definedName name="FF" localSheetId="59">#REF!</definedName>
    <definedName name="FF" localSheetId="8">#REF!</definedName>
    <definedName name="FF" localSheetId="17">#REF!</definedName>
    <definedName name="FF" localSheetId="18">#REF!</definedName>
    <definedName name="FF" localSheetId="63">#REF!</definedName>
    <definedName name="FF" localSheetId="13">#REF!</definedName>
    <definedName name="FF" localSheetId="12">#REF!</definedName>
    <definedName name="FF" localSheetId="41">#REF!</definedName>
    <definedName name="FF" localSheetId="42">#REF!</definedName>
    <definedName name="FF" localSheetId="65">#REF!</definedName>
    <definedName name="FF" localSheetId="25">#REF!</definedName>
    <definedName name="FF" localSheetId="23">#REF!</definedName>
    <definedName name="FF">#REF!</definedName>
    <definedName name="ficotp" localSheetId="30">#REF!</definedName>
    <definedName name="ficotp" localSheetId="29">#REF!</definedName>
    <definedName name="ficotp" localSheetId="35">#REF!</definedName>
    <definedName name="ficotp" localSheetId="34">#REF!</definedName>
    <definedName name="ficotp" localSheetId="66">#REF!</definedName>
    <definedName name="ficotp" localSheetId="22">#REF!</definedName>
    <definedName name="ficotp" localSheetId="24">#REF!</definedName>
    <definedName name="ficotp" localSheetId="39">#REF!</definedName>
    <definedName name="ficotp" localSheetId="40">#REF!</definedName>
    <definedName name="ficotp" localSheetId="53">#REF!</definedName>
    <definedName name="ficotp" localSheetId="54">#REF!</definedName>
    <definedName name="ficotp" localSheetId="5">#REF!</definedName>
    <definedName name="ficotp" localSheetId="3">#REF!</definedName>
    <definedName name="ficotp" localSheetId="48">#REF!</definedName>
    <definedName name="ficotp" localSheetId="47">#REF!</definedName>
    <definedName name="ficotp" localSheetId="52">#REF!</definedName>
    <definedName name="ficotp" localSheetId="58">#REF!</definedName>
    <definedName name="ficotp" localSheetId="59">#REF!</definedName>
    <definedName name="ficotp" localSheetId="8">#REF!</definedName>
    <definedName name="ficotp" localSheetId="17">#REF!</definedName>
    <definedName name="ficotp" localSheetId="18">#REF!</definedName>
    <definedName name="ficotp" localSheetId="63">#REF!</definedName>
    <definedName name="ficotp" localSheetId="13">#REF!</definedName>
    <definedName name="ficotp" localSheetId="12">#REF!</definedName>
    <definedName name="ficotp" localSheetId="41">#REF!</definedName>
    <definedName name="ficotp" localSheetId="42">#REF!</definedName>
    <definedName name="ficotp" localSheetId="65">#REF!</definedName>
    <definedName name="ficotp" localSheetId="25">#REF!</definedName>
    <definedName name="ficotp" localSheetId="23">#REF!</definedName>
    <definedName name="ficotp">#REF!</definedName>
    <definedName name="firealarmcontrolpanel" localSheetId="30">#REF!</definedName>
    <definedName name="firealarmcontrolpanel" localSheetId="29">#REF!</definedName>
    <definedName name="firealarmcontrolpanel" localSheetId="35">#REF!</definedName>
    <definedName name="firealarmcontrolpanel" localSheetId="34">#REF!</definedName>
    <definedName name="firealarmcontrolpanel" localSheetId="66">#REF!</definedName>
    <definedName name="firealarmcontrolpanel" localSheetId="22">#REF!</definedName>
    <definedName name="firealarmcontrolpanel" localSheetId="24">#REF!</definedName>
    <definedName name="firealarmcontrolpanel" localSheetId="39">#REF!</definedName>
    <definedName name="firealarmcontrolpanel" localSheetId="40">#REF!</definedName>
    <definedName name="firealarmcontrolpanel" localSheetId="53">#REF!</definedName>
    <definedName name="firealarmcontrolpanel" localSheetId="54">#REF!</definedName>
    <definedName name="firealarmcontrolpanel" localSheetId="5">#REF!</definedName>
    <definedName name="firealarmcontrolpanel" localSheetId="3">#REF!</definedName>
    <definedName name="firealarmcontrolpanel" localSheetId="48">#REF!</definedName>
    <definedName name="firealarmcontrolpanel" localSheetId="47">#REF!</definedName>
    <definedName name="firealarmcontrolpanel" localSheetId="52">#REF!</definedName>
    <definedName name="firealarmcontrolpanel" localSheetId="58">#REF!</definedName>
    <definedName name="firealarmcontrolpanel" localSheetId="59">#REF!</definedName>
    <definedName name="firealarmcontrolpanel" localSheetId="8">#REF!</definedName>
    <definedName name="firealarmcontrolpanel" localSheetId="17">#REF!</definedName>
    <definedName name="firealarmcontrolpanel" localSheetId="18">#REF!</definedName>
    <definedName name="firealarmcontrolpanel" localSheetId="63">#REF!</definedName>
    <definedName name="firealarmcontrolpanel" localSheetId="13">#REF!</definedName>
    <definedName name="firealarmcontrolpanel" localSheetId="12">#REF!</definedName>
    <definedName name="firealarmcontrolpanel" localSheetId="41">#REF!</definedName>
    <definedName name="firealarmcontrolpanel" localSheetId="42">#REF!</definedName>
    <definedName name="firealarmcontrolpanel" localSheetId="65">#REF!</definedName>
    <definedName name="firealarmcontrolpanel" localSheetId="25">#REF!</definedName>
    <definedName name="firealarmcontrolpanel" localSheetId="23">#REF!</definedName>
    <definedName name="firealarmcontrolpanel">#REF!</definedName>
    <definedName name="floatswitch" localSheetId="30">#REF!</definedName>
    <definedName name="floatswitch" localSheetId="29">#REF!</definedName>
    <definedName name="floatswitch" localSheetId="35">#REF!</definedName>
    <definedName name="floatswitch" localSheetId="34">#REF!</definedName>
    <definedName name="floatswitch" localSheetId="66">#REF!</definedName>
    <definedName name="floatswitch" localSheetId="22">#REF!</definedName>
    <definedName name="floatswitch" localSheetId="24">#REF!</definedName>
    <definedName name="floatswitch" localSheetId="39">#REF!</definedName>
    <definedName name="floatswitch" localSheetId="40">#REF!</definedName>
    <definedName name="floatswitch" localSheetId="53">#REF!</definedName>
    <definedName name="floatswitch" localSheetId="54">#REF!</definedName>
    <definedName name="floatswitch" localSheetId="5">#REF!</definedName>
    <definedName name="floatswitch" localSheetId="3">#REF!</definedName>
    <definedName name="floatswitch" localSheetId="48">#REF!</definedName>
    <definedName name="floatswitch" localSheetId="47">#REF!</definedName>
    <definedName name="floatswitch" localSheetId="52">#REF!</definedName>
    <definedName name="floatswitch" localSheetId="58">#REF!</definedName>
    <definedName name="floatswitch" localSheetId="59">#REF!</definedName>
    <definedName name="floatswitch" localSheetId="8">#REF!</definedName>
    <definedName name="floatswitch" localSheetId="17">#REF!</definedName>
    <definedName name="floatswitch" localSheetId="18">#REF!</definedName>
    <definedName name="floatswitch" localSheetId="63">#REF!</definedName>
    <definedName name="floatswitch" localSheetId="13">#REF!</definedName>
    <definedName name="floatswitch" localSheetId="12">#REF!</definedName>
    <definedName name="floatswitch" localSheetId="41">#REF!</definedName>
    <definedName name="floatswitch" localSheetId="42">#REF!</definedName>
    <definedName name="floatswitch" localSheetId="65">#REF!</definedName>
    <definedName name="floatswitch" localSheetId="25">#REF!</definedName>
    <definedName name="floatswitch" localSheetId="23">#REF!</definedName>
    <definedName name="floatswitch">#REF!</definedName>
    <definedName name="Floor_drains_cast_iron_dia.100mm" localSheetId="30">'[2]Break Down  '!#REF!</definedName>
    <definedName name="Floor_drains_cast_iron_dia.100mm" localSheetId="29">'[2]Break Down  '!#REF!</definedName>
    <definedName name="Floor_drains_cast_iron_dia.100mm" localSheetId="35">'[2]Break Down  '!#REF!</definedName>
    <definedName name="Floor_drains_cast_iron_dia.100mm" localSheetId="34">'[2]Break Down  '!#REF!</definedName>
    <definedName name="Floor_drains_cast_iron_dia.100mm" localSheetId="66">'[1]Break Down  '!#REF!</definedName>
    <definedName name="Floor_drains_cast_iron_dia.100mm" localSheetId="22">'[2]Break Down  '!#REF!</definedName>
    <definedName name="Floor_drains_cast_iron_dia.100mm" localSheetId="24">'[2]Break Down  '!#REF!</definedName>
    <definedName name="Floor_drains_cast_iron_dia.100mm" localSheetId="39">'[2]Break Down  '!#REF!</definedName>
    <definedName name="Floor_drains_cast_iron_dia.100mm" localSheetId="40">'[2]Break Down  '!#REF!</definedName>
    <definedName name="Floor_drains_cast_iron_dia.100mm" localSheetId="53">'[2]Break Down  '!#REF!</definedName>
    <definedName name="Floor_drains_cast_iron_dia.100mm" localSheetId="54">'[2]Break Down  '!#REF!</definedName>
    <definedName name="Floor_drains_cast_iron_dia.100mm" localSheetId="5">'[1]Break Down  '!#REF!</definedName>
    <definedName name="Floor_drains_cast_iron_dia.100mm" localSheetId="3">'[2]Break Down  '!#REF!</definedName>
    <definedName name="Floor_drains_cast_iron_dia.100mm" localSheetId="4">'[2]Break Down  '!#REF!</definedName>
    <definedName name="Floor_drains_cast_iron_dia.100mm" localSheetId="48">'[2]Break Down  '!#REF!</definedName>
    <definedName name="Floor_drains_cast_iron_dia.100mm" localSheetId="47">'[2]Break Down  '!#REF!</definedName>
    <definedName name="Floor_drains_cast_iron_dia.100mm" localSheetId="52">'[1]Break Down  '!#REF!</definedName>
    <definedName name="Floor_drains_cast_iron_dia.100mm" localSheetId="58">'[2]Break Down  '!#REF!</definedName>
    <definedName name="Floor_drains_cast_iron_dia.100mm" localSheetId="59">'[2]Break Down  '!#REF!</definedName>
    <definedName name="Floor_drains_cast_iron_dia.100mm" localSheetId="8">'[2]Break Down  '!#REF!</definedName>
    <definedName name="Floor_drains_cast_iron_dia.100mm" localSheetId="17">'[2]Break Down  '!#REF!</definedName>
    <definedName name="Floor_drains_cast_iron_dia.100mm" localSheetId="18">'[2]Break Down  '!#REF!</definedName>
    <definedName name="Floor_drains_cast_iron_dia.100mm" localSheetId="63">'[2]Break Down  '!#REF!</definedName>
    <definedName name="Floor_drains_cast_iron_dia.100mm" localSheetId="13">'[2]Break Down  '!#REF!</definedName>
    <definedName name="Floor_drains_cast_iron_dia.100mm" localSheetId="12">'[2]Break Down  '!#REF!</definedName>
    <definedName name="Floor_drains_cast_iron_dia.100mm" localSheetId="41">'[2]Break Down  '!#REF!</definedName>
    <definedName name="Floor_drains_cast_iron_dia.100mm" localSheetId="42">'[2]Break Down  '!#REF!</definedName>
    <definedName name="Floor_drains_cast_iron_dia.100mm" localSheetId="65">'[2]Break Down  '!#REF!</definedName>
    <definedName name="Floor_drains_cast_iron_dia.100mm" localSheetId="25">'[2]Break Down  '!#REF!</definedName>
    <definedName name="Floor_drains_cast_iron_dia.100mm" localSheetId="23">'[2]Break Down  '!#REF!</definedName>
    <definedName name="Floor_drains_cast_iron_dia.100mm">'[1]Break Down  '!#REF!</definedName>
    <definedName name="floorbox" localSheetId="30">#REF!</definedName>
    <definedName name="floorbox" localSheetId="29">#REF!</definedName>
    <definedName name="floorbox" localSheetId="35">#REF!</definedName>
    <definedName name="floorbox" localSheetId="34">#REF!</definedName>
    <definedName name="floorbox" localSheetId="66">#REF!</definedName>
    <definedName name="floorbox" localSheetId="22">#REF!</definedName>
    <definedName name="floorbox" localSheetId="24">#REF!</definedName>
    <definedName name="floorbox" localSheetId="39">#REF!</definedName>
    <definedName name="floorbox" localSheetId="40">#REF!</definedName>
    <definedName name="floorbox" localSheetId="53">#REF!</definedName>
    <definedName name="floorbox" localSheetId="54">#REF!</definedName>
    <definedName name="floorbox" localSheetId="5">#REF!</definedName>
    <definedName name="floorbox" localSheetId="3">#REF!</definedName>
    <definedName name="floorbox" localSheetId="48">#REF!</definedName>
    <definedName name="floorbox" localSheetId="47">#REF!</definedName>
    <definedName name="floorbox" localSheetId="52">#REF!</definedName>
    <definedName name="floorbox" localSheetId="58">#REF!</definedName>
    <definedName name="floorbox" localSheetId="59">#REF!</definedName>
    <definedName name="floorbox" localSheetId="8">#REF!</definedName>
    <definedName name="floorbox" localSheetId="17">#REF!</definedName>
    <definedName name="floorbox" localSheetId="18">#REF!</definedName>
    <definedName name="floorbox" localSheetId="63">#REF!</definedName>
    <definedName name="floorbox" localSheetId="13">#REF!</definedName>
    <definedName name="floorbox" localSheetId="12">#REF!</definedName>
    <definedName name="floorbox" localSheetId="41">#REF!</definedName>
    <definedName name="floorbox" localSheetId="42">#REF!</definedName>
    <definedName name="floorbox" localSheetId="65">#REF!</definedName>
    <definedName name="floorbox" localSheetId="25">#REF!</definedName>
    <definedName name="floorbox" localSheetId="23">#REF!</definedName>
    <definedName name="floorbox">#REF!</definedName>
    <definedName name="flortil" localSheetId="30">#REF!</definedName>
    <definedName name="flortil" localSheetId="29">#REF!</definedName>
    <definedName name="flortil" localSheetId="35">#REF!</definedName>
    <definedName name="flortil" localSheetId="34">#REF!</definedName>
    <definedName name="flortil" localSheetId="66">#REF!</definedName>
    <definedName name="flortil" localSheetId="22">#REF!</definedName>
    <definedName name="flortil" localSheetId="24">#REF!</definedName>
    <definedName name="flortil" localSheetId="39">#REF!</definedName>
    <definedName name="flortil" localSheetId="40">#REF!</definedName>
    <definedName name="flortil" localSheetId="53">#REF!</definedName>
    <definedName name="flortil" localSheetId="54">#REF!</definedName>
    <definedName name="flortil" localSheetId="5">#REF!</definedName>
    <definedName name="flortil" localSheetId="3">#REF!</definedName>
    <definedName name="flortil" localSheetId="48">#REF!</definedName>
    <definedName name="flortil" localSheetId="47">#REF!</definedName>
    <definedName name="flortil" localSheetId="52">#REF!</definedName>
    <definedName name="flortil" localSheetId="58">#REF!</definedName>
    <definedName name="flortil" localSheetId="59">#REF!</definedName>
    <definedName name="flortil" localSheetId="8">#REF!</definedName>
    <definedName name="flortil" localSheetId="17">#REF!</definedName>
    <definedName name="flortil" localSheetId="18">#REF!</definedName>
    <definedName name="flortil" localSheetId="63">#REF!</definedName>
    <definedName name="flortil" localSheetId="13">#REF!</definedName>
    <definedName name="flortil" localSheetId="12">#REF!</definedName>
    <definedName name="flortil" localSheetId="41">#REF!</definedName>
    <definedName name="flortil" localSheetId="42">#REF!</definedName>
    <definedName name="flortil" localSheetId="65">#REF!</definedName>
    <definedName name="flortil" localSheetId="25">#REF!</definedName>
    <definedName name="flortil" localSheetId="23">#REF!</definedName>
    <definedName name="flortil">#REF!</definedName>
    <definedName name="flushpanel12acb" localSheetId="30">#REF!</definedName>
    <definedName name="flushpanel12acb" localSheetId="29">#REF!</definedName>
    <definedName name="flushpanel12acb" localSheetId="35">#REF!</definedName>
    <definedName name="flushpanel12acb" localSheetId="34">#REF!</definedName>
    <definedName name="flushpanel12acb" localSheetId="66">#REF!</definedName>
    <definedName name="flushpanel12acb" localSheetId="22">#REF!</definedName>
    <definedName name="flushpanel12acb" localSheetId="24">#REF!</definedName>
    <definedName name="flushpanel12acb" localSheetId="39">#REF!</definedName>
    <definedName name="flushpanel12acb" localSheetId="40">#REF!</definedName>
    <definedName name="flushpanel12acb" localSheetId="53">#REF!</definedName>
    <definedName name="flushpanel12acb" localSheetId="54">#REF!</definedName>
    <definedName name="flushpanel12acb" localSheetId="5">#REF!</definedName>
    <definedName name="flushpanel12acb" localSheetId="3">#REF!</definedName>
    <definedName name="flushpanel12acb" localSheetId="48">#REF!</definedName>
    <definedName name="flushpanel12acb" localSheetId="47">#REF!</definedName>
    <definedName name="flushpanel12acb" localSheetId="52">#REF!</definedName>
    <definedName name="flushpanel12acb" localSheetId="58">#REF!</definedName>
    <definedName name="flushpanel12acb" localSheetId="59">#REF!</definedName>
    <definedName name="flushpanel12acb" localSheetId="8">#REF!</definedName>
    <definedName name="flushpanel12acb" localSheetId="17">#REF!</definedName>
    <definedName name="flushpanel12acb" localSheetId="18">#REF!</definedName>
    <definedName name="flushpanel12acb" localSheetId="63">#REF!</definedName>
    <definedName name="flushpanel12acb" localSheetId="13">#REF!</definedName>
    <definedName name="flushpanel12acb" localSheetId="12">#REF!</definedName>
    <definedName name="flushpanel12acb" localSheetId="41">#REF!</definedName>
    <definedName name="flushpanel12acb" localSheetId="42">#REF!</definedName>
    <definedName name="flushpanel12acb" localSheetId="65">#REF!</definedName>
    <definedName name="flushpanel12acb" localSheetId="25">#REF!</definedName>
    <definedName name="flushpanel12acb" localSheetId="23">#REF!</definedName>
    <definedName name="flushpanel12acb">#REF!</definedName>
    <definedName name="flushpanel15acb" localSheetId="30">#REF!</definedName>
    <definedName name="flushpanel15acb" localSheetId="29">#REF!</definedName>
    <definedName name="flushpanel15acb" localSheetId="35">#REF!</definedName>
    <definedName name="flushpanel15acb" localSheetId="34">#REF!</definedName>
    <definedName name="flushpanel15acb" localSheetId="66">#REF!</definedName>
    <definedName name="flushpanel15acb" localSheetId="22">#REF!</definedName>
    <definedName name="flushpanel15acb" localSheetId="24">#REF!</definedName>
    <definedName name="flushpanel15acb" localSheetId="39">#REF!</definedName>
    <definedName name="flushpanel15acb" localSheetId="40">#REF!</definedName>
    <definedName name="flushpanel15acb" localSheetId="53">#REF!</definedName>
    <definedName name="flushpanel15acb" localSheetId="54">#REF!</definedName>
    <definedName name="flushpanel15acb" localSheetId="5">#REF!</definedName>
    <definedName name="flushpanel15acb" localSheetId="3">#REF!</definedName>
    <definedName name="flushpanel15acb" localSheetId="48">#REF!</definedName>
    <definedName name="flushpanel15acb" localSheetId="47">#REF!</definedName>
    <definedName name="flushpanel15acb" localSheetId="52">#REF!</definedName>
    <definedName name="flushpanel15acb" localSheetId="58">#REF!</definedName>
    <definedName name="flushpanel15acb" localSheetId="59">#REF!</definedName>
    <definedName name="flushpanel15acb" localSheetId="8">#REF!</definedName>
    <definedName name="flushpanel15acb" localSheetId="17">#REF!</definedName>
    <definedName name="flushpanel15acb" localSheetId="18">#REF!</definedName>
    <definedName name="flushpanel15acb" localSheetId="63">#REF!</definedName>
    <definedName name="flushpanel15acb" localSheetId="13">#REF!</definedName>
    <definedName name="flushpanel15acb" localSheetId="12">#REF!</definedName>
    <definedName name="flushpanel15acb" localSheetId="41">#REF!</definedName>
    <definedName name="flushpanel15acb" localSheetId="42">#REF!</definedName>
    <definedName name="flushpanel15acb" localSheetId="65">#REF!</definedName>
    <definedName name="flushpanel15acb" localSheetId="25">#REF!</definedName>
    <definedName name="flushpanel15acb" localSheetId="23">#REF!</definedName>
    <definedName name="flushpanel15acb">#REF!</definedName>
    <definedName name="flushpanel24acb" localSheetId="30">#REF!</definedName>
    <definedName name="flushpanel24acb" localSheetId="29">#REF!</definedName>
    <definedName name="flushpanel24acb" localSheetId="35">#REF!</definedName>
    <definedName name="flushpanel24acb" localSheetId="34">#REF!</definedName>
    <definedName name="flushpanel24acb" localSheetId="66">#REF!</definedName>
    <definedName name="flushpanel24acb" localSheetId="22">#REF!</definedName>
    <definedName name="flushpanel24acb" localSheetId="24">#REF!</definedName>
    <definedName name="flushpanel24acb" localSheetId="39">#REF!</definedName>
    <definedName name="flushpanel24acb" localSheetId="40">#REF!</definedName>
    <definedName name="flushpanel24acb" localSheetId="53">#REF!</definedName>
    <definedName name="flushpanel24acb" localSheetId="54">#REF!</definedName>
    <definedName name="flushpanel24acb" localSheetId="5">#REF!</definedName>
    <definedName name="flushpanel24acb" localSheetId="3">#REF!</definedName>
    <definedName name="flushpanel24acb" localSheetId="48">#REF!</definedName>
    <definedName name="flushpanel24acb" localSheetId="47">#REF!</definedName>
    <definedName name="flushpanel24acb" localSheetId="52">#REF!</definedName>
    <definedName name="flushpanel24acb" localSheetId="58">#REF!</definedName>
    <definedName name="flushpanel24acb" localSheetId="59">#REF!</definedName>
    <definedName name="flushpanel24acb" localSheetId="8">#REF!</definedName>
    <definedName name="flushpanel24acb" localSheetId="17">#REF!</definedName>
    <definedName name="flushpanel24acb" localSheetId="18">#REF!</definedName>
    <definedName name="flushpanel24acb" localSheetId="63">#REF!</definedName>
    <definedName name="flushpanel24acb" localSheetId="13">#REF!</definedName>
    <definedName name="flushpanel24acb" localSheetId="12">#REF!</definedName>
    <definedName name="flushpanel24acb" localSheetId="41">#REF!</definedName>
    <definedName name="flushpanel24acb" localSheetId="42">#REF!</definedName>
    <definedName name="flushpanel24acb" localSheetId="65">#REF!</definedName>
    <definedName name="flushpanel24acb" localSheetId="25">#REF!</definedName>
    <definedName name="flushpanel24acb" localSheetId="23">#REF!</definedName>
    <definedName name="flushpanel24acb">#REF!</definedName>
    <definedName name="flushpanel36acb" localSheetId="30">#REF!</definedName>
    <definedName name="flushpanel36acb" localSheetId="29">#REF!</definedName>
    <definedName name="flushpanel36acb" localSheetId="35">#REF!</definedName>
    <definedName name="flushpanel36acb" localSheetId="34">#REF!</definedName>
    <definedName name="flushpanel36acb" localSheetId="66">#REF!</definedName>
    <definedName name="flushpanel36acb" localSheetId="22">#REF!</definedName>
    <definedName name="flushpanel36acb" localSheetId="24">#REF!</definedName>
    <definedName name="flushpanel36acb" localSheetId="39">#REF!</definedName>
    <definedName name="flushpanel36acb" localSheetId="40">#REF!</definedName>
    <definedName name="flushpanel36acb" localSheetId="53">#REF!</definedName>
    <definedName name="flushpanel36acb" localSheetId="54">#REF!</definedName>
    <definedName name="flushpanel36acb" localSheetId="5">#REF!</definedName>
    <definedName name="flushpanel36acb" localSheetId="3">#REF!</definedName>
    <definedName name="flushpanel36acb" localSheetId="48">#REF!</definedName>
    <definedName name="flushpanel36acb" localSheetId="47">#REF!</definedName>
    <definedName name="flushpanel36acb" localSheetId="52">#REF!</definedName>
    <definedName name="flushpanel36acb" localSheetId="58">#REF!</definedName>
    <definedName name="flushpanel36acb" localSheetId="59">#REF!</definedName>
    <definedName name="flushpanel36acb" localSheetId="8">#REF!</definedName>
    <definedName name="flushpanel36acb" localSheetId="17">#REF!</definedName>
    <definedName name="flushpanel36acb" localSheetId="18">#REF!</definedName>
    <definedName name="flushpanel36acb" localSheetId="63">#REF!</definedName>
    <definedName name="flushpanel36acb" localSheetId="13">#REF!</definedName>
    <definedName name="flushpanel36acb" localSheetId="12">#REF!</definedName>
    <definedName name="flushpanel36acb" localSheetId="41">#REF!</definedName>
    <definedName name="flushpanel36acb" localSheetId="42">#REF!</definedName>
    <definedName name="flushpanel36acb" localSheetId="65">#REF!</definedName>
    <definedName name="flushpanel36acb" localSheetId="25">#REF!</definedName>
    <definedName name="flushpanel36acb" localSheetId="23">#REF!</definedName>
    <definedName name="flushpanel36acb">#REF!</definedName>
    <definedName name="flushpanel48acb" localSheetId="30">#REF!</definedName>
    <definedName name="flushpanel48acb" localSheetId="29">#REF!</definedName>
    <definedName name="flushpanel48acb" localSheetId="35">#REF!</definedName>
    <definedName name="flushpanel48acb" localSheetId="34">#REF!</definedName>
    <definedName name="flushpanel48acb" localSheetId="66">#REF!</definedName>
    <definedName name="flushpanel48acb" localSheetId="22">#REF!</definedName>
    <definedName name="flushpanel48acb" localSheetId="24">#REF!</definedName>
    <definedName name="flushpanel48acb" localSheetId="39">#REF!</definedName>
    <definedName name="flushpanel48acb" localSheetId="40">#REF!</definedName>
    <definedName name="flushpanel48acb" localSheetId="53">#REF!</definedName>
    <definedName name="flushpanel48acb" localSheetId="54">#REF!</definedName>
    <definedName name="flushpanel48acb" localSheetId="5">#REF!</definedName>
    <definedName name="flushpanel48acb" localSheetId="3">#REF!</definedName>
    <definedName name="flushpanel48acb" localSheetId="48">#REF!</definedName>
    <definedName name="flushpanel48acb" localSheetId="47">#REF!</definedName>
    <definedName name="flushpanel48acb" localSheetId="52">#REF!</definedName>
    <definedName name="flushpanel48acb" localSheetId="58">#REF!</definedName>
    <definedName name="flushpanel48acb" localSheetId="59">#REF!</definedName>
    <definedName name="flushpanel48acb" localSheetId="8">#REF!</definedName>
    <definedName name="flushpanel48acb" localSheetId="17">#REF!</definedName>
    <definedName name="flushpanel48acb" localSheetId="18">#REF!</definedName>
    <definedName name="flushpanel48acb" localSheetId="63">#REF!</definedName>
    <definedName name="flushpanel48acb" localSheetId="13">#REF!</definedName>
    <definedName name="flushpanel48acb" localSheetId="12">#REF!</definedName>
    <definedName name="flushpanel48acb" localSheetId="41">#REF!</definedName>
    <definedName name="flushpanel48acb" localSheetId="42">#REF!</definedName>
    <definedName name="flushpanel48acb" localSheetId="65">#REF!</definedName>
    <definedName name="flushpanel48acb" localSheetId="25">#REF!</definedName>
    <definedName name="flushpanel48acb" localSheetId="23">#REF!</definedName>
    <definedName name="flushpanel48acb">#REF!</definedName>
    <definedName name="flushpanel4acb" localSheetId="30">#REF!</definedName>
    <definedName name="flushpanel4acb" localSheetId="29">#REF!</definedName>
    <definedName name="flushpanel4acb" localSheetId="35">#REF!</definedName>
    <definedName name="flushpanel4acb" localSheetId="34">#REF!</definedName>
    <definedName name="flushpanel4acb" localSheetId="66">#REF!</definedName>
    <definedName name="flushpanel4acb" localSheetId="22">#REF!</definedName>
    <definedName name="flushpanel4acb" localSheetId="24">#REF!</definedName>
    <definedName name="flushpanel4acb" localSheetId="39">#REF!</definedName>
    <definedName name="flushpanel4acb" localSheetId="40">#REF!</definedName>
    <definedName name="flushpanel4acb" localSheetId="53">#REF!</definedName>
    <definedName name="flushpanel4acb" localSheetId="54">#REF!</definedName>
    <definedName name="flushpanel4acb" localSheetId="5">#REF!</definedName>
    <definedName name="flushpanel4acb" localSheetId="3">#REF!</definedName>
    <definedName name="flushpanel4acb" localSheetId="48">#REF!</definedName>
    <definedName name="flushpanel4acb" localSheetId="47">#REF!</definedName>
    <definedName name="flushpanel4acb" localSheetId="52">#REF!</definedName>
    <definedName name="flushpanel4acb" localSheetId="58">#REF!</definedName>
    <definedName name="flushpanel4acb" localSheetId="59">#REF!</definedName>
    <definedName name="flushpanel4acb" localSheetId="8">#REF!</definedName>
    <definedName name="flushpanel4acb" localSheetId="17">#REF!</definedName>
    <definedName name="flushpanel4acb" localSheetId="18">#REF!</definedName>
    <definedName name="flushpanel4acb" localSheetId="63">#REF!</definedName>
    <definedName name="flushpanel4acb" localSheetId="13">#REF!</definedName>
    <definedName name="flushpanel4acb" localSheetId="12">#REF!</definedName>
    <definedName name="flushpanel4acb" localSheetId="41">#REF!</definedName>
    <definedName name="flushpanel4acb" localSheetId="42">#REF!</definedName>
    <definedName name="flushpanel4acb" localSheetId="65">#REF!</definedName>
    <definedName name="flushpanel4acb" localSheetId="25">#REF!</definedName>
    <definedName name="flushpanel4acb" localSheetId="23">#REF!</definedName>
    <definedName name="flushpanel4acb">#REF!</definedName>
    <definedName name="flushpanel6acb" localSheetId="30">#REF!</definedName>
    <definedName name="flushpanel6acb" localSheetId="29">#REF!</definedName>
    <definedName name="flushpanel6acb" localSheetId="35">#REF!</definedName>
    <definedName name="flushpanel6acb" localSheetId="34">#REF!</definedName>
    <definedName name="flushpanel6acb" localSheetId="66">#REF!</definedName>
    <definedName name="flushpanel6acb" localSheetId="22">#REF!</definedName>
    <definedName name="flushpanel6acb" localSheetId="24">#REF!</definedName>
    <definedName name="flushpanel6acb" localSheetId="39">#REF!</definedName>
    <definedName name="flushpanel6acb" localSheetId="40">#REF!</definedName>
    <definedName name="flushpanel6acb" localSheetId="53">#REF!</definedName>
    <definedName name="flushpanel6acb" localSheetId="54">#REF!</definedName>
    <definedName name="flushpanel6acb" localSheetId="5">#REF!</definedName>
    <definedName name="flushpanel6acb" localSheetId="3">#REF!</definedName>
    <definedName name="flushpanel6acb" localSheetId="48">#REF!</definedName>
    <definedName name="flushpanel6acb" localSheetId="47">#REF!</definedName>
    <definedName name="flushpanel6acb" localSheetId="52">#REF!</definedName>
    <definedName name="flushpanel6acb" localSheetId="58">#REF!</definedName>
    <definedName name="flushpanel6acb" localSheetId="59">#REF!</definedName>
    <definedName name="flushpanel6acb" localSheetId="8">#REF!</definedName>
    <definedName name="flushpanel6acb" localSheetId="17">#REF!</definedName>
    <definedName name="flushpanel6acb" localSheetId="18">#REF!</definedName>
    <definedName name="flushpanel6acb" localSheetId="63">#REF!</definedName>
    <definedName name="flushpanel6acb" localSheetId="13">#REF!</definedName>
    <definedName name="flushpanel6acb" localSheetId="12">#REF!</definedName>
    <definedName name="flushpanel6acb" localSheetId="41">#REF!</definedName>
    <definedName name="flushpanel6acb" localSheetId="42">#REF!</definedName>
    <definedName name="flushpanel6acb" localSheetId="65">#REF!</definedName>
    <definedName name="flushpanel6acb" localSheetId="25">#REF!</definedName>
    <definedName name="flushpanel6acb" localSheetId="23">#REF!</definedName>
    <definedName name="flushpanel6acb">#REF!</definedName>
    <definedName name="flushpanel8acb" localSheetId="30">#REF!</definedName>
    <definedName name="flushpanel8acb" localSheetId="29">#REF!</definedName>
    <definedName name="flushpanel8acb" localSheetId="35">#REF!</definedName>
    <definedName name="flushpanel8acb" localSheetId="34">#REF!</definedName>
    <definedName name="flushpanel8acb" localSheetId="66">#REF!</definedName>
    <definedName name="flushpanel8acb" localSheetId="22">#REF!</definedName>
    <definedName name="flushpanel8acb" localSheetId="24">#REF!</definedName>
    <definedName name="flushpanel8acb" localSheetId="39">#REF!</definedName>
    <definedName name="flushpanel8acb" localSheetId="40">#REF!</definedName>
    <definedName name="flushpanel8acb" localSheetId="53">#REF!</definedName>
    <definedName name="flushpanel8acb" localSheetId="54">#REF!</definedName>
    <definedName name="flushpanel8acb" localSheetId="5">#REF!</definedName>
    <definedName name="flushpanel8acb" localSheetId="3">#REF!</definedName>
    <definedName name="flushpanel8acb" localSheetId="48">#REF!</definedName>
    <definedName name="flushpanel8acb" localSheetId="47">#REF!</definedName>
    <definedName name="flushpanel8acb" localSheetId="52">#REF!</definedName>
    <definedName name="flushpanel8acb" localSheetId="58">#REF!</definedName>
    <definedName name="flushpanel8acb" localSheetId="59">#REF!</definedName>
    <definedName name="flushpanel8acb" localSheetId="8">#REF!</definedName>
    <definedName name="flushpanel8acb" localSheetId="17">#REF!</definedName>
    <definedName name="flushpanel8acb" localSheetId="18">#REF!</definedName>
    <definedName name="flushpanel8acb" localSheetId="63">#REF!</definedName>
    <definedName name="flushpanel8acb" localSheetId="13">#REF!</definedName>
    <definedName name="flushpanel8acb" localSheetId="12">#REF!</definedName>
    <definedName name="flushpanel8acb" localSheetId="41">#REF!</definedName>
    <definedName name="flushpanel8acb" localSheetId="42">#REF!</definedName>
    <definedName name="flushpanel8acb" localSheetId="65">#REF!</definedName>
    <definedName name="flushpanel8acb" localSheetId="25">#REF!</definedName>
    <definedName name="flushpanel8acb" localSheetId="23">#REF!</definedName>
    <definedName name="flushpanel8acb">#REF!</definedName>
    <definedName name="formw" localSheetId="30">#REF!</definedName>
    <definedName name="formw" localSheetId="29">#REF!</definedName>
    <definedName name="formw" localSheetId="35">#REF!</definedName>
    <definedName name="formw" localSheetId="34">#REF!</definedName>
    <definedName name="formw" localSheetId="66">#REF!</definedName>
    <definedName name="formw" localSheetId="22">#REF!</definedName>
    <definedName name="formw" localSheetId="24">#REF!</definedName>
    <definedName name="formw" localSheetId="39">#REF!</definedName>
    <definedName name="formw" localSheetId="40">#REF!</definedName>
    <definedName name="formw" localSheetId="53">#REF!</definedName>
    <definedName name="formw" localSheetId="54">#REF!</definedName>
    <definedName name="formw" localSheetId="5">#REF!</definedName>
    <definedName name="formw" localSheetId="3">#REF!</definedName>
    <definedName name="formw" localSheetId="48">#REF!</definedName>
    <definedName name="formw" localSheetId="47">#REF!</definedName>
    <definedName name="formw" localSheetId="52">#REF!</definedName>
    <definedName name="formw" localSheetId="58">#REF!</definedName>
    <definedName name="formw" localSheetId="59">#REF!</definedName>
    <definedName name="formw" localSheetId="8">#REF!</definedName>
    <definedName name="formw" localSheetId="17">#REF!</definedName>
    <definedName name="formw" localSheetId="18">#REF!</definedName>
    <definedName name="formw" localSheetId="63">#REF!</definedName>
    <definedName name="formw" localSheetId="13">#REF!</definedName>
    <definedName name="formw" localSheetId="12">#REF!</definedName>
    <definedName name="formw" localSheetId="41">#REF!</definedName>
    <definedName name="formw" localSheetId="42">#REF!</definedName>
    <definedName name="formw" localSheetId="65">#REF!</definedName>
    <definedName name="formw" localSheetId="25">#REF!</definedName>
    <definedName name="formw" localSheetId="23">#REF!</definedName>
    <definedName name="formw">#REF!</definedName>
    <definedName name="ftt" localSheetId="30">#REF!</definedName>
    <definedName name="ftt" localSheetId="29">#REF!</definedName>
    <definedName name="ftt" localSheetId="35">#REF!</definedName>
    <definedName name="ftt" localSheetId="34">#REF!</definedName>
    <definedName name="ftt" localSheetId="66">#REF!</definedName>
    <definedName name="ftt" localSheetId="22">#REF!</definedName>
    <definedName name="ftt" localSheetId="24">#REF!</definedName>
    <definedName name="ftt" localSheetId="39">#REF!</definedName>
    <definedName name="ftt" localSheetId="40">#REF!</definedName>
    <definedName name="ftt" localSheetId="53">#REF!</definedName>
    <definedName name="ftt" localSheetId="54">#REF!</definedName>
    <definedName name="ftt" localSheetId="5">#REF!</definedName>
    <definedName name="ftt" localSheetId="3">#REF!</definedName>
    <definedName name="ftt" localSheetId="48">#REF!</definedName>
    <definedName name="ftt" localSheetId="47">#REF!</definedName>
    <definedName name="ftt" localSheetId="52">#REF!</definedName>
    <definedName name="ftt" localSheetId="58">#REF!</definedName>
    <definedName name="ftt" localSheetId="59">#REF!</definedName>
    <definedName name="ftt" localSheetId="8">#REF!</definedName>
    <definedName name="ftt" localSheetId="17">#REF!</definedName>
    <definedName name="ftt" localSheetId="18">#REF!</definedName>
    <definedName name="ftt" localSheetId="63">#REF!</definedName>
    <definedName name="ftt" localSheetId="13">#REF!</definedName>
    <definedName name="ftt" localSheetId="12">#REF!</definedName>
    <definedName name="ftt" localSheetId="41">#REF!</definedName>
    <definedName name="ftt" localSheetId="42">#REF!</definedName>
    <definedName name="ftt" localSheetId="65">#REF!</definedName>
    <definedName name="ftt" localSheetId="25">#REF!</definedName>
    <definedName name="ftt" localSheetId="23">#REF!</definedName>
    <definedName name="ftt">#REF!</definedName>
    <definedName name="fusedswitch125a3p" localSheetId="30">#REF!</definedName>
    <definedName name="fusedswitch125a3p" localSheetId="29">#REF!</definedName>
    <definedName name="fusedswitch125a3p" localSheetId="35">#REF!</definedName>
    <definedName name="fusedswitch125a3p" localSheetId="34">#REF!</definedName>
    <definedName name="fusedswitch125a3p" localSheetId="66">#REF!</definedName>
    <definedName name="fusedswitch125a3p" localSheetId="22">#REF!</definedName>
    <definedName name="fusedswitch125a3p" localSheetId="24">#REF!</definedName>
    <definedName name="fusedswitch125a3p" localSheetId="39">#REF!</definedName>
    <definedName name="fusedswitch125a3p" localSheetId="40">#REF!</definedName>
    <definedName name="fusedswitch125a3p" localSheetId="53">#REF!</definedName>
    <definedName name="fusedswitch125a3p" localSheetId="54">#REF!</definedName>
    <definedName name="fusedswitch125a3p" localSheetId="5">#REF!</definedName>
    <definedName name="fusedswitch125a3p" localSheetId="3">#REF!</definedName>
    <definedName name="fusedswitch125a3p" localSheetId="48">#REF!</definedName>
    <definedName name="fusedswitch125a3p" localSheetId="47">#REF!</definedName>
    <definedName name="fusedswitch125a3p" localSheetId="52">#REF!</definedName>
    <definedName name="fusedswitch125a3p" localSheetId="58">#REF!</definedName>
    <definedName name="fusedswitch125a3p" localSheetId="59">#REF!</definedName>
    <definedName name="fusedswitch125a3p" localSheetId="8">#REF!</definedName>
    <definedName name="fusedswitch125a3p" localSheetId="17">#REF!</definedName>
    <definedName name="fusedswitch125a3p" localSheetId="18">#REF!</definedName>
    <definedName name="fusedswitch125a3p" localSheetId="63">#REF!</definedName>
    <definedName name="fusedswitch125a3p" localSheetId="13">#REF!</definedName>
    <definedName name="fusedswitch125a3p" localSheetId="12">#REF!</definedName>
    <definedName name="fusedswitch125a3p" localSheetId="41">#REF!</definedName>
    <definedName name="fusedswitch125a3p" localSheetId="42">#REF!</definedName>
    <definedName name="fusedswitch125a3p" localSheetId="65">#REF!</definedName>
    <definedName name="fusedswitch125a3p" localSheetId="25">#REF!</definedName>
    <definedName name="fusedswitch125a3p" localSheetId="23">#REF!</definedName>
    <definedName name="fusedswitch125a3p">#REF!</definedName>
    <definedName name="fusedswitch250a3p" localSheetId="30">#REF!</definedName>
    <definedName name="fusedswitch250a3p" localSheetId="29">#REF!</definedName>
    <definedName name="fusedswitch250a3p" localSheetId="35">#REF!</definedName>
    <definedName name="fusedswitch250a3p" localSheetId="34">#REF!</definedName>
    <definedName name="fusedswitch250a3p" localSheetId="66">#REF!</definedName>
    <definedName name="fusedswitch250a3p" localSheetId="22">#REF!</definedName>
    <definedName name="fusedswitch250a3p" localSheetId="24">#REF!</definedName>
    <definedName name="fusedswitch250a3p" localSheetId="39">#REF!</definedName>
    <definedName name="fusedswitch250a3p" localSheetId="40">#REF!</definedName>
    <definedName name="fusedswitch250a3p" localSheetId="53">#REF!</definedName>
    <definedName name="fusedswitch250a3p" localSheetId="54">#REF!</definedName>
    <definedName name="fusedswitch250a3p" localSheetId="5">#REF!</definedName>
    <definedName name="fusedswitch250a3p" localSheetId="3">#REF!</definedName>
    <definedName name="fusedswitch250a3p" localSheetId="48">#REF!</definedName>
    <definedName name="fusedswitch250a3p" localSheetId="47">#REF!</definedName>
    <definedName name="fusedswitch250a3p" localSheetId="52">#REF!</definedName>
    <definedName name="fusedswitch250a3p" localSheetId="58">#REF!</definedName>
    <definedName name="fusedswitch250a3p" localSheetId="59">#REF!</definedName>
    <definedName name="fusedswitch250a3p" localSheetId="8">#REF!</definedName>
    <definedName name="fusedswitch250a3p" localSheetId="17">#REF!</definedName>
    <definedName name="fusedswitch250a3p" localSheetId="18">#REF!</definedName>
    <definedName name="fusedswitch250a3p" localSheetId="63">#REF!</definedName>
    <definedName name="fusedswitch250a3p" localSheetId="13">#REF!</definedName>
    <definedName name="fusedswitch250a3p" localSheetId="12">#REF!</definedName>
    <definedName name="fusedswitch250a3p" localSheetId="41">#REF!</definedName>
    <definedName name="fusedswitch250a3p" localSheetId="42">#REF!</definedName>
    <definedName name="fusedswitch250a3p" localSheetId="65">#REF!</definedName>
    <definedName name="fusedswitch250a3p" localSheetId="25">#REF!</definedName>
    <definedName name="fusedswitch250a3p" localSheetId="23">#REF!</definedName>
    <definedName name="fusedswitch250a3p">#REF!</definedName>
    <definedName name="fusedswitch4003p" localSheetId="30">#REF!</definedName>
    <definedName name="fusedswitch4003p" localSheetId="29">#REF!</definedName>
    <definedName name="fusedswitch4003p" localSheetId="35">#REF!</definedName>
    <definedName name="fusedswitch4003p" localSheetId="34">#REF!</definedName>
    <definedName name="fusedswitch4003p" localSheetId="66">#REF!</definedName>
    <definedName name="fusedswitch4003p" localSheetId="22">#REF!</definedName>
    <definedName name="fusedswitch4003p" localSheetId="24">#REF!</definedName>
    <definedName name="fusedswitch4003p" localSheetId="39">#REF!</definedName>
    <definedName name="fusedswitch4003p" localSheetId="40">#REF!</definedName>
    <definedName name="fusedswitch4003p" localSheetId="53">#REF!</definedName>
    <definedName name="fusedswitch4003p" localSheetId="54">#REF!</definedName>
    <definedName name="fusedswitch4003p" localSheetId="5">#REF!</definedName>
    <definedName name="fusedswitch4003p" localSheetId="3">#REF!</definedName>
    <definedName name="fusedswitch4003p" localSheetId="48">#REF!</definedName>
    <definedName name="fusedswitch4003p" localSheetId="47">#REF!</definedName>
    <definedName name="fusedswitch4003p" localSheetId="52">#REF!</definedName>
    <definedName name="fusedswitch4003p" localSheetId="58">#REF!</definedName>
    <definedName name="fusedswitch4003p" localSheetId="59">#REF!</definedName>
    <definedName name="fusedswitch4003p" localSheetId="8">#REF!</definedName>
    <definedName name="fusedswitch4003p" localSheetId="17">#REF!</definedName>
    <definedName name="fusedswitch4003p" localSheetId="18">#REF!</definedName>
    <definedName name="fusedswitch4003p" localSheetId="63">#REF!</definedName>
    <definedName name="fusedswitch4003p" localSheetId="13">#REF!</definedName>
    <definedName name="fusedswitch4003p" localSheetId="12">#REF!</definedName>
    <definedName name="fusedswitch4003p" localSheetId="41">#REF!</definedName>
    <definedName name="fusedswitch4003p" localSheetId="42">#REF!</definedName>
    <definedName name="fusedswitch4003p" localSheetId="65">#REF!</definedName>
    <definedName name="fusedswitch4003p" localSheetId="25">#REF!</definedName>
    <definedName name="fusedswitch4003p" localSheetId="23">#REF!</definedName>
    <definedName name="fusedswitch4003p">#REF!</definedName>
    <definedName name="fusedswitch630a3p" localSheetId="30">#REF!</definedName>
    <definedName name="fusedswitch630a3p" localSheetId="29">#REF!</definedName>
    <definedName name="fusedswitch630a3p" localSheetId="35">#REF!</definedName>
    <definedName name="fusedswitch630a3p" localSheetId="34">#REF!</definedName>
    <definedName name="fusedswitch630a3p" localSheetId="66">#REF!</definedName>
    <definedName name="fusedswitch630a3p" localSheetId="22">#REF!</definedName>
    <definedName name="fusedswitch630a3p" localSheetId="24">#REF!</definedName>
    <definedName name="fusedswitch630a3p" localSheetId="39">#REF!</definedName>
    <definedName name="fusedswitch630a3p" localSheetId="40">#REF!</definedName>
    <definedName name="fusedswitch630a3p" localSheetId="53">#REF!</definedName>
    <definedName name="fusedswitch630a3p" localSheetId="54">#REF!</definedName>
    <definedName name="fusedswitch630a3p" localSheetId="5">#REF!</definedName>
    <definedName name="fusedswitch630a3p" localSheetId="3">#REF!</definedName>
    <definedName name="fusedswitch630a3p" localSheetId="48">#REF!</definedName>
    <definedName name="fusedswitch630a3p" localSheetId="47">#REF!</definedName>
    <definedName name="fusedswitch630a3p" localSheetId="52">#REF!</definedName>
    <definedName name="fusedswitch630a3p" localSheetId="58">#REF!</definedName>
    <definedName name="fusedswitch630a3p" localSheetId="59">#REF!</definedName>
    <definedName name="fusedswitch630a3p" localSheetId="8">#REF!</definedName>
    <definedName name="fusedswitch630a3p" localSheetId="17">#REF!</definedName>
    <definedName name="fusedswitch630a3p" localSheetId="18">#REF!</definedName>
    <definedName name="fusedswitch630a3p" localSheetId="63">#REF!</definedName>
    <definedName name="fusedswitch630a3p" localSheetId="13">#REF!</definedName>
    <definedName name="fusedswitch630a3p" localSheetId="12">#REF!</definedName>
    <definedName name="fusedswitch630a3p" localSheetId="41">#REF!</definedName>
    <definedName name="fusedswitch630a3p" localSheetId="42">#REF!</definedName>
    <definedName name="fusedswitch630a3p" localSheetId="65">#REF!</definedName>
    <definedName name="fusedswitch630a3p" localSheetId="25">#REF!</definedName>
    <definedName name="fusedswitch630a3p" localSheetId="23">#REF!</definedName>
    <definedName name="fusedswitch630a3p">#REF!</definedName>
    <definedName name="fusedswitch63a3p" localSheetId="30">#REF!</definedName>
    <definedName name="fusedswitch63a3p" localSheetId="29">#REF!</definedName>
    <definedName name="fusedswitch63a3p" localSheetId="35">#REF!</definedName>
    <definedName name="fusedswitch63a3p" localSheetId="34">#REF!</definedName>
    <definedName name="fusedswitch63a3p" localSheetId="66">#REF!</definedName>
    <definedName name="fusedswitch63a3p" localSheetId="22">#REF!</definedName>
    <definedName name="fusedswitch63a3p" localSheetId="24">#REF!</definedName>
    <definedName name="fusedswitch63a3p" localSheetId="39">#REF!</definedName>
    <definedName name="fusedswitch63a3p" localSheetId="40">#REF!</definedName>
    <definedName name="fusedswitch63a3p" localSheetId="53">#REF!</definedName>
    <definedName name="fusedswitch63a3p" localSheetId="54">#REF!</definedName>
    <definedName name="fusedswitch63a3p" localSheetId="5">#REF!</definedName>
    <definedName name="fusedswitch63a3p" localSheetId="3">#REF!</definedName>
    <definedName name="fusedswitch63a3p" localSheetId="48">#REF!</definedName>
    <definedName name="fusedswitch63a3p" localSheetId="47">#REF!</definedName>
    <definedName name="fusedswitch63a3p" localSheetId="52">#REF!</definedName>
    <definedName name="fusedswitch63a3p" localSheetId="58">#REF!</definedName>
    <definedName name="fusedswitch63a3p" localSheetId="59">#REF!</definedName>
    <definedName name="fusedswitch63a3p" localSheetId="8">#REF!</definedName>
    <definedName name="fusedswitch63a3p" localSheetId="17">#REF!</definedName>
    <definedName name="fusedswitch63a3p" localSheetId="18">#REF!</definedName>
    <definedName name="fusedswitch63a3p" localSheetId="63">#REF!</definedName>
    <definedName name="fusedswitch63a3p" localSheetId="13">#REF!</definedName>
    <definedName name="fusedswitch63a3p" localSheetId="12">#REF!</definedName>
    <definedName name="fusedswitch63a3p" localSheetId="41">#REF!</definedName>
    <definedName name="fusedswitch63a3p" localSheetId="42">#REF!</definedName>
    <definedName name="fusedswitch63a3p" localSheetId="65">#REF!</definedName>
    <definedName name="fusedswitch63a3p" localSheetId="25">#REF!</definedName>
    <definedName name="fusedswitch63a3p" localSheetId="23">#REF!</definedName>
    <definedName name="fusedswitch63a3p">#REF!</definedName>
    <definedName name="Gat_valve_dia.15mm" localSheetId="30">'[2]Break Down  '!#REF!</definedName>
    <definedName name="Gat_valve_dia.15mm" localSheetId="29">'[2]Break Down  '!#REF!</definedName>
    <definedName name="Gat_valve_dia.15mm" localSheetId="35">'[2]Break Down  '!#REF!</definedName>
    <definedName name="Gat_valve_dia.15mm" localSheetId="34">'[2]Break Down  '!#REF!</definedName>
    <definedName name="Gat_valve_dia.15mm" localSheetId="66">'[1]Break Down  '!#REF!</definedName>
    <definedName name="Gat_valve_dia.15mm" localSheetId="22">'[2]Break Down  '!#REF!</definedName>
    <definedName name="Gat_valve_dia.15mm" localSheetId="24">'[2]Break Down  '!#REF!</definedName>
    <definedName name="Gat_valve_dia.15mm" localSheetId="39">'[2]Break Down  '!#REF!</definedName>
    <definedName name="Gat_valve_dia.15mm" localSheetId="40">'[2]Break Down  '!#REF!</definedName>
    <definedName name="Gat_valve_dia.15mm" localSheetId="53">'[2]Break Down  '!#REF!</definedName>
    <definedName name="Gat_valve_dia.15mm" localSheetId="54">'[2]Break Down  '!#REF!</definedName>
    <definedName name="Gat_valve_dia.15mm" localSheetId="5">'[1]Break Down  '!#REF!</definedName>
    <definedName name="Gat_valve_dia.15mm" localSheetId="3">'[2]Break Down  '!#REF!</definedName>
    <definedName name="Gat_valve_dia.15mm" localSheetId="4">'[2]Break Down  '!#REF!</definedName>
    <definedName name="Gat_valve_dia.15mm" localSheetId="48">'[2]Break Down  '!#REF!</definedName>
    <definedName name="Gat_valve_dia.15mm" localSheetId="47">'[2]Break Down  '!#REF!</definedName>
    <definedName name="Gat_valve_dia.15mm" localSheetId="52">'[1]Break Down  '!#REF!</definedName>
    <definedName name="Gat_valve_dia.15mm" localSheetId="58">'[2]Break Down  '!#REF!</definedName>
    <definedName name="Gat_valve_dia.15mm" localSheetId="59">'[2]Break Down  '!#REF!</definedName>
    <definedName name="Gat_valve_dia.15mm" localSheetId="8">'[2]Break Down  '!#REF!</definedName>
    <definedName name="Gat_valve_dia.15mm" localSheetId="17">'[2]Break Down  '!#REF!</definedName>
    <definedName name="Gat_valve_dia.15mm" localSheetId="18">'[2]Break Down  '!#REF!</definedName>
    <definedName name="Gat_valve_dia.15mm" localSheetId="63">'[2]Break Down  '!#REF!</definedName>
    <definedName name="Gat_valve_dia.15mm" localSheetId="13">'[2]Break Down  '!#REF!</definedName>
    <definedName name="Gat_valve_dia.15mm" localSheetId="12">'[2]Break Down  '!#REF!</definedName>
    <definedName name="Gat_valve_dia.15mm" localSheetId="41">'[2]Break Down  '!#REF!</definedName>
    <definedName name="Gat_valve_dia.15mm" localSheetId="42">'[2]Break Down  '!#REF!</definedName>
    <definedName name="Gat_valve_dia.15mm" localSheetId="65">'[2]Break Down  '!#REF!</definedName>
    <definedName name="Gat_valve_dia.15mm" localSheetId="25">'[2]Break Down  '!#REF!</definedName>
    <definedName name="Gat_valve_dia.15mm" localSheetId="23">'[2]Break Down  '!#REF!</definedName>
    <definedName name="Gat_valve_dia.15mm">'[1]Break Down  '!#REF!</definedName>
    <definedName name="Gate_valve_dia.20mm" localSheetId="30">'[2]Break Down  '!#REF!</definedName>
    <definedName name="Gate_valve_dia.20mm" localSheetId="29">'[2]Break Down  '!#REF!</definedName>
    <definedName name="Gate_valve_dia.20mm" localSheetId="35">'[2]Break Down  '!#REF!</definedName>
    <definedName name="Gate_valve_dia.20mm" localSheetId="34">'[2]Break Down  '!#REF!</definedName>
    <definedName name="Gate_valve_dia.20mm" localSheetId="66">'[1]Break Down  '!#REF!</definedName>
    <definedName name="Gate_valve_dia.20mm" localSheetId="22">'[2]Break Down  '!#REF!</definedName>
    <definedName name="Gate_valve_dia.20mm" localSheetId="24">'[2]Break Down  '!#REF!</definedName>
    <definedName name="Gate_valve_dia.20mm" localSheetId="39">'[2]Break Down  '!#REF!</definedName>
    <definedName name="Gate_valve_dia.20mm" localSheetId="40">'[2]Break Down  '!#REF!</definedName>
    <definedName name="Gate_valve_dia.20mm" localSheetId="53">'[2]Break Down  '!#REF!</definedName>
    <definedName name="Gate_valve_dia.20mm" localSheetId="54">'[2]Break Down  '!#REF!</definedName>
    <definedName name="Gate_valve_dia.20mm" localSheetId="5">'[1]Break Down  '!#REF!</definedName>
    <definedName name="Gate_valve_dia.20mm" localSheetId="3">'[2]Break Down  '!#REF!</definedName>
    <definedName name="Gate_valve_dia.20mm" localSheetId="4">'[2]Break Down  '!#REF!</definedName>
    <definedName name="Gate_valve_dia.20mm" localSheetId="48">'[2]Break Down  '!#REF!</definedName>
    <definedName name="Gate_valve_dia.20mm" localSheetId="47">'[2]Break Down  '!#REF!</definedName>
    <definedName name="Gate_valve_dia.20mm" localSheetId="52">'[1]Break Down  '!#REF!</definedName>
    <definedName name="Gate_valve_dia.20mm" localSheetId="58">'[2]Break Down  '!#REF!</definedName>
    <definedName name="Gate_valve_dia.20mm" localSheetId="59">'[2]Break Down  '!#REF!</definedName>
    <definedName name="Gate_valve_dia.20mm" localSheetId="8">'[2]Break Down  '!#REF!</definedName>
    <definedName name="Gate_valve_dia.20mm" localSheetId="17">'[2]Break Down  '!#REF!</definedName>
    <definedName name="Gate_valve_dia.20mm" localSheetId="18">'[2]Break Down  '!#REF!</definedName>
    <definedName name="Gate_valve_dia.20mm" localSheetId="63">'[2]Break Down  '!#REF!</definedName>
    <definedName name="Gate_valve_dia.20mm" localSheetId="13">'[2]Break Down  '!#REF!</definedName>
    <definedName name="Gate_valve_dia.20mm" localSheetId="12">'[2]Break Down  '!#REF!</definedName>
    <definedName name="Gate_valve_dia.20mm" localSheetId="41">'[2]Break Down  '!#REF!</definedName>
    <definedName name="Gate_valve_dia.20mm" localSheetId="42">'[2]Break Down  '!#REF!</definedName>
    <definedName name="Gate_valve_dia.20mm" localSheetId="65">'[2]Break Down  '!#REF!</definedName>
    <definedName name="Gate_valve_dia.20mm" localSheetId="25">'[2]Break Down  '!#REF!</definedName>
    <definedName name="Gate_valve_dia.20mm" localSheetId="23">'[2]Break Down  '!#REF!</definedName>
    <definedName name="Gate_valve_dia.20mm">'[1]Break Down  '!#REF!</definedName>
    <definedName name="GINSHO" localSheetId="30">#REF!</definedName>
    <definedName name="GINSHO" localSheetId="29">#REF!</definedName>
    <definedName name="GINSHO" localSheetId="35">#REF!</definedName>
    <definedName name="GINSHO" localSheetId="34">#REF!</definedName>
    <definedName name="GINSHO" localSheetId="66">#REF!</definedName>
    <definedName name="GINSHO" localSheetId="22">#REF!</definedName>
    <definedName name="GINSHO" localSheetId="24">#REF!</definedName>
    <definedName name="GINSHO" localSheetId="39">#REF!</definedName>
    <definedName name="GINSHO" localSheetId="40">#REF!</definedName>
    <definedName name="GINSHO" localSheetId="53">#REF!</definedName>
    <definedName name="GINSHO" localSheetId="54">#REF!</definedName>
    <definedName name="GINSHO" localSheetId="5">#REF!</definedName>
    <definedName name="GINSHO" localSheetId="3">#REF!</definedName>
    <definedName name="GINSHO" localSheetId="48">#REF!</definedName>
    <definedName name="GINSHO" localSheetId="47">#REF!</definedName>
    <definedName name="GINSHO" localSheetId="52">#REF!</definedName>
    <definedName name="GINSHO" localSheetId="58">#REF!</definedName>
    <definedName name="GINSHO" localSheetId="59">#REF!</definedName>
    <definedName name="GINSHO" localSheetId="8">#REF!</definedName>
    <definedName name="GINSHO" localSheetId="17">#REF!</definedName>
    <definedName name="GINSHO" localSheetId="18">#REF!</definedName>
    <definedName name="GINSHO" localSheetId="63">#REF!</definedName>
    <definedName name="GINSHO" localSheetId="13">#REF!</definedName>
    <definedName name="GINSHO" localSheetId="12">#REF!</definedName>
    <definedName name="GINSHO" localSheetId="41">#REF!</definedName>
    <definedName name="GINSHO" localSheetId="42">#REF!</definedName>
    <definedName name="GINSHO" localSheetId="65">#REF!</definedName>
    <definedName name="GINSHO" localSheetId="25">#REF!</definedName>
    <definedName name="GINSHO" localSheetId="23">#REF!</definedName>
    <definedName name="GINSHO">#REF!</definedName>
    <definedName name="gip0.5" localSheetId="30">#REF!</definedName>
    <definedName name="gip0.5" localSheetId="29">#REF!</definedName>
    <definedName name="gip0.5" localSheetId="35">#REF!</definedName>
    <definedName name="gip0.5" localSheetId="34">#REF!</definedName>
    <definedName name="gip0.5" localSheetId="66">#REF!</definedName>
    <definedName name="gip0.5" localSheetId="22">#REF!</definedName>
    <definedName name="gip0.5" localSheetId="24">#REF!</definedName>
    <definedName name="gip0.5" localSheetId="39">#REF!</definedName>
    <definedName name="gip0.5" localSheetId="40">#REF!</definedName>
    <definedName name="gip0.5" localSheetId="53">#REF!</definedName>
    <definedName name="gip0.5" localSheetId="54">#REF!</definedName>
    <definedName name="gip0.5" localSheetId="5">#REF!</definedName>
    <definedName name="gip0.5" localSheetId="3">#REF!</definedName>
    <definedName name="gip0.5" localSheetId="48">#REF!</definedName>
    <definedName name="gip0.5" localSheetId="47">#REF!</definedName>
    <definedName name="gip0.5" localSheetId="52">#REF!</definedName>
    <definedName name="gip0.5" localSheetId="58">#REF!</definedName>
    <definedName name="gip0.5" localSheetId="59">#REF!</definedName>
    <definedName name="gip0.5" localSheetId="8">#REF!</definedName>
    <definedName name="gip0.5" localSheetId="17">#REF!</definedName>
    <definedName name="gip0.5" localSheetId="18">#REF!</definedName>
    <definedName name="gip0.5" localSheetId="63">#REF!</definedName>
    <definedName name="gip0.5" localSheetId="13">#REF!</definedName>
    <definedName name="gip0.5" localSheetId="12">#REF!</definedName>
    <definedName name="gip0.5" localSheetId="41">#REF!</definedName>
    <definedName name="gip0.5" localSheetId="42">#REF!</definedName>
    <definedName name="gip0.5" localSheetId="65">#REF!</definedName>
    <definedName name="gip0.5" localSheetId="25">#REF!</definedName>
    <definedName name="gip0.5" localSheetId="23">#REF!</definedName>
    <definedName name="gip0.5">#REF!</definedName>
    <definedName name="gip0.75" localSheetId="30">#REF!</definedName>
    <definedName name="gip0.75" localSheetId="29">#REF!</definedName>
    <definedName name="gip0.75" localSheetId="35">#REF!</definedName>
    <definedName name="gip0.75" localSheetId="34">#REF!</definedName>
    <definedName name="gip0.75" localSheetId="66">#REF!</definedName>
    <definedName name="gip0.75" localSheetId="22">#REF!</definedName>
    <definedName name="gip0.75" localSheetId="24">#REF!</definedName>
    <definedName name="gip0.75" localSheetId="39">#REF!</definedName>
    <definedName name="gip0.75" localSheetId="40">#REF!</definedName>
    <definedName name="gip0.75" localSheetId="53">#REF!</definedName>
    <definedName name="gip0.75" localSheetId="54">#REF!</definedName>
    <definedName name="gip0.75" localSheetId="5">#REF!</definedName>
    <definedName name="gip0.75" localSheetId="3">#REF!</definedName>
    <definedName name="gip0.75" localSheetId="48">#REF!</definedName>
    <definedName name="gip0.75" localSheetId="47">#REF!</definedName>
    <definedName name="gip0.75" localSheetId="52">#REF!</definedName>
    <definedName name="gip0.75" localSheetId="58">#REF!</definedName>
    <definedName name="gip0.75" localSheetId="59">#REF!</definedName>
    <definedName name="gip0.75" localSheetId="8">#REF!</definedName>
    <definedName name="gip0.75" localSheetId="17">#REF!</definedName>
    <definedName name="gip0.75" localSheetId="18">#REF!</definedName>
    <definedName name="gip0.75" localSheetId="63">#REF!</definedName>
    <definedName name="gip0.75" localSheetId="13">#REF!</definedName>
    <definedName name="gip0.75" localSheetId="12">#REF!</definedName>
    <definedName name="gip0.75" localSheetId="41">#REF!</definedName>
    <definedName name="gip0.75" localSheetId="42">#REF!</definedName>
    <definedName name="gip0.75" localSheetId="65">#REF!</definedName>
    <definedName name="gip0.75" localSheetId="25">#REF!</definedName>
    <definedName name="gip0.75" localSheetId="23">#REF!</definedName>
    <definedName name="gip0.75">#REF!</definedName>
    <definedName name="glaz" localSheetId="30">#REF!</definedName>
    <definedName name="glaz" localSheetId="29">#REF!</definedName>
    <definedName name="glaz" localSheetId="35">#REF!</definedName>
    <definedName name="glaz" localSheetId="34">#REF!</definedName>
    <definedName name="glaz" localSheetId="66">#REF!</definedName>
    <definedName name="glaz" localSheetId="22">#REF!</definedName>
    <definedName name="glaz" localSheetId="24">#REF!</definedName>
    <definedName name="glaz" localSheetId="39">#REF!</definedName>
    <definedName name="glaz" localSheetId="40">#REF!</definedName>
    <definedName name="glaz" localSheetId="53">#REF!</definedName>
    <definedName name="glaz" localSheetId="54">#REF!</definedName>
    <definedName name="glaz" localSheetId="5">#REF!</definedName>
    <definedName name="glaz" localSheetId="3">#REF!</definedName>
    <definedName name="glaz" localSheetId="48">#REF!</definedName>
    <definedName name="glaz" localSheetId="47">#REF!</definedName>
    <definedName name="glaz" localSheetId="52">#REF!</definedName>
    <definedName name="glaz" localSheetId="58">#REF!</definedName>
    <definedName name="glaz" localSheetId="59">#REF!</definedName>
    <definedName name="glaz" localSheetId="8">#REF!</definedName>
    <definedName name="glaz" localSheetId="17">#REF!</definedName>
    <definedName name="glaz" localSheetId="18">#REF!</definedName>
    <definedName name="glaz" localSheetId="63">#REF!</definedName>
    <definedName name="glaz" localSheetId="13">#REF!</definedName>
    <definedName name="glaz" localSheetId="12">#REF!</definedName>
    <definedName name="glaz" localSheetId="41">#REF!</definedName>
    <definedName name="glaz" localSheetId="42">#REF!</definedName>
    <definedName name="glaz" localSheetId="65">#REF!</definedName>
    <definedName name="glaz" localSheetId="25">#REF!</definedName>
    <definedName name="glaz" localSheetId="23">#REF!</definedName>
    <definedName name="glaz">#REF!</definedName>
    <definedName name="gslabc20" localSheetId="30">#REF!</definedName>
    <definedName name="gslabc20" localSheetId="29">#REF!</definedName>
    <definedName name="gslabc20" localSheetId="35">#REF!</definedName>
    <definedName name="gslabc20" localSheetId="34">#REF!</definedName>
    <definedName name="gslabc20" localSheetId="66">#REF!</definedName>
    <definedName name="gslabc20" localSheetId="22">#REF!</definedName>
    <definedName name="gslabc20" localSheetId="24">#REF!</definedName>
    <definedName name="gslabc20" localSheetId="39">#REF!</definedName>
    <definedName name="gslabc20" localSheetId="40">#REF!</definedName>
    <definedName name="gslabc20" localSheetId="53">#REF!</definedName>
    <definedName name="gslabc20" localSheetId="54">#REF!</definedName>
    <definedName name="gslabc20" localSheetId="5">#REF!</definedName>
    <definedName name="gslabc20" localSheetId="3">#REF!</definedName>
    <definedName name="gslabc20" localSheetId="48">#REF!</definedName>
    <definedName name="gslabc20" localSheetId="47">#REF!</definedName>
    <definedName name="gslabc20" localSheetId="52">#REF!</definedName>
    <definedName name="gslabc20" localSheetId="58">#REF!</definedName>
    <definedName name="gslabc20" localSheetId="59">#REF!</definedName>
    <definedName name="gslabc20" localSheetId="8">#REF!</definedName>
    <definedName name="gslabc20" localSheetId="17">#REF!</definedName>
    <definedName name="gslabc20" localSheetId="18">#REF!</definedName>
    <definedName name="gslabc20" localSheetId="63">#REF!</definedName>
    <definedName name="gslabc20" localSheetId="13">#REF!</definedName>
    <definedName name="gslabc20" localSheetId="12">#REF!</definedName>
    <definedName name="gslabc20" localSheetId="41">#REF!</definedName>
    <definedName name="gslabc20" localSheetId="42">#REF!</definedName>
    <definedName name="gslabc20" localSheetId="65">#REF!</definedName>
    <definedName name="gslabc20" localSheetId="25">#REF!</definedName>
    <definedName name="gslabc20" localSheetId="23">#REF!</definedName>
    <definedName name="gslabc20">#REF!</definedName>
    <definedName name="h">[9]Sheet2!$B$2</definedName>
    <definedName name="Hand_wash_basin_50x40_with_fittings" localSheetId="30">'[2]Break Down  '!#REF!</definedName>
    <definedName name="Hand_wash_basin_50x40_with_fittings" localSheetId="29">'[2]Break Down  '!#REF!</definedName>
    <definedName name="Hand_wash_basin_50x40_with_fittings" localSheetId="35">'[2]Break Down  '!#REF!</definedName>
    <definedName name="Hand_wash_basin_50x40_with_fittings" localSheetId="34">'[2]Break Down  '!#REF!</definedName>
    <definedName name="Hand_wash_basin_50x40_with_fittings" localSheetId="66">'[1]Break Down  '!#REF!</definedName>
    <definedName name="Hand_wash_basin_50x40_with_fittings" localSheetId="22">'[2]Break Down  '!#REF!</definedName>
    <definedName name="Hand_wash_basin_50x40_with_fittings" localSheetId="24">'[2]Break Down  '!#REF!</definedName>
    <definedName name="Hand_wash_basin_50x40_with_fittings" localSheetId="39">'[2]Break Down  '!#REF!</definedName>
    <definedName name="Hand_wash_basin_50x40_with_fittings" localSheetId="40">'[2]Break Down  '!#REF!</definedName>
    <definedName name="Hand_wash_basin_50x40_with_fittings" localSheetId="53">'[2]Break Down  '!#REF!</definedName>
    <definedName name="Hand_wash_basin_50x40_with_fittings" localSheetId="54">'[2]Break Down  '!#REF!</definedName>
    <definedName name="Hand_wash_basin_50x40_with_fittings" localSheetId="5">'[1]Break Down  '!#REF!</definedName>
    <definedName name="Hand_wash_basin_50x40_with_fittings" localSheetId="3">'[2]Break Down  '!#REF!</definedName>
    <definedName name="Hand_wash_basin_50x40_with_fittings" localSheetId="4">'[2]Break Down  '!#REF!</definedName>
    <definedName name="Hand_wash_basin_50x40_with_fittings" localSheetId="48">'[2]Break Down  '!#REF!</definedName>
    <definedName name="Hand_wash_basin_50x40_with_fittings" localSheetId="47">'[2]Break Down  '!#REF!</definedName>
    <definedName name="Hand_wash_basin_50x40_with_fittings" localSheetId="52">'[1]Break Down  '!#REF!</definedName>
    <definedName name="Hand_wash_basin_50x40_with_fittings" localSheetId="58">'[2]Break Down  '!#REF!</definedName>
    <definedName name="Hand_wash_basin_50x40_with_fittings" localSheetId="59">'[2]Break Down  '!#REF!</definedName>
    <definedName name="Hand_wash_basin_50x40_with_fittings" localSheetId="8">'[2]Break Down  '!#REF!</definedName>
    <definedName name="Hand_wash_basin_50x40_with_fittings" localSheetId="17">'[2]Break Down  '!#REF!</definedName>
    <definedName name="Hand_wash_basin_50x40_with_fittings" localSheetId="18">'[2]Break Down  '!#REF!</definedName>
    <definedName name="Hand_wash_basin_50x40_with_fittings" localSheetId="63">'[2]Break Down  '!#REF!</definedName>
    <definedName name="Hand_wash_basin_50x40_with_fittings" localSheetId="13">'[2]Break Down  '!#REF!</definedName>
    <definedName name="Hand_wash_basin_50x40_with_fittings" localSheetId="12">'[2]Break Down  '!#REF!</definedName>
    <definedName name="Hand_wash_basin_50x40_with_fittings" localSheetId="41">'[2]Break Down  '!#REF!</definedName>
    <definedName name="Hand_wash_basin_50x40_with_fittings" localSheetId="42">'[2]Break Down  '!#REF!</definedName>
    <definedName name="Hand_wash_basin_50x40_with_fittings" localSheetId="65">'[2]Break Down  '!#REF!</definedName>
    <definedName name="Hand_wash_basin_50x40_with_fittings" localSheetId="25">'[2]Break Down  '!#REF!</definedName>
    <definedName name="Hand_wash_basin_50x40_with_fittings" localSheetId="23">'[2]Break Down  '!#REF!</definedName>
    <definedName name="Hand_wash_basin_50x40_with_fittings">'[1]Break Down  '!#REF!</definedName>
    <definedName name="hard" localSheetId="30">#REF!</definedName>
    <definedName name="hard" localSheetId="29">#REF!</definedName>
    <definedName name="hard" localSheetId="35">#REF!</definedName>
    <definedName name="hard" localSheetId="34">#REF!</definedName>
    <definedName name="hard" localSheetId="66">#REF!</definedName>
    <definedName name="hard" localSheetId="22">#REF!</definedName>
    <definedName name="hard" localSheetId="24">#REF!</definedName>
    <definedName name="hard" localSheetId="39">#REF!</definedName>
    <definedName name="hard" localSheetId="40">#REF!</definedName>
    <definedName name="hard" localSheetId="53">#REF!</definedName>
    <definedName name="hard" localSheetId="54">#REF!</definedName>
    <definedName name="hard" localSheetId="5">#REF!</definedName>
    <definedName name="hard" localSheetId="3">#REF!</definedName>
    <definedName name="hard" localSheetId="48">#REF!</definedName>
    <definedName name="hard" localSheetId="47">#REF!</definedName>
    <definedName name="hard" localSheetId="52">#REF!</definedName>
    <definedName name="hard" localSheetId="58">#REF!</definedName>
    <definedName name="hard" localSheetId="59">#REF!</definedName>
    <definedName name="hard" localSheetId="8">#REF!</definedName>
    <definedName name="hard" localSheetId="17">#REF!</definedName>
    <definedName name="hard" localSheetId="18">#REF!</definedName>
    <definedName name="hard" localSheetId="63">#REF!</definedName>
    <definedName name="hard" localSheetId="13">#REF!</definedName>
    <definedName name="hard" localSheetId="12">#REF!</definedName>
    <definedName name="hard" localSheetId="41">#REF!</definedName>
    <definedName name="hard" localSheetId="42">#REF!</definedName>
    <definedName name="hard" localSheetId="65">#REF!</definedName>
    <definedName name="hard" localSheetId="25">#REF!</definedName>
    <definedName name="hard" localSheetId="23">#REF!</definedName>
    <definedName name="hard">#REF!</definedName>
    <definedName name="intermediateswitch" localSheetId="30">#REF!</definedName>
    <definedName name="intermediateswitch" localSheetId="29">#REF!</definedName>
    <definedName name="intermediateswitch" localSheetId="35">#REF!</definedName>
    <definedName name="intermediateswitch" localSheetId="34">#REF!</definedName>
    <definedName name="intermediateswitch" localSheetId="66">#REF!</definedName>
    <definedName name="intermediateswitch" localSheetId="22">#REF!</definedName>
    <definedName name="intermediateswitch" localSheetId="24">#REF!</definedName>
    <definedName name="intermediateswitch" localSheetId="39">#REF!</definedName>
    <definedName name="intermediateswitch" localSheetId="40">#REF!</definedName>
    <definedName name="intermediateswitch" localSheetId="53">#REF!</definedName>
    <definedName name="intermediateswitch" localSheetId="54">#REF!</definedName>
    <definedName name="intermediateswitch" localSheetId="5">#REF!</definedName>
    <definedName name="intermediateswitch" localSheetId="3">#REF!</definedName>
    <definedName name="intermediateswitch" localSheetId="48">#REF!</definedName>
    <definedName name="intermediateswitch" localSheetId="47">#REF!</definedName>
    <definedName name="intermediateswitch" localSheetId="52">#REF!</definedName>
    <definedName name="intermediateswitch" localSheetId="58">#REF!</definedName>
    <definedName name="intermediateswitch" localSheetId="59">#REF!</definedName>
    <definedName name="intermediateswitch" localSheetId="8">#REF!</definedName>
    <definedName name="intermediateswitch" localSheetId="17">#REF!</definedName>
    <definedName name="intermediateswitch" localSheetId="18">#REF!</definedName>
    <definedName name="intermediateswitch" localSheetId="63">#REF!</definedName>
    <definedName name="intermediateswitch" localSheetId="13">#REF!</definedName>
    <definedName name="intermediateswitch" localSheetId="12">#REF!</definedName>
    <definedName name="intermediateswitch" localSheetId="41">#REF!</definedName>
    <definedName name="intermediateswitch" localSheetId="42">#REF!</definedName>
    <definedName name="intermediateswitch" localSheetId="65">#REF!</definedName>
    <definedName name="intermediateswitch" localSheetId="25">#REF!</definedName>
    <definedName name="intermediateswitch" localSheetId="23">#REF!</definedName>
    <definedName name="intermediateswitch">#REF!</definedName>
    <definedName name="international" localSheetId="30">#REF!</definedName>
    <definedName name="international" localSheetId="29">#REF!</definedName>
    <definedName name="international" localSheetId="35">#REF!</definedName>
    <definedName name="international" localSheetId="34">#REF!</definedName>
    <definedName name="international" localSheetId="66">#REF!</definedName>
    <definedName name="international" localSheetId="22">#REF!</definedName>
    <definedName name="international" localSheetId="24">#REF!</definedName>
    <definedName name="international" localSheetId="39">#REF!</definedName>
    <definedName name="international" localSheetId="40">#REF!</definedName>
    <definedName name="international" localSheetId="53">#REF!</definedName>
    <definedName name="international" localSheetId="54">#REF!</definedName>
    <definedName name="international" localSheetId="5">#REF!</definedName>
    <definedName name="international" localSheetId="3">#REF!</definedName>
    <definedName name="international" localSheetId="48">#REF!</definedName>
    <definedName name="international" localSheetId="47">#REF!</definedName>
    <definedName name="international" localSheetId="52">#REF!</definedName>
    <definedName name="international" localSheetId="58">#REF!</definedName>
    <definedName name="international" localSheetId="59">#REF!</definedName>
    <definedName name="international" localSheetId="8">#REF!</definedName>
    <definedName name="international" localSheetId="17">#REF!</definedName>
    <definedName name="international" localSheetId="18">#REF!</definedName>
    <definedName name="international" localSheetId="63">#REF!</definedName>
    <definedName name="international" localSheetId="13">#REF!</definedName>
    <definedName name="international" localSheetId="12">#REF!</definedName>
    <definedName name="international" localSheetId="41">#REF!</definedName>
    <definedName name="international" localSheetId="42">#REF!</definedName>
    <definedName name="international" localSheetId="65">#REF!</definedName>
    <definedName name="international" localSheetId="25">#REF!</definedName>
    <definedName name="international" localSheetId="23">#REF!</definedName>
    <definedName name="international">#REF!</definedName>
    <definedName name="KASSAYE" localSheetId="30">#REF!</definedName>
    <definedName name="KASSAYE" localSheetId="29">#REF!</definedName>
    <definedName name="KASSAYE" localSheetId="35">#REF!</definedName>
    <definedName name="KASSAYE" localSheetId="34">#REF!</definedName>
    <definedName name="KASSAYE" localSheetId="66">#REF!</definedName>
    <definedName name="KASSAYE" localSheetId="22">#REF!</definedName>
    <definedName name="KASSAYE" localSheetId="24">#REF!</definedName>
    <definedName name="KASSAYE" localSheetId="39">#REF!</definedName>
    <definedName name="KASSAYE" localSheetId="40">#REF!</definedName>
    <definedName name="KASSAYE" localSheetId="53">#REF!</definedName>
    <definedName name="KASSAYE" localSheetId="54">#REF!</definedName>
    <definedName name="KASSAYE" localSheetId="5">#REF!</definedName>
    <definedName name="KASSAYE" localSheetId="3">#REF!</definedName>
    <definedName name="KASSAYE" localSheetId="48">#REF!</definedName>
    <definedName name="KASSAYE" localSheetId="47">#REF!</definedName>
    <definedName name="KASSAYE" localSheetId="52">#REF!</definedName>
    <definedName name="KASSAYE" localSheetId="58">#REF!</definedName>
    <definedName name="KASSAYE" localSheetId="59">#REF!</definedName>
    <definedName name="KASSAYE" localSheetId="8">#REF!</definedName>
    <definedName name="KASSAYE" localSheetId="17">#REF!</definedName>
    <definedName name="KASSAYE" localSheetId="18">#REF!</definedName>
    <definedName name="KASSAYE" localSheetId="63">#REF!</definedName>
    <definedName name="KASSAYE" localSheetId="13">#REF!</definedName>
    <definedName name="KASSAYE" localSheetId="12">#REF!</definedName>
    <definedName name="KASSAYE" localSheetId="41">#REF!</definedName>
    <definedName name="KASSAYE" localSheetId="42">#REF!</definedName>
    <definedName name="KASSAYE" localSheetId="65">#REF!</definedName>
    <definedName name="KASSAYE" localSheetId="25">#REF!</definedName>
    <definedName name="KASSAYE" localSheetId="23">#REF!</definedName>
    <definedName name="KASSAYE">#REF!</definedName>
    <definedName name="KWH32A1P" localSheetId="30">#REF!</definedName>
    <definedName name="KWH32A1P" localSheetId="29">#REF!</definedName>
    <definedName name="KWH32A1P" localSheetId="35">#REF!</definedName>
    <definedName name="KWH32A1P" localSheetId="34">#REF!</definedName>
    <definedName name="KWH32A1P" localSheetId="66">#REF!</definedName>
    <definedName name="KWH32A1P" localSheetId="22">#REF!</definedName>
    <definedName name="KWH32A1P" localSheetId="24">#REF!</definedName>
    <definedName name="KWH32A1P" localSheetId="39">#REF!</definedName>
    <definedName name="KWH32A1P" localSheetId="40">#REF!</definedName>
    <definedName name="KWH32A1P" localSheetId="53">#REF!</definedName>
    <definedName name="KWH32A1P" localSheetId="54">#REF!</definedName>
    <definedName name="KWH32A1P" localSheetId="5">#REF!</definedName>
    <definedName name="KWH32A1P" localSheetId="3">#REF!</definedName>
    <definedName name="KWH32A1P" localSheetId="48">#REF!</definedName>
    <definedName name="KWH32A1P" localSheetId="47">#REF!</definedName>
    <definedName name="KWH32A1P" localSheetId="52">#REF!</definedName>
    <definedName name="KWH32A1P" localSheetId="58">#REF!</definedName>
    <definedName name="KWH32A1P" localSheetId="59">#REF!</definedName>
    <definedName name="KWH32A1P" localSheetId="8">#REF!</definedName>
    <definedName name="KWH32A1P" localSheetId="17">#REF!</definedName>
    <definedName name="KWH32A1P" localSheetId="18">#REF!</definedName>
    <definedName name="KWH32A1P" localSheetId="63">#REF!</definedName>
    <definedName name="KWH32A1P" localSheetId="13">#REF!</definedName>
    <definedName name="KWH32A1P" localSheetId="12">#REF!</definedName>
    <definedName name="KWH32A1P" localSheetId="41">#REF!</definedName>
    <definedName name="KWH32A1P" localSheetId="42">#REF!</definedName>
    <definedName name="KWH32A1P" localSheetId="65">#REF!</definedName>
    <definedName name="KWH32A1P" localSheetId="25">#REF!</definedName>
    <definedName name="KWH32A1P" localSheetId="23">#REF!</definedName>
    <definedName name="KWH32A1P">#REF!</definedName>
    <definedName name="kwh63a1p" localSheetId="30">#REF!</definedName>
    <definedName name="kwh63a1p" localSheetId="29">#REF!</definedName>
    <definedName name="kwh63a1p" localSheetId="35">#REF!</definedName>
    <definedName name="kwh63a1p" localSheetId="34">#REF!</definedName>
    <definedName name="kwh63a1p" localSheetId="66">#REF!</definedName>
    <definedName name="kwh63a1p" localSheetId="22">#REF!</definedName>
    <definedName name="kwh63a1p" localSheetId="24">#REF!</definedName>
    <definedName name="kwh63a1p" localSheetId="39">#REF!</definedName>
    <definedName name="kwh63a1p" localSheetId="40">#REF!</definedName>
    <definedName name="kwh63a1p" localSheetId="53">#REF!</definedName>
    <definedName name="kwh63a1p" localSheetId="54">#REF!</definedName>
    <definedName name="kwh63a1p" localSheetId="5">#REF!</definedName>
    <definedName name="kwh63a1p" localSheetId="3">#REF!</definedName>
    <definedName name="kwh63a1p" localSheetId="48">#REF!</definedName>
    <definedName name="kwh63a1p" localSheetId="47">#REF!</definedName>
    <definedName name="kwh63a1p" localSheetId="52">#REF!</definedName>
    <definedName name="kwh63a1p" localSheetId="58">#REF!</definedName>
    <definedName name="kwh63a1p" localSheetId="59">#REF!</definedName>
    <definedName name="kwh63a1p" localSheetId="8">#REF!</definedName>
    <definedName name="kwh63a1p" localSheetId="17">#REF!</definedName>
    <definedName name="kwh63a1p" localSheetId="18">#REF!</definedName>
    <definedName name="kwh63a1p" localSheetId="63">#REF!</definedName>
    <definedName name="kwh63a1p" localSheetId="13">#REF!</definedName>
    <definedName name="kwh63a1p" localSheetId="12">#REF!</definedName>
    <definedName name="kwh63a1p" localSheetId="41">#REF!</definedName>
    <definedName name="kwh63a1p" localSheetId="42">#REF!</definedName>
    <definedName name="kwh63a1p" localSheetId="65">#REF!</definedName>
    <definedName name="kwh63a1p" localSheetId="25">#REF!</definedName>
    <definedName name="kwh63a1p" localSheetId="23">#REF!</definedName>
    <definedName name="kwh63a1p">#REF!</definedName>
    <definedName name="KWH63A3P" localSheetId="30">#REF!</definedName>
    <definedName name="KWH63A3P" localSheetId="29">#REF!</definedName>
    <definedName name="KWH63A3P" localSheetId="35">#REF!</definedName>
    <definedName name="KWH63A3P" localSheetId="34">#REF!</definedName>
    <definedName name="KWH63A3P" localSheetId="66">#REF!</definedName>
    <definedName name="KWH63A3P" localSheetId="22">#REF!</definedName>
    <definedName name="KWH63A3P" localSheetId="24">#REF!</definedName>
    <definedName name="KWH63A3P" localSheetId="39">#REF!</definedName>
    <definedName name="KWH63A3P" localSheetId="40">#REF!</definedName>
    <definedName name="KWH63A3P" localSheetId="53">#REF!</definedName>
    <definedName name="KWH63A3P" localSheetId="54">#REF!</definedName>
    <definedName name="KWH63A3P" localSheetId="5">#REF!</definedName>
    <definedName name="KWH63A3P" localSheetId="3">#REF!</definedName>
    <definedName name="KWH63A3P" localSheetId="48">#REF!</definedName>
    <definedName name="KWH63A3P" localSheetId="47">#REF!</definedName>
    <definedName name="KWH63A3P" localSheetId="52">#REF!</definedName>
    <definedName name="KWH63A3P" localSheetId="58">#REF!</definedName>
    <definedName name="KWH63A3P" localSheetId="59">#REF!</definedName>
    <definedName name="KWH63A3P" localSheetId="8">#REF!</definedName>
    <definedName name="KWH63A3P" localSheetId="17">#REF!</definedName>
    <definedName name="KWH63A3P" localSheetId="18">#REF!</definedName>
    <definedName name="KWH63A3P" localSheetId="63">#REF!</definedName>
    <definedName name="KWH63A3P" localSheetId="13">#REF!</definedName>
    <definedName name="KWH63A3P" localSheetId="12">#REF!</definedName>
    <definedName name="KWH63A3P" localSheetId="41">#REF!</definedName>
    <definedName name="KWH63A3P" localSheetId="42">#REF!</definedName>
    <definedName name="KWH63A3P" localSheetId="65">#REF!</definedName>
    <definedName name="KWH63A3P" localSheetId="25">#REF!</definedName>
    <definedName name="KWH63A3P" localSheetId="23">#REF!</definedName>
    <definedName name="KWH63A3P">#REF!</definedName>
    <definedName name="latch" localSheetId="30">#REF!</definedName>
    <definedName name="latch" localSheetId="29">#REF!</definedName>
    <definedName name="latch" localSheetId="35">#REF!</definedName>
    <definedName name="latch" localSheetId="34">#REF!</definedName>
    <definedName name="latch" localSheetId="66">#REF!</definedName>
    <definedName name="latch" localSheetId="22">#REF!</definedName>
    <definedName name="latch" localSheetId="24">#REF!</definedName>
    <definedName name="latch" localSheetId="39">#REF!</definedName>
    <definedName name="latch" localSheetId="40">#REF!</definedName>
    <definedName name="latch" localSheetId="53">#REF!</definedName>
    <definedName name="latch" localSheetId="54">#REF!</definedName>
    <definedName name="latch" localSheetId="5">#REF!</definedName>
    <definedName name="latch" localSheetId="3">#REF!</definedName>
    <definedName name="latch" localSheetId="48">#REF!</definedName>
    <definedName name="latch" localSheetId="47">#REF!</definedName>
    <definedName name="latch" localSheetId="52">#REF!</definedName>
    <definedName name="latch" localSheetId="58">#REF!</definedName>
    <definedName name="latch" localSheetId="59">#REF!</definedName>
    <definedName name="latch" localSheetId="8">#REF!</definedName>
    <definedName name="latch" localSheetId="17">#REF!</definedName>
    <definedName name="latch" localSheetId="18">#REF!</definedName>
    <definedName name="latch" localSheetId="63">#REF!</definedName>
    <definedName name="latch" localSheetId="13">#REF!</definedName>
    <definedName name="latch" localSheetId="12">#REF!</definedName>
    <definedName name="latch" localSheetId="41">#REF!</definedName>
    <definedName name="latch" localSheetId="42">#REF!</definedName>
    <definedName name="latch" localSheetId="65">#REF!</definedName>
    <definedName name="latch" localSheetId="25">#REF!</definedName>
    <definedName name="latch" localSheetId="23">#REF!</definedName>
    <definedName name="latch">#REF!</definedName>
    <definedName name="Light_points" localSheetId="30">'[2]Break Down  '!#REF!</definedName>
    <definedName name="Light_points" localSheetId="29">'[2]Break Down  '!#REF!</definedName>
    <definedName name="Light_points" localSheetId="35">'[2]Break Down  '!#REF!</definedName>
    <definedName name="Light_points" localSheetId="34">'[2]Break Down  '!#REF!</definedName>
    <definedName name="Light_points" localSheetId="66">'[1]Break Down  '!#REF!</definedName>
    <definedName name="Light_points" localSheetId="22">'[2]Break Down  '!#REF!</definedName>
    <definedName name="Light_points" localSheetId="24">'[2]Break Down  '!#REF!</definedName>
    <definedName name="Light_points" localSheetId="39">'[2]Break Down  '!#REF!</definedName>
    <definedName name="Light_points" localSheetId="40">'[2]Break Down  '!#REF!</definedName>
    <definedName name="Light_points" localSheetId="53">'[2]Break Down  '!#REF!</definedName>
    <definedName name="Light_points" localSheetId="54">'[2]Break Down  '!#REF!</definedName>
    <definedName name="Light_points" localSheetId="5">'[1]Break Down  '!#REF!</definedName>
    <definedName name="Light_points" localSheetId="3">'[2]Break Down  '!#REF!</definedName>
    <definedName name="Light_points" localSheetId="4">'[2]Break Down  '!#REF!</definedName>
    <definedName name="Light_points" localSheetId="48">'[2]Break Down  '!#REF!</definedName>
    <definedName name="Light_points" localSheetId="47">'[2]Break Down  '!#REF!</definedName>
    <definedName name="Light_points" localSheetId="52">'[1]Break Down  '!#REF!</definedName>
    <definedName name="Light_points" localSheetId="58">'[2]Break Down  '!#REF!</definedName>
    <definedName name="Light_points" localSheetId="59">'[2]Break Down  '!#REF!</definedName>
    <definedName name="Light_points" localSheetId="8">'[2]Break Down  '!#REF!</definedName>
    <definedName name="Light_points" localSheetId="17">'[2]Break Down  '!#REF!</definedName>
    <definedName name="Light_points" localSheetId="18">'[2]Break Down  '!#REF!</definedName>
    <definedName name="Light_points" localSheetId="63">'[2]Break Down  '!#REF!</definedName>
    <definedName name="Light_points" localSheetId="13">'[2]Break Down  '!#REF!</definedName>
    <definedName name="Light_points" localSheetId="12">'[2]Break Down  '!#REF!</definedName>
    <definedName name="Light_points" localSheetId="41">'[2]Break Down  '!#REF!</definedName>
    <definedName name="Light_points" localSheetId="42">'[2]Break Down  '!#REF!</definedName>
    <definedName name="Light_points" localSheetId="65">'[2]Break Down  '!#REF!</definedName>
    <definedName name="Light_points" localSheetId="25">'[2]Break Down  '!#REF!</definedName>
    <definedName name="Light_points" localSheetId="23">'[2]Break Down  '!#REF!</definedName>
    <definedName name="Light_points">'[1]Break Down  '!#REF!</definedName>
    <definedName name="lightpoint" localSheetId="30">#REF!</definedName>
    <definedName name="lightpoint" localSheetId="29">#REF!</definedName>
    <definedName name="lightpoint" localSheetId="35">#REF!</definedName>
    <definedName name="lightpoint" localSheetId="34">#REF!</definedName>
    <definedName name="lightpoint" localSheetId="66">#REF!</definedName>
    <definedName name="lightpoint" localSheetId="22">#REF!</definedName>
    <definedName name="lightpoint" localSheetId="24">#REF!</definedName>
    <definedName name="lightpoint" localSheetId="39">#REF!</definedName>
    <definedName name="lightpoint" localSheetId="40">#REF!</definedName>
    <definedName name="lightpoint" localSheetId="53">#REF!</definedName>
    <definedName name="lightpoint" localSheetId="54">#REF!</definedName>
    <definedName name="lightpoint" localSheetId="5">#REF!</definedName>
    <definedName name="lightpoint" localSheetId="3">#REF!</definedName>
    <definedName name="lightpoint" localSheetId="48">#REF!</definedName>
    <definedName name="lightpoint" localSheetId="47">#REF!</definedName>
    <definedName name="lightpoint" localSheetId="52">#REF!</definedName>
    <definedName name="lightpoint" localSheetId="58">#REF!</definedName>
    <definedName name="lightpoint" localSheetId="59">#REF!</definedName>
    <definedName name="lightpoint" localSheetId="8">#REF!</definedName>
    <definedName name="lightpoint" localSheetId="17">#REF!</definedName>
    <definedName name="lightpoint" localSheetId="18">#REF!</definedName>
    <definedName name="lightpoint" localSheetId="63">#REF!</definedName>
    <definedName name="lightpoint" localSheetId="13">#REF!</definedName>
    <definedName name="lightpoint" localSheetId="12">#REF!</definedName>
    <definedName name="lightpoint" localSheetId="41">#REF!</definedName>
    <definedName name="lightpoint" localSheetId="42">#REF!</definedName>
    <definedName name="lightpoint" localSheetId="65">#REF!</definedName>
    <definedName name="lightpoint" localSheetId="25">#REF!</definedName>
    <definedName name="lightpoint" localSheetId="23">#REF!</definedName>
    <definedName name="lightpoint">#REF!</definedName>
    <definedName name="masa" localSheetId="30">#REF!</definedName>
    <definedName name="masa" localSheetId="29">#REF!</definedName>
    <definedName name="masa" localSheetId="35">#REF!</definedName>
    <definedName name="masa" localSheetId="34">#REF!</definedName>
    <definedName name="masa" localSheetId="66">#REF!</definedName>
    <definedName name="masa" localSheetId="22">#REF!</definedName>
    <definedName name="masa" localSheetId="24">#REF!</definedName>
    <definedName name="masa" localSheetId="39">#REF!</definedName>
    <definedName name="masa" localSheetId="40">#REF!</definedName>
    <definedName name="masa" localSheetId="53">#REF!</definedName>
    <definedName name="masa" localSheetId="54">#REF!</definedName>
    <definedName name="masa" localSheetId="5">#REF!</definedName>
    <definedName name="masa" localSheetId="3">#REF!</definedName>
    <definedName name="masa" localSheetId="48">#REF!</definedName>
    <definedName name="masa" localSheetId="47">#REF!</definedName>
    <definedName name="masa" localSheetId="52">#REF!</definedName>
    <definedName name="masa" localSheetId="58">#REF!</definedName>
    <definedName name="masa" localSheetId="59">#REF!</definedName>
    <definedName name="masa" localSheetId="8">#REF!</definedName>
    <definedName name="masa" localSheetId="17">#REF!</definedName>
    <definedName name="masa" localSheetId="18">#REF!</definedName>
    <definedName name="masa" localSheetId="63">#REF!</definedName>
    <definedName name="masa" localSheetId="13">#REF!</definedName>
    <definedName name="masa" localSheetId="12">#REF!</definedName>
    <definedName name="masa" localSheetId="41">#REF!</definedName>
    <definedName name="masa" localSheetId="42">#REF!</definedName>
    <definedName name="masa" localSheetId="65">#REF!</definedName>
    <definedName name="masa" localSheetId="25">#REF!</definedName>
    <definedName name="masa" localSheetId="23">#REF!</definedName>
    <definedName name="masa">#REF!</definedName>
    <definedName name="masb" localSheetId="30">#REF!</definedName>
    <definedName name="masb" localSheetId="29">#REF!</definedName>
    <definedName name="masb" localSheetId="35">#REF!</definedName>
    <definedName name="masb" localSheetId="34">#REF!</definedName>
    <definedName name="masb" localSheetId="66">#REF!</definedName>
    <definedName name="masb" localSheetId="22">#REF!</definedName>
    <definedName name="masb" localSheetId="24">#REF!</definedName>
    <definedName name="masb" localSheetId="39">#REF!</definedName>
    <definedName name="masb" localSheetId="40">#REF!</definedName>
    <definedName name="masb" localSheetId="53">#REF!</definedName>
    <definedName name="masb" localSheetId="54">#REF!</definedName>
    <definedName name="masb" localSheetId="5">#REF!</definedName>
    <definedName name="masb" localSheetId="3">#REF!</definedName>
    <definedName name="masb" localSheetId="48">#REF!</definedName>
    <definedName name="masb" localSheetId="47">#REF!</definedName>
    <definedName name="masb" localSheetId="52">#REF!</definedName>
    <definedName name="masb" localSheetId="58">#REF!</definedName>
    <definedName name="masb" localSheetId="59">#REF!</definedName>
    <definedName name="masb" localSheetId="8">#REF!</definedName>
    <definedName name="masb" localSheetId="17">#REF!</definedName>
    <definedName name="masb" localSheetId="18">#REF!</definedName>
    <definedName name="masb" localSheetId="63">#REF!</definedName>
    <definedName name="masb" localSheetId="13">#REF!</definedName>
    <definedName name="masb" localSheetId="12">#REF!</definedName>
    <definedName name="masb" localSheetId="41">#REF!</definedName>
    <definedName name="masb" localSheetId="42">#REF!</definedName>
    <definedName name="masb" localSheetId="65">#REF!</definedName>
    <definedName name="masb" localSheetId="25">#REF!</definedName>
    <definedName name="masb" localSheetId="23">#REF!</definedName>
    <definedName name="masb">#REF!</definedName>
    <definedName name="mccb1000a3p" localSheetId="30">#REF!</definedName>
    <definedName name="mccb1000a3p" localSheetId="29">#REF!</definedName>
    <definedName name="mccb1000a3p" localSheetId="35">#REF!</definedName>
    <definedName name="mccb1000a3p" localSheetId="34">#REF!</definedName>
    <definedName name="mccb1000a3p" localSheetId="66">#REF!</definedName>
    <definedName name="mccb1000a3p" localSheetId="22">#REF!</definedName>
    <definedName name="mccb1000a3p" localSheetId="24">#REF!</definedName>
    <definedName name="mccb1000a3p" localSheetId="39">#REF!</definedName>
    <definedName name="mccb1000a3p" localSheetId="40">#REF!</definedName>
    <definedName name="mccb1000a3p" localSheetId="53">#REF!</definedName>
    <definedName name="mccb1000a3p" localSheetId="54">#REF!</definedName>
    <definedName name="mccb1000a3p" localSheetId="5">#REF!</definedName>
    <definedName name="mccb1000a3p" localSheetId="3">#REF!</definedName>
    <definedName name="mccb1000a3p" localSheetId="48">#REF!</definedName>
    <definedName name="mccb1000a3p" localSheetId="47">#REF!</definedName>
    <definedName name="mccb1000a3p" localSheetId="52">#REF!</definedName>
    <definedName name="mccb1000a3p" localSheetId="58">#REF!</definedName>
    <definedName name="mccb1000a3p" localSheetId="59">#REF!</definedName>
    <definedName name="mccb1000a3p" localSheetId="8">#REF!</definedName>
    <definedName name="mccb1000a3p" localSheetId="17">#REF!</definedName>
    <definedName name="mccb1000a3p" localSheetId="18">#REF!</definedName>
    <definedName name="mccb1000a3p" localSheetId="63">#REF!</definedName>
    <definedName name="mccb1000a3p" localSheetId="13">#REF!</definedName>
    <definedName name="mccb1000a3p" localSheetId="12">#REF!</definedName>
    <definedName name="mccb1000a3p" localSheetId="41">#REF!</definedName>
    <definedName name="mccb1000a3p" localSheetId="42">#REF!</definedName>
    <definedName name="mccb1000a3p" localSheetId="65">#REF!</definedName>
    <definedName name="mccb1000a3p" localSheetId="25">#REF!</definedName>
    <definedName name="mccb1000a3p" localSheetId="23">#REF!</definedName>
    <definedName name="mccb1000a3p">#REF!</definedName>
    <definedName name="mccb100a3p" localSheetId="30">#REF!</definedName>
    <definedName name="mccb100a3p" localSheetId="29">#REF!</definedName>
    <definedName name="mccb100a3p" localSheetId="35">#REF!</definedName>
    <definedName name="mccb100a3p" localSheetId="34">#REF!</definedName>
    <definedName name="mccb100a3p" localSheetId="66">#REF!</definedName>
    <definedName name="mccb100a3p" localSheetId="22">#REF!</definedName>
    <definedName name="mccb100a3p" localSheetId="24">#REF!</definedName>
    <definedName name="mccb100a3p" localSheetId="39">#REF!</definedName>
    <definedName name="mccb100a3p" localSheetId="40">#REF!</definedName>
    <definedName name="mccb100a3p" localSheetId="53">#REF!</definedName>
    <definedName name="mccb100a3p" localSheetId="54">#REF!</definedName>
    <definedName name="mccb100a3p" localSheetId="5">#REF!</definedName>
    <definedName name="mccb100a3p" localSheetId="3">#REF!</definedName>
    <definedName name="mccb100a3p" localSheetId="48">#REF!</definedName>
    <definedName name="mccb100a3p" localSheetId="47">#REF!</definedName>
    <definedName name="mccb100a3p" localSheetId="52">#REF!</definedName>
    <definedName name="mccb100a3p" localSheetId="58">#REF!</definedName>
    <definedName name="mccb100a3p" localSheetId="59">#REF!</definedName>
    <definedName name="mccb100a3p" localSheetId="8">#REF!</definedName>
    <definedName name="mccb100a3p" localSheetId="17">#REF!</definedName>
    <definedName name="mccb100a3p" localSheetId="18">#REF!</definedName>
    <definedName name="mccb100a3p" localSheetId="63">#REF!</definedName>
    <definedName name="mccb100a3p" localSheetId="13">#REF!</definedName>
    <definedName name="mccb100a3p" localSheetId="12">#REF!</definedName>
    <definedName name="mccb100a3p" localSheetId="41">#REF!</definedName>
    <definedName name="mccb100a3p" localSheetId="42">#REF!</definedName>
    <definedName name="mccb100a3p" localSheetId="65">#REF!</definedName>
    <definedName name="mccb100a3p" localSheetId="25">#REF!</definedName>
    <definedName name="mccb100a3p" localSheetId="23">#REF!</definedName>
    <definedName name="mccb100a3p">#REF!</definedName>
    <definedName name="mccb1250a3p" localSheetId="30">#REF!</definedName>
    <definedName name="mccb1250a3p" localSheetId="29">#REF!</definedName>
    <definedName name="mccb1250a3p" localSheetId="35">#REF!</definedName>
    <definedName name="mccb1250a3p" localSheetId="34">#REF!</definedName>
    <definedName name="mccb1250a3p" localSheetId="66">#REF!</definedName>
    <definedName name="mccb1250a3p" localSheetId="22">#REF!</definedName>
    <definedName name="mccb1250a3p" localSheetId="24">#REF!</definedName>
    <definedName name="mccb1250a3p" localSheetId="39">#REF!</definedName>
    <definedName name="mccb1250a3p" localSheetId="40">#REF!</definedName>
    <definedName name="mccb1250a3p" localSheetId="53">#REF!</definedName>
    <definedName name="mccb1250a3p" localSheetId="54">#REF!</definedName>
    <definedName name="mccb1250a3p" localSheetId="5">#REF!</definedName>
    <definedName name="mccb1250a3p" localSheetId="3">#REF!</definedName>
    <definedName name="mccb1250a3p" localSheetId="48">#REF!</definedName>
    <definedName name="mccb1250a3p" localSheetId="47">#REF!</definedName>
    <definedName name="mccb1250a3p" localSheetId="52">#REF!</definedName>
    <definedName name="mccb1250a3p" localSheetId="58">#REF!</definedName>
    <definedName name="mccb1250a3p" localSheetId="59">#REF!</definedName>
    <definedName name="mccb1250a3p" localSheetId="8">#REF!</definedName>
    <definedName name="mccb1250a3p" localSheetId="17">#REF!</definedName>
    <definedName name="mccb1250a3p" localSheetId="18">#REF!</definedName>
    <definedName name="mccb1250a3p" localSheetId="63">#REF!</definedName>
    <definedName name="mccb1250a3p" localSheetId="13">#REF!</definedName>
    <definedName name="mccb1250a3p" localSheetId="12">#REF!</definedName>
    <definedName name="mccb1250a3p" localSheetId="41">#REF!</definedName>
    <definedName name="mccb1250a3p" localSheetId="42">#REF!</definedName>
    <definedName name="mccb1250a3p" localSheetId="65">#REF!</definedName>
    <definedName name="mccb1250a3p" localSheetId="25">#REF!</definedName>
    <definedName name="mccb1250a3p" localSheetId="23">#REF!</definedName>
    <definedName name="mccb1250a3p">#REF!</definedName>
    <definedName name="mccb125a3p" localSheetId="30">#REF!</definedName>
    <definedName name="mccb125a3p" localSheetId="29">#REF!</definedName>
    <definedName name="mccb125a3p" localSheetId="35">#REF!</definedName>
    <definedName name="mccb125a3p" localSheetId="34">#REF!</definedName>
    <definedName name="mccb125a3p" localSheetId="66">#REF!</definedName>
    <definedName name="mccb125a3p" localSheetId="22">#REF!</definedName>
    <definedName name="mccb125a3p" localSheetId="24">#REF!</definedName>
    <definedName name="mccb125a3p" localSheetId="39">#REF!</definedName>
    <definedName name="mccb125a3p" localSheetId="40">#REF!</definedName>
    <definedName name="mccb125a3p" localSheetId="53">#REF!</definedName>
    <definedName name="mccb125a3p" localSheetId="54">#REF!</definedName>
    <definedName name="mccb125a3p" localSheetId="5">#REF!</definedName>
    <definedName name="mccb125a3p" localSheetId="3">#REF!</definedName>
    <definedName name="mccb125a3p" localSheetId="48">#REF!</definedName>
    <definedName name="mccb125a3p" localSheetId="47">#REF!</definedName>
    <definedName name="mccb125a3p" localSheetId="52">#REF!</definedName>
    <definedName name="mccb125a3p" localSheetId="58">#REF!</definedName>
    <definedName name="mccb125a3p" localSheetId="59">#REF!</definedName>
    <definedName name="mccb125a3p" localSheetId="8">#REF!</definedName>
    <definedName name="mccb125a3p" localSheetId="17">#REF!</definedName>
    <definedName name="mccb125a3p" localSheetId="18">#REF!</definedName>
    <definedName name="mccb125a3p" localSheetId="63">#REF!</definedName>
    <definedName name="mccb125a3p" localSheetId="13">#REF!</definedName>
    <definedName name="mccb125a3p" localSheetId="12">#REF!</definedName>
    <definedName name="mccb125a3p" localSheetId="41">#REF!</definedName>
    <definedName name="mccb125a3p" localSheetId="42">#REF!</definedName>
    <definedName name="mccb125a3p" localSheetId="65">#REF!</definedName>
    <definedName name="mccb125a3p" localSheetId="25">#REF!</definedName>
    <definedName name="mccb125a3p" localSheetId="23">#REF!</definedName>
    <definedName name="mccb125a3p">#REF!</definedName>
    <definedName name="mccb1600a3p" localSheetId="30">#REF!</definedName>
    <definedName name="mccb1600a3p" localSheetId="29">#REF!</definedName>
    <definedName name="mccb1600a3p" localSheetId="35">#REF!</definedName>
    <definedName name="mccb1600a3p" localSheetId="34">#REF!</definedName>
    <definedName name="mccb1600a3p" localSheetId="66">#REF!</definedName>
    <definedName name="mccb1600a3p" localSheetId="22">#REF!</definedName>
    <definedName name="mccb1600a3p" localSheetId="24">#REF!</definedName>
    <definedName name="mccb1600a3p" localSheetId="39">#REF!</definedName>
    <definedName name="mccb1600a3p" localSheetId="40">#REF!</definedName>
    <definedName name="mccb1600a3p" localSheetId="53">#REF!</definedName>
    <definedName name="mccb1600a3p" localSheetId="54">#REF!</definedName>
    <definedName name="mccb1600a3p" localSheetId="5">#REF!</definedName>
    <definedName name="mccb1600a3p" localSheetId="3">#REF!</definedName>
    <definedName name="mccb1600a3p" localSheetId="48">#REF!</definedName>
    <definedName name="mccb1600a3p" localSheetId="47">#REF!</definedName>
    <definedName name="mccb1600a3p" localSheetId="52">#REF!</definedName>
    <definedName name="mccb1600a3p" localSheetId="58">#REF!</definedName>
    <definedName name="mccb1600a3p" localSheetId="59">#REF!</definedName>
    <definedName name="mccb1600a3p" localSheetId="8">#REF!</definedName>
    <definedName name="mccb1600a3p" localSheetId="17">#REF!</definedName>
    <definedName name="mccb1600a3p" localSheetId="18">#REF!</definedName>
    <definedName name="mccb1600a3p" localSheetId="63">#REF!</definedName>
    <definedName name="mccb1600a3p" localSheetId="13">#REF!</definedName>
    <definedName name="mccb1600a3p" localSheetId="12">#REF!</definedName>
    <definedName name="mccb1600a3p" localSheetId="41">#REF!</definedName>
    <definedName name="mccb1600a3p" localSheetId="42">#REF!</definedName>
    <definedName name="mccb1600a3p" localSheetId="65">#REF!</definedName>
    <definedName name="mccb1600a3p" localSheetId="25">#REF!</definedName>
    <definedName name="mccb1600a3p" localSheetId="23">#REF!</definedName>
    <definedName name="mccb1600a3p">#REF!</definedName>
    <definedName name="mccb160a3p" localSheetId="30">#REF!</definedName>
    <definedName name="mccb160a3p" localSheetId="29">#REF!</definedName>
    <definedName name="mccb160a3p" localSheetId="35">#REF!</definedName>
    <definedName name="mccb160a3p" localSheetId="34">#REF!</definedName>
    <definedName name="mccb160a3p" localSheetId="66">#REF!</definedName>
    <definedName name="mccb160a3p" localSheetId="22">#REF!</definedName>
    <definedName name="mccb160a3p" localSheetId="24">#REF!</definedName>
    <definedName name="mccb160a3p" localSheetId="39">#REF!</definedName>
    <definedName name="mccb160a3p" localSheetId="40">#REF!</definedName>
    <definedName name="mccb160a3p" localSheetId="53">#REF!</definedName>
    <definedName name="mccb160a3p" localSheetId="54">#REF!</definedName>
    <definedName name="mccb160a3p" localSheetId="5">#REF!</definedName>
    <definedName name="mccb160a3p" localSheetId="3">#REF!</definedName>
    <definedName name="mccb160a3p" localSheetId="48">#REF!</definedName>
    <definedName name="mccb160a3p" localSheetId="47">#REF!</definedName>
    <definedName name="mccb160a3p" localSheetId="52">#REF!</definedName>
    <definedName name="mccb160a3p" localSheetId="58">#REF!</definedName>
    <definedName name="mccb160a3p" localSheetId="59">#REF!</definedName>
    <definedName name="mccb160a3p" localSheetId="8">#REF!</definedName>
    <definedName name="mccb160a3p" localSheetId="17">#REF!</definedName>
    <definedName name="mccb160a3p" localSheetId="18">#REF!</definedName>
    <definedName name="mccb160a3p" localSheetId="63">#REF!</definedName>
    <definedName name="mccb160a3p" localSheetId="13">#REF!</definedName>
    <definedName name="mccb160a3p" localSheetId="12">#REF!</definedName>
    <definedName name="mccb160a3p" localSheetId="41">#REF!</definedName>
    <definedName name="mccb160a3p" localSheetId="42">#REF!</definedName>
    <definedName name="mccb160a3p" localSheetId="65">#REF!</definedName>
    <definedName name="mccb160a3p" localSheetId="25">#REF!</definedName>
    <definedName name="mccb160a3p" localSheetId="23">#REF!</definedName>
    <definedName name="mccb160a3p">#REF!</definedName>
    <definedName name="mccb200a3p" localSheetId="30">#REF!</definedName>
    <definedName name="mccb200a3p" localSheetId="29">#REF!</definedName>
    <definedName name="mccb200a3p" localSheetId="35">#REF!</definedName>
    <definedName name="mccb200a3p" localSheetId="34">#REF!</definedName>
    <definedName name="mccb200a3p" localSheetId="66">#REF!</definedName>
    <definedName name="mccb200a3p" localSheetId="22">#REF!</definedName>
    <definedName name="mccb200a3p" localSheetId="24">#REF!</definedName>
    <definedName name="mccb200a3p" localSheetId="39">#REF!</definedName>
    <definedName name="mccb200a3p" localSheetId="40">#REF!</definedName>
    <definedName name="mccb200a3p" localSheetId="53">#REF!</definedName>
    <definedName name="mccb200a3p" localSheetId="54">#REF!</definedName>
    <definedName name="mccb200a3p" localSheetId="5">#REF!</definedName>
    <definedName name="mccb200a3p" localSheetId="3">#REF!</definedName>
    <definedName name="mccb200a3p" localSheetId="48">#REF!</definedName>
    <definedName name="mccb200a3p" localSheetId="47">#REF!</definedName>
    <definedName name="mccb200a3p" localSheetId="52">#REF!</definedName>
    <definedName name="mccb200a3p" localSheetId="58">#REF!</definedName>
    <definedName name="mccb200a3p" localSheetId="59">#REF!</definedName>
    <definedName name="mccb200a3p" localSheetId="8">#REF!</definedName>
    <definedName name="mccb200a3p" localSheetId="17">#REF!</definedName>
    <definedName name="mccb200a3p" localSheetId="18">#REF!</definedName>
    <definedName name="mccb200a3p" localSheetId="63">#REF!</definedName>
    <definedName name="mccb200a3p" localSheetId="13">#REF!</definedName>
    <definedName name="mccb200a3p" localSheetId="12">#REF!</definedName>
    <definedName name="mccb200a3p" localSheetId="41">#REF!</definedName>
    <definedName name="mccb200a3p" localSheetId="42">#REF!</definedName>
    <definedName name="mccb200a3p" localSheetId="65">#REF!</definedName>
    <definedName name="mccb200a3p" localSheetId="25">#REF!</definedName>
    <definedName name="mccb200a3p" localSheetId="23">#REF!</definedName>
    <definedName name="mccb200a3p">#REF!</definedName>
    <definedName name="mccb250a3p" localSheetId="30">#REF!</definedName>
    <definedName name="mccb250a3p" localSheetId="29">#REF!</definedName>
    <definedName name="mccb250a3p" localSheetId="35">#REF!</definedName>
    <definedName name="mccb250a3p" localSheetId="34">#REF!</definedName>
    <definedName name="mccb250a3p" localSheetId="66">#REF!</definedName>
    <definedName name="mccb250a3p" localSheetId="22">#REF!</definedName>
    <definedName name="mccb250a3p" localSheetId="24">#REF!</definedName>
    <definedName name="mccb250a3p" localSheetId="39">#REF!</definedName>
    <definedName name="mccb250a3p" localSheetId="40">#REF!</definedName>
    <definedName name="mccb250a3p" localSheetId="53">#REF!</definedName>
    <definedName name="mccb250a3p" localSheetId="54">#REF!</definedName>
    <definedName name="mccb250a3p" localSheetId="5">#REF!</definedName>
    <definedName name="mccb250a3p" localSheetId="3">#REF!</definedName>
    <definedName name="mccb250a3p" localSheetId="48">#REF!</definedName>
    <definedName name="mccb250a3p" localSheetId="47">#REF!</definedName>
    <definedName name="mccb250a3p" localSheetId="52">#REF!</definedName>
    <definedName name="mccb250a3p" localSheetId="58">#REF!</definedName>
    <definedName name="mccb250a3p" localSheetId="59">#REF!</definedName>
    <definedName name="mccb250a3p" localSheetId="8">#REF!</definedName>
    <definedName name="mccb250a3p" localSheetId="17">#REF!</definedName>
    <definedName name="mccb250a3p" localSheetId="18">#REF!</definedName>
    <definedName name="mccb250a3p" localSheetId="63">#REF!</definedName>
    <definedName name="mccb250a3p" localSheetId="13">#REF!</definedName>
    <definedName name="mccb250a3p" localSheetId="12">#REF!</definedName>
    <definedName name="mccb250a3p" localSheetId="41">#REF!</definedName>
    <definedName name="mccb250a3p" localSheetId="42">#REF!</definedName>
    <definedName name="mccb250a3p" localSheetId="65">#REF!</definedName>
    <definedName name="mccb250a3p" localSheetId="25">#REF!</definedName>
    <definedName name="mccb250a3p" localSheetId="23">#REF!</definedName>
    <definedName name="mccb250a3p">#REF!</definedName>
    <definedName name="mccb315a3p" localSheetId="30">#REF!</definedName>
    <definedName name="mccb315a3p" localSheetId="29">#REF!</definedName>
    <definedName name="mccb315a3p" localSheetId="35">#REF!</definedName>
    <definedName name="mccb315a3p" localSheetId="34">#REF!</definedName>
    <definedName name="mccb315a3p" localSheetId="66">#REF!</definedName>
    <definedName name="mccb315a3p" localSheetId="22">#REF!</definedName>
    <definedName name="mccb315a3p" localSheetId="24">#REF!</definedName>
    <definedName name="mccb315a3p" localSheetId="39">#REF!</definedName>
    <definedName name="mccb315a3p" localSheetId="40">#REF!</definedName>
    <definedName name="mccb315a3p" localSheetId="53">#REF!</definedName>
    <definedName name="mccb315a3p" localSheetId="54">#REF!</definedName>
    <definedName name="mccb315a3p" localSheetId="5">#REF!</definedName>
    <definedName name="mccb315a3p" localSheetId="3">#REF!</definedName>
    <definedName name="mccb315a3p" localSheetId="48">#REF!</definedName>
    <definedName name="mccb315a3p" localSheetId="47">#REF!</definedName>
    <definedName name="mccb315a3p" localSheetId="52">#REF!</definedName>
    <definedName name="mccb315a3p" localSheetId="58">#REF!</definedName>
    <definedName name="mccb315a3p" localSheetId="59">#REF!</definedName>
    <definedName name="mccb315a3p" localSheetId="8">#REF!</definedName>
    <definedName name="mccb315a3p" localSheetId="17">#REF!</definedName>
    <definedName name="mccb315a3p" localSheetId="18">#REF!</definedName>
    <definedName name="mccb315a3p" localSheetId="63">#REF!</definedName>
    <definedName name="mccb315a3p" localSheetId="13">#REF!</definedName>
    <definedName name="mccb315a3p" localSheetId="12">#REF!</definedName>
    <definedName name="mccb315a3p" localSheetId="41">#REF!</definedName>
    <definedName name="mccb315a3p" localSheetId="42">#REF!</definedName>
    <definedName name="mccb315a3p" localSheetId="65">#REF!</definedName>
    <definedName name="mccb315a3p" localSheetId="25">#REF!</definedName>
    <definedName name="mccb315a3p" localSheetId="23">#REF!</definedName>
    <definedName name="mccb315a3p">#REF!</definedName>
    <definedName name="mccb350a3p" localSheetId="30">#REF!</definedName>
    <definedName name="mccb350a3p" localSheetId="29">#REF!</definedName>
    <definedName name="mccb350a3p" localSheetId="35">#REF!</definedName>
    <definedName name="mccb350a3p" localSheetId="34">#REF!</definedName>
    <definedName name="mccb350a3p" localSheetId="66">#REF!</definedName>
    <definedName name="mccb350a3p" localSheetId="22">#REF!</definedName>
    <definedName name="mccb350a3p" localSheetId="24">#REF!</definedName>
    <definedName name="mccb350a3p" localSheetId="39">#REF!</definedName>
    <definedName name="mccb350a3p" localSheetId="40">#REF!</definedName>
    <definedName name="mccb350a3p" localSheetId="53">#REF!</definedName>
    <definedName name="mccb350a3p" localSheetId="54">#REF!</definedName>
    <definedName name="mccb350a3p" localSheetId="5">#REF!</definedName>
    <definedName name="mccb350a3p" localSheetId="3">#REF!</definedName>
    <definedName name="mccb350a3p" localSheetId="48">#REF!</definedName>
    <definedName name="mccb350a3p" localSheetId="47">#REF!</definedName>
    <definedName name="mccb350a3p" localSheetId="52">#REF!</definedName>
    <definedName name="mccb350a3p" localSheetId="58">#REF!</definedName>
    <definedName name="mccb350a3p" localSheetId="59">#REF!</definedName>
    <definedName name="mccb350a3p" localSheetId="8">#REF!</definedName>
    <definedName name="mccb350a3p" localSheetId="17">#REF!</definedName>
    <definedName name="mccb350a3p" localSheetId="18">#REF!</definedName>
    <definedName name="mccb350a3p" localSheetId="63">#REF!</definedName>
    <definedName name="mccb350a3p" localSheetId="13">#REF!</definedName>
    <definedName name="mccb350a3p" localSheetId="12">#REF!</definedName>
    <definedName name="mccb350a3p" localSheetId="41">#REF!</definedName>
    <definedName name="mccb350a3p" localSheetId="42">#REF!</definedName>
    <definedName name="mccb350a3p" localSheetId="65">#REF!</definedName>
    <definedName name="mccb350a3p" localSheetId="25">#REF!</definedName>
    <definedName name="mccb350a3p" localSheetId="23">#REF!</definedName>
    <definedName name="mccb350a3p">#REF!</definedName>
    <definedName name="mccb400a3p" localSheetId="30">#REF!</definedName>
    <definedName name="mccb400a3p" localSheetId="29">#REF!</definedName>
    <definedName name="mccb400a3p" localSheetId="35">#REF!</definedName>
    <definedName name="mccb400a3p" localSheetId="34">#REF!</definedName>
    <definedName name="mccb400a3p" localSheetId="66">#REF!</definedName>
    <definedName name="mccb400a3p" localSheetId="22">#REF!</definedName>
    <definedName name="mccb400a3p" localSheetId="24">#REF!</definedName>
    <definedName name="mccb400a3p" localSheetId="39">#REF!</definedName>
    <definedName name="mccb400a3p" localSheetId="40">#REF!</definedName>
    <definedName name="mccb400a3p" localSheetId="53">#REF!</definedName>
    <definedName name="mccb400a3p" localSheetId="54">#REF!</definedName>
    <definedName name="mccb400a3p" localSheetId="5">#REF!</definedName>
    <definedName name="mccb400a3p" localSheetId="3">#REF!</definedName>
    <definedName name="mccb400a3p" localSheetId="48">#REF!</definedName>
    <definedName name="mccb400a3p" localSheetId="47">#REF!</definedName>
    <definedName name="mccb400a3p" localSheetId="52">#REF!</definedName>
    <definedName name="mccb400a3p" localSheetId="58">#REF!</definedName>
    <definedName name="mccb400a3p" localSheetId="59">#REF!</definedName>
    <definedName name="mccb400a3p" localSheetId="8">#REF!</definedName>
    <definedName name="mccb400a3p" localSheetId="17">#REF!</definedName>
    <definedName name="mccb400a3p" localSheetId="18">#REF!</definedName>
    <definedName name="mccb400a3p" localSheetId="63">#REF!</definedName>
    <definedName name="mccb400a3p" localSheetId="13">#REF!</definedName>
    <definedName name="mccb400a3p" localSheetId="12">#REF!</definedName>
    <definedName name="mccb400a3p" localSheetId="41">#REF!</definedName>
    <definedName name="mccb400a3p" localSheetId="42">#REF!</definedName>
    <definedName name="mccb400a3p" localSheetId="65">#REF!</definedName>
    <definedName name="mccb400a3p" localSheetId="25">#REF!</definedName>
    <definedName name="mccb400a3p" localSheetId="23">#REF!</definedName>
    <definedName name="mccb400a3p">#REF!</definedName>
    <definedName name="mccb500a3p" localSheetId="30">#REF!</definedName>
    <definedName name="mccb500a3p" localSheetId="29">#REF!</definedName>
    <definedName name="mccb500a3p" localSheetId="35">#REF!</definedName>
    <definedName name="mccb500a3p" localSheetId="34">#REF!</definedName>
    <definedName name="mccb500a3p" localSheetId="66">#REF!</definedName>
    <definedName name="mccb500a3p" localSheetId="22">#REF!</definedName>
    <definedName name="mccb500a3p" localSheetId="24">#REF!</definedName>
    <definedName name="mccb500a3p" localSheetId="39">#REF!</definedName>
    <definedName name="mccb500a3p" localSheetId="40">#REF!</definedName>
    <definedName name="mccb500a3p" localSheetId="53">#REF!</definedName>
    <definedName name="mccb500a3p" localSheetId="54">#REF!</definedName>
    <definedName name="mccb500a3p" localSheetId="5">#REF!</definedName>
    <definedName name="mccb500a3p" localSheetId="3">#REF!</definedName>
    <definedName name="mccb500a3p" localSheetId="48">#REF!</definedName>
    <definedName name="mccb500a3p" localSheetId="47">#REF!</definedName>
    <definedName name="mccb500a3p" localSheetId="52">#REF!</definedName>
    <definedName name="mccb500a3p" localSheetId="58">#REF!</definedName>
    <definedName name="mccb500a3p" localSheetId="59">#REF!</definedName>
    <definedName name="mccb500a3p" localSheetId="8">#REF!</definedName>
    <definedName name="mccb500a3p" localSheetId="17">#REF!</definedName>
    <definedName name="mccb500a3p" localSheetId="18">#REF!</definedName>
    <definedName name="mccb500a3p" localSheetId="63">#REF!</definedName>
    <definedName name="mccb500a3p" localSheetId="13">#REF!</definedName>
    <definedName name="mccb500a3p" localSheetId="12">#REF!</definedName>
    <definedName name="mccb500a3p" localSheetId="41">#REF!</definedName>
    <definedName name="mccb500a3p" localSheetId="42">#REF!</definedName>
    <definedName name="mccb500a3p" localSheetId="65">#REF!</definedName>
    <definedName name="mccb500a3p" localSheetId="25">#REF!</definedName>
    <definedName name="mccb500a3p" localSheetId="23">#REF!</definedName>
    <definedName name="mccb500a3p">#REF!</definedName>
    <definedName name="mccb630a3p" localSheetId="30">#REF!</definedName>
    <definedName name="mccb630a3p" localSheetId="29">#REF!</definedName>
    <definedName name="mccb630a3p" localSheetId="35">#REF!</definedName>
    <definedName name="mccb630a3p" localSheetId="34">#REF!</definedName>
    <definedName name="mccb630a3p" localSheetId="66">#REF!</definedName>
    <definedName name="mccb630a3p" localSheetId="22">#REF!</definedName>
    <definedName name="mccb630a3p" localSheetId="24">#REF!</definedName>
    <definedName name="mccb630a3p" localSheetId="39">#REF!</definedName>
    <definedName name="mccb630a3p" localSheetId="40">#REF!</definedName>
    <definedName name="mccb630a3p" localSheetId="53">#REF!</definedName>
    <definedName name="mccb630a3p" localSheetId="54">#REF!</definedName>
    <definedName name="mccb630a3p" localSheetId="5">#REF!</definedName>
    <definedName name="mccb630a3p" localSheetId="3">#REF!</definedName>
    <definedName name="mccb630a3p" localSheetId="48">#REF!</definedName>
    <definedName name="mccb630a3p" localSheetId="47">#REF!</definedName>
    <definedName name="mccb630a3p" localSheetId="52">#REF!</definedName>
    <definedName name="mccb630a3p" localSheetId="58">#REF!</definedName>
    <definedName name="mccb630a3p" localSheetId="59">#REF!</definedName>
    <definedName name="mccb630a3p" localSheetId="8">#REF!</definedName>
    <definedName name="mccb630a3p" localSheetId="17">#REF!</definedName>
    <definedName name="mccb630a3p" localSheetId="18">#REF!</definedName>
    <definedName name="mccb630a3p" localSheetId="63">#REF!</definedName>
    <definedName name="mccb630a3p" localSheetId="13">#REF!</definedName>
    <definedName name="mccb630a3p" localSheetId="12">#REF!</definedName>
    <definedName name="mccb630a3p" localSheetId="41">#REF!</definedName>
    <definedName name="mccb630a3p" localSheetId="42">#REF!</definedName>
    <definedName name="mccb630a3p" localSheetId="65">#REF!</definedName>
    <definedName name="mccb630a3p" localSheetId="25">#REF!</definedName>
    <definedName name="mccb630a3p" localSheetId="23">#REF!</definedName>
    <definedName name="mccb630a3p">#REF!</definedName>
    <definedName name="mccb80a3p" localSheetId="30">#REF!</definedName>
    <definedName name="mccb80a3p" localSheetId="29">#REF!</definedName>
    <definedName name="mccb80a3p" localSheetId="35">#REF!</definedName>
    <definedName name="mccb80a3p" localSheetId="34">#REF!</definedName>
    <definedName name="mccb80a3p" localSheetId="66">#REF!</definedName>
    <definedName name="mccb80a3p" localSheetId="22">#REF!</definedName>
    <definedName name="mccb80a3p" localSheetId="24">#REF!</definedName>
    <definedName name="mccb80a3p" localSheetId="39">#REF!</definedName>
    <definedName name="mccb80a3p" localSheetId="40">#REF!</definedName>
    <definedName name="mccb80a3p" localSheetId="53">#REF!</definedName>
    <definedName name="mccb80a3p" localSheetId="54">#REF!</definedName>
    <definedName name="mccb80a3p" localSheetId="5">#REF!</definedName>
    <definedName name="mccb80a3p" localSheetId="3">#REF!</definedName>
    <definedName name="mccb80a3p" localSheetId="48">#REF!</definedName>
    <definedName name="mccb80a3p" localSheetId="47">#REF!</definedName>
    <definedName name="mccb80a3p" localSheetId="52">#REF!</definedName>
    <definedName name="mccb80a3p" localSheetId="58">#REF!</definedName>
    <definedName name="mccb80a3p" localSheetId="59">#REF!</definedName>
    <definedName name="mccb80a3p" localSheetId="8">#REF!</definedName>
    <definedName name="mccb80a3p" localSheetId="17">#REF!</definedName>
    <definedName name="mccb80a3p" localSheetId="18">#REF!</definedName>
    <definedName name="mccb80a3p" localSheetId="63">#REF!</definedName>
    <definedName name="mccb80a3p" localSheetId="13">#REF!</definedName>
    <definedName name="mccb80a3p" localSheetId="12">#REF!</definedName>
    <definedName name="mccb80a3p" localSheetId="41">#REF!</definedName>
    <definedName name="mccb80a3p" localSheetId="42">#REF!</definedName>
    <definedName name="mccb80a3p" localSheetId="65">#REF!</definedName>
    <definedName name="mccb80a3p" localSheetId="25">#REF!</definedName>
    <definedName name="mccb80a3p" localSheetId="23">#REF!</definedName>
    <definedName name="mccb80a3p">#REF!</definedName>
    <definedName name="MDB_O.N" localSheetId="30">'[2]Break Down  '!#REF!</definedName>
    <definedName name="MDB_O.N" localSheetId="29">'[2]Break Down  '!#REF!</definedName>
    <definedName name="MDB_O.N" localSheetId="35">'[2]Break Down  '!#REF!</definedName>
    <definedName name="MDB_O.N" localSheetId="34">'[2]Break Down  '!#REF!</definedName>
    <definedName name="MDB_O.N" localSheetId="66">'[1]Break Down  '!#REF!</definedName>
    <definedName name="MDB_O.N" localSheetId="22">'[2]Break Down  '!#REF!</definedName>
    <definedName name="MDB_O.N" localSheetId="24">'[2]Break Down  '!#REF!</definedName>
    <definedName name="MDB_O.N" localSheetId="39">'[2]Break Down  '!#REF!</definedName>
    <definedName name="MDB_O.N" localSheetId="40">'[2]Break Down  '!#REF!</definedName>
    <definedName name="MDB_O.N" localSheetId="53">'[2]Break Down  '!#REF!</definedName>
    <definedName name="MDB_O.N" localSheetId="54">'[2]Break Down  '!#REF!</definedName>
    <definedName name="MDB_O.N" localSheetId="5">'[1]Break Down  '!#REF!</definedName>
    <definedName name="MDB_O.N" localSheetId="3">'[2]Break Down  '!#REF!</definedName>
    <definedName name="MDB_O.N" localSheetId="4">'[2]Break Down  '!#REF!</definedName>
    <definedName name="MDB_O.N" localSheetId="48">'[2]Break Down  '!#REF!</definedName>
    <definedName name="MDB_O.N" localSheetId="47">'[2]Break Down  '!#REF!</definedName>
    <definedName name="MDB_O.N" localSheetId="52">'[1]Break Down  '!#REF!</definedName>
    <definedName name="MDB_O.N" localSheetId="58">'[2]Break Down  '!#REF!</definedName>
    <definedName name="MDB_O.N" localSheetId="59">'[2]Break Down  '!#REF!</definedName>
    <definedName name="MDB_O.N" localSheetId="8">'[2]Break Down  '!#REF!</definedName>
    <definedName name="MDB_O.N" localSheetId="17">'[2]Break Down  '!#REF!</definedName>
    <definedName name="MDB_O.N" localSheetId="18">'[2]Break Down  '!#REF!</definedName>
    <definedName name="MDB_O.N" localSheetId="63">'[2]Break Down  '!#REF!</definedName>
    <definedName name="MDB_O.N" localSheetId="13">'[2]Break Down  '!#REF!</definedName>
    <definedName name="MDB_O.N" localSheetId="12">'[2]Break Down  '!#REF!</definedName>
    <definedName name="MDB_O.N" localSheetId="41">'[2]Break Down  '!#REF!</definedName>
    <definedName name="MDB_O.N" localSheetId="42">'[2]Break Down  '!#REF!</definedName>
    <definedName name="MDB_O.N" localSheetId="65">'[2]Break Down  '!#REF!</definedName>
    <definedName name="MDB_O.N" localSheetId="25">'[2]Break Down  '!#REF!</definedName>
    <definedName name="MDB_O.N" localSheetId="23">'[2]Break Down  '!#REF!</definedName>
    <definedName name="MDB_O.N">'[1]Break Down  '!#REF!</definedName>
    <definedName name="mea" localSheetId="30">'[2]Break Down  '!#REF!</definedName>
    <definedName name="mea" localSheetId="29">'[2]Break Down  '!#REF!</definedName>
    <definedName name="mea" localSheetId="35">'[2]Break Down  '!#REF!</definedName>
    <definedName name="mea" localSheetId="34">'[2]Break Down  '!#REF!</definedName>
    <definedName name="mea" localSheetId="66">'[1]Break Down  '!#REF!</definedName>
    <definedName name="mea" localSheetId="22">'[2]Break Down  '!#REF!</definedName>
    <definedName name="mea" localSheetId="24">'[2]Break Down  '!#REF!</definedName>
    <definedName name="mea" localSheetId="39">'[2]Break Down  '!#REF!</definedName>
    <definedName name="mea" localSheetId="40">'[2]Break Down  '!#REF!</definedName>
    <definedName name="mea" localSheetId="53">'[2]Break Down  '!#REF!</definedName>
    <definedName name="mea" localSheetId="54">'[2]Break Down  '!#REF!</definedName>
    <definedName name="mea" localSheetId="5">'[1]Break Down  '!#REF!</definedName>
    <definedName name="mea" localSheetId="3">'[2]Break Down  '!#REF!</definedName>
    <definedName name="mea" localSheetId="4">'[2]Break Down  '!#REF!</definedName>
    <definedName name="mea" localSheetId="48">'[2]Break Down  '!#REF!</definedName>
    <definedName name="mea" localSheetId="47">'[2]Break Down  '!#REF!</definedName>
    <definedName name="mea" localSheetId="52">'[1]Break Down  '!#REF!</definedName>
    <definedName name="mea" localSheetId="58">'[2]Break Down  '!#REF!</definedName>
    <definedName name="mea" localSheetId="59">'[2]Break Down  '!#REF!</definedName>
    <definedName name="mea" localSheetId="8">'[2]Break Down  '!#REF!</definedName>
    <definedName name="mea" localSheetId="17">'[2]Break Down  '!#REF!</definedName>
    <definedName name="mea" localSheetId="18">'[2]Break Down  '!#REF!</definedName>
    <definedName name="mea" localSheetId="63">'[2]Break Down  '!#REF!</definedName>
    <definedName name="mea" localSheetId="13">'[2]Break Down  '!#REF!</definedName>
    <definedName name="mea" localSheetId="12">'[2]Break Down  '!#REF!</definedName>
    <definedName name="mea" localSheetId="41">'[2]Break Down  '!#REF!</definedName>
    <definedName name="mea" localSheetId="42">'[2]Break Down  '!#REF!</definedName>
    <definedName name="mea" localSheetId="65">'[2]Break Down  '!#REF!</definedName>
    <definedName name="mea" localSheetId="25">'[2]Break Down  '!#REF!</definedName>
    <definedName name="mea" localSheetId="23">'[2]Break Down  '!#REF!</definedName>
    <definedName name="mea">'[1]Break Down  '!#REF!</definedName>
    <definedName name="meas" localSheetId="30">'[2]Break Down  '!#REF!</definedName>
    <definedName name="meas" localSheetId="29">'[2]Break Down  '!#REF!</definedName>
    <definedName name="meas" localSheetId="35">'[2]Break Down  '!#REF!</definedName>
    <definedName name="meas" localSheetId="34">'[2]Break Down  '!#REF!</definedName>
    <definedName name="meas" localSheetId="66">'[1]Break Down  '!#REF!</definedName>
    <definedName name="meas" localSheetId="22">'[2]Break Down  '!#REF!</definedName>
    <definedName name="meas" localSheetId="24">'[2]Break Down  '!#REF!</definedName>
    <definedName name="meas" localSheetId="39">'[2]Break Down  '!#REF!</definedName>
    <definedName name="meas" localSheetId="40">'[2]Break Down  '!#REF!</definedName>
    <definedName name="meas" localSheetId="53">'[2]Break Down  '!#REF!</definedName>
    <definedName name="meas" localSheetId="54">'[2]Break Down  '!#REF!</definedName>
    <definedName name="meas" localSheetId="5">'[1]Break Down  '!#REF!</definedName>
    <definedName name="meas" localSheetId="3">'[2]Break Down  '!#REF!</definedName>
    <definedName name="meas" localSheetId="4">'[2]Break Down  '!#REF!</definedName>
    <definedName name="meas" localSheetId="48">'[2]Break Down  '!#REF!</definedName>
    <definedName name="meas" localSheetId="47">'[2]Break Down  '!#REF!</definedName>
    <definedName name="meas" localSheetId="52">'[1]Break Down  '!#REF!</definedName>
    <definedName name="meas" localSheetId="58">'[2]Break Down  '!#REF!</definedName>
    <definedName name="meas" localSheetId="59">'[2]Break Down  '!#REF!</definedName>
    <definedName name="meas" localSheetId="8">'[2]Break Down  '!#REF!</definedName>
    <definedName name="meas" localSheetId="17">'[2]Break Down  '!#REF!</definedName>
    <definedName name="meas" localSheetId="18">'[2]Break Down  '!#REF!</definedName>
    <definedName name="meas" localSheetId="63">'[2]Break Down  '!#REF!</definedName>
    <definedName name="meas" localSheetId="13">'[2]Break Down  '!#REF!</definedName>
    <definedName name="meas" localSheetId="12">'[2]Break Down  '!#REF!</definedName>
    <definedName name="meas" localSheetId="41">'[2]Break Down  '!#REF!</definedName>
    <definedName name="meas" localSheetId="42">'[2]Break Down  '!#REF!</definedName>
    <definedName name="meas" localSheetId="65">'[2]Break Down  '!#REF!</definedName>
    <definedName name="meas" localSheetId="25">'[2]Break Down  '!#REF!</definedName>
    <definedName name="meas" localSheetId="23">'[2]Break Down  '!#REF!</definedName>
    <definedName name="meas">'[1]Break Down  '!#REF!</definedName>
    <definedName name="meas." localSheetId="30">[14]Sheet1!#REF!</definedName>
    <definedName name="meas." localSheetId="29">[14]Sheet1!#REF!</definedName>
    <definedName name="meas." localSheetId="35">[14]Sheet1!#REF!</definedName>
    <definedName name="meas." localSheetId="34">[14]Sheet1!#REF!</definedName>
    <definedName name="meas." localSheetId="66">[15]Sheet1!#REF!</definedName>
    <definedName name="meas." localSheetId="22">[14]Sheet1!#REF!</definedName>
    <definedName name="meas." localSheetId="24">[14]Sheet1!#REF!</definedName>
    <definedName name="meas." localSheetId="39">[14]Sheet1!#REF!</definedName>
    <definedName name="meas." localSheetId="40">[14]Sheet1!#REF!</definedName>
    <definedName name="meas." localSheetId="53">[14]Sheet1!#REF!</definedName>
    <definedName name="meas." localSheetId="54">[14]Sheet1!#REF!</definedName>
    <definedName name="meas." localSheetId="5">[15]Sheet1!#REF!</definedName>
    <definedName name="meas." localSheetId="3">[14]Sheet1!#REF!</definedName>
    <definedName name="meas." localSheetId="4">[14]Sheet1!#REF!</definedName>
    <definedName name="meas." localSheetId="48">[14]Sheet1!#REF!</definedName>
    <definedName name="meas." localSheetId="47">[14]Sheet1!#REF!</definedName>
    <definedName name="meas." localSheetId="52">[15]Sheet1!#REF!</definedName>
    <definedName name="meas." localSheetId="58">[14]Sheet1!#REF!</definedName>
    <definedName name="meas." localSheetId="59">[14]Sheet1!#REF!</definedName>
    <definedName name="meas." localSheetId="8">[14]Sheet1!#REF!</definedName>
    <definedName name="meas." localSheetId="17">[14]Sheet1!#REF!</definedName>
    <definedName name="meas." localSheetId="18">[14]Sheet1!#REF!</definedName>
    <definedName name="meas." localSheetId="63">[14]Sheet1!#REF!</definedName>
    <definedName name="meas." localSheetId="13">[14]Sheet1!#REF!</definedName>
    <definedName name="meas." localSheetId="12">[14]Sheet1!#REF!</definedName>
    <definedName name="meas." localSheetId="41">[14]Sheet1!#REF!</definedName>
    <definedName name="meas." localSheetId="42">[14]Sheet1!#REF!</definedName>
    <definedName name="meas." localSheetId="65">[14]Sheet1!#REF!</definedName>
    <definedName name="meas." localSheetId="25">[14]Sheet1!#REF!</definedName>
    <definedName name="meas." localSheetId="23">[14]Sheet1!#REF!</definedName>
    <definedName name="meas.">[15]Sheet1!#REF!</definedName>
    <definedName name="mm2_2x4" localSheetId="30">'[2]Break Down  '!#REF!</definedName>
    <definedName name="mm2_2x4" localSheetId="29">'[2]Break Down  '!#REF!</definedName>
    <definedName name="mm2_2x4" localSheetId="35">'[2]Break Down  '!#REF!</definedName>
    <definedName name="mm2_2x4" localSheetId="34">'[2]Break Down  '!#REF!</definedName>
    <definedName name="mm2_2x4" localSheetId="66">'[1]Break Down  '!#REF!</definedName>
    <definedName name="mm2_2x4" localSheetId="22">'[2]Break Down  '!#REF!</definedName>
    <definedName name="mm2_2x4" localSheetId="24">'[2]Break Down  '!#REF!</definedName>
    <definedName name="mm2_2x4" localSheetId="39">'[2]Break Down  '!#REF!</definedName>
    <definedName name="mm2_2x4" localSheetId="40">'[2]Break Down  '!#REF!</definedName>
    <definedName name="mm2_2x4" localSheetId="53">'[2]Break Down  '!#REF!</definedName>
    <definedName name="mm2_2x4" localSheetId="54">'[2]Break Down  '!#REF!</definedName>
    <definedName name="mm2_2x4" localSheetId="5">'[1]Break Down  '!#REF!</definedName>
    <definedName name="mm2_2x4" localSheetId="3">'[2]Break Down  '!#REF!</definedName>
    <definedName name="mm2_2x4" localSheetId="4">'[2]Break Down  '!#REF!</definedName>
    <definedName name="mm2_2x4" localSheetId="48">'[2]Break Down  '!#REF!</definedName>
    <definedName name="mm2_2x4" localSheetId="47">'[2]Break Down  '!#REF!</definedName>
    <definedName name="mm2_2x4" localSheetId="52">'[1]Break Down  '!#REF!</definedName>
    <definedName name="mm2_2x4" localSheetId="58">'[2]Break Down  '!#REF!</definedName>
    <definedName name="mm2_2x4" localSheetId="59">'[2]Break Down  '!#REF!</definedName>
    <definedName name="mm2_2x4" localSheetId="8">'[2]Break Down  '!#REF!</definedName>
    <definedName name="mm2_2x4" localSheetId="17">'[2]Break Down  '!#REF!</definedName>
    <definedName name="mm2_2x4" localSheetId="18">'[2]Break Down  '!#REF!</definedName>
    <definedName name="mm2_2x4" localSheetId="63">'[2]Break Down  '!#REF!</definedName>
    <definedName name="mm2_2x4" localSheetId="13">'[2]Break Down  '!#REF!</definedName>
    <definedName name="mm2_2x4" localSheetId="12">'[2]Break Down  '!#REF!</definedName>
    <definedName name="mm2_2x4" localSheetId="41">'[2]Break Down  '!#REF!</definedName>
    <definedName name="mm2_2x4" localSheetId="42">'[2]Break Down  '!#REF!</definedName>
    <definedName name="mm2_2x4" localSheetId="65">'[2]Break Down  '!#REF!</definedName>
    <definedName name="mm2_2x4" localSheetId="25">'[2]Break Down  '!#REF!</definedName>
    <definedName name="mm2_2x4" localSheetId="23">'[2]Break Down  '!#REF!</definedName>
    <definedName name="mm2_2x4">'[1]Break Down  '!#REF!</definedName>
    <definedName name="mm2_3x4" localSheetId="30">'[2]Break Down  '!#REF!</definedName>
    <definedName name="mm2_3x4" localSheetId="29">'[2]Break Down  '!#REF!</definedName>
    <definedName name="mm2_3x4" localSheetId="35">'[2]Break Down  '!#REF!</definedName>
    <definedName name="mm2_3x4" localSheetId="34">'[2]Break Down  '!#REF!</definedName>
    <definedName name="mm2_3x4" localSheetId="66">'[1]Break Down  '!#REF!</definedName>
    <definedName name="mm2_3x4" localSheetId="22">'[2]Break Down  '!#REF!</definedName>
    <definedName name="mm2_3x4" localSheetId="24">'[2]Break Down  '!#REF!</definedName>
    <definedName name="mm2_3x4" localSheetId="39">'[2]Break Down  '!#REF!</definedName>
    <definedName name="mm2_3x4" localSheetId="40">'[2]Break Down  '!#REF!</definedName>
    <definedName name="mm2_3x4" localSheetId="53">'[2]Break Down  '!#REF!</definedName>
    <definedName name="mm2_3x4" localSheetId="54">'[2]Break Down  '!#REF!</definedName>
    <definedName name="mm2_3x4" localSheetId="5">'[1]Break Down  '!#REF!</definedName>
    <definedName name="mm2_3x4" localSheetId="3">'[2]Break Down  '!#REF!</definedName>
    <definedName name="mm2_3x4" localSheetId="4">'[2]Break Down  '!#REF!</definedName>
    <definedName name="mm2_3x4" localSheetId="48">'[2]Break Down  '!#REF!</definedName>
    <definedName name="mm2_3x4" localSheetId="47">'[2]Break Down  '!#REF!</definedName>
    <definedName name="mm2_3x4" localSheetId="52">'[1]Break Down  '!#REF!</definedName>
    <definedName name="mm2_3x4" localSheetId="58">'[2]Break Down  '!#REF!</definedName>
    <definedName name="mm2_3x4" localSheetId="59">'[2]Break Down  '!#REF!</definedName>
    <definedName name="mm2_3x4" localSheetId="8">'[2]Break Down  '!#REF!</definedName>
    <definedName name="mm2_3x4" localSheetId="17">'[2]Break Down  '!#REF!</definedName>
    <definedName name="mm2_3x4" localSheetId="18">'[2]Break Down  '!#REF!</definedName>
    <definedName name="mm2_3x4" localSheetId="63">'[2]Break Down  '!#REF!</definedName>
    <definedName name="mm2_3x4" localSheetId="13">'[2]Break Down  '!#REF!</definedName>
    <definedName name="mm2_3x4" localSheetId="12">'[2]Break Down  '!#REF!</definedName>
    <definedName name="mm2_3x4" localSheetId="41">'[2]Break Down  '!#REF!</definedName>
    <definedName name="mm2_3x4" localSheetId="42">'[2]Break Down  '!#REF!</definedName>
    <definedName name="mm2_3x4" localSheetId="65">'[2]Break Down  '!#REF!</definedName>
    <definedName name="mm2_3x4" localSheetId="25">'[2]Break Down  '!#REF!</definedName>
    <definedName name="mm2_3x4" localSheetId="23">'[2]Break Down  '!#REF!</definedName>
    <definedName name="mm2_3x4">'[1]Break Down  '!#REF!</definedName>
    <definedName name="mm2_4x4" localSheetId="30">'[2]Break Down  '!#REF!</definedName>
    <definedName name="mm2_4x4" localSheetId="29">'[2]Break Down  '!#REF!</definedName>
    <definedName name="mm2_4x4" localSheetId="35">'[2]Break Down  '!#REF!</definedName>
    <definedName name="mm2_4x4" localSheetId="34">'[2]Break Down  '!#REF!</definedName>
    <definedName name="mm2_4x4" localSheetId="66">'[1]Break Down  '!#REF!</definedName>
    <definedName name="mm2_4x4" localSheetId="22">'[2]Break Down  '!#REF!</definedName>
    <definedName name="mm2_4x4" localSheetId="24">'[2]Break Down  '!#REF!</definedName>
    <definedName name="mm2_4x4" localSheetId="39">'[2]Break Down  '!#REF!</definedName>
    <definedName name="mm2_4x4" localSheetId="40">'[2]Break Down  '!#REF!</definedName>
    <definedName name="mm2_4x4" localSheetId="53">'[2]Break Down  '!#REF!</definedName>
    <definedName name="mm2_4x4" localSheetId="54">'[2]Break Down  '!#REF!</definedName>
    <definedName name="mm2_4x4" localSheetId="5">'[1]Break Down  '!#REF!</definedName>
    <definedName name="mm2_4x4" localSheetId="3">'[2]Break Down  '!#REF!</definedName>
    <definedName name="mm2_4x4" localSheetId="4">'[2]Break Down  '!#REF!</definedName>
    <definedName name="mm2_4x4" localSheetId="48">'[2]Break Down  '!#REF!</definedName>
    <definedName name="mm2_4x4" localSheetId="47">'[2]Break Down  '!#REF!</definedName>
    <definedName name="mm2_4x4" localSheetId="52">'[1]Break Down  '!#REF!</definedName>
    <definedName name="mm2_4x4" localSheetId="58">'[2]Break Down  '!#REF!</definedName>
    <definedName name="mm2_4x4" localSheetId="59">'[2]Break Down  '!#REF!</definedName>
    <definedName name="mm2_4x4" localSheetId="8">'[2]Break Down  '!#REF!</definedName>
    <definedName name="mm2_4x4" localSheetId="17">'[2]Break Down  '!#REF!</definedName>
    <definedName name="mm2_4x4" localSheetId="18">'[2]Break Down  '!#REF!</definedName>
    <definedName name="mm2_4x4" localSheetId="63">'[2]Break Down  '!#REF!</definedName>
    <definedName name="mm2_4x4" localSheetId="13">'[2]Break Down  '!#REF!</definedName>
    <definedName name="mm2_4x4" localSheetId="12">'[2]Break Down  '!#REF!</definedName>
    <definedName name="mm2_4x4" localSheetId="41">'[2]Break Down  '!#REF!</definedName>
    <definedName name="mm2_4x4" localSheetId="42">'[2]Break Down  '!#REF!</definedName>
    <definedName name="mm2_4x4" localSheetId="65">'[2]Break Down  '!#REF!</definedName>
    <definedName name="mm2_4x4" localSheetId="25">'[2]Break Down  '!#REF!</definedName>
    <definedName name="mm2_4x4" localSheetId="23">'[2]Break Down  '!#REF!</definedName>
    <definedName name="mm2_4x4">'[1]Break Down  '!#REF!</definedName>
    <definedName name="mm2_4x6" localSheetId="30">'[2]Break Down  '!#REF!</definedName>
    <definedName name="mm2_4x6" localSheetId="29">'[2]Break Down  '!#REF!</definedName>
    <definedName name="mm2_4x6" localSheetId="35">'[2]Break Down  '!#REF!</definedName>
    <definedName name="mm2_4x6" localSheetId="34">'[2]Break Down  '!#REF!</definedName>
    <definedName name="mm2_4x6" localSheetId="66">'[1]Break Down  '!#REF!</definedName>
    <definedName name="mm2_4x6" localSheetId="22">'[2]Break Down  '!#REF!</definedName>
    <definedName name="mm2_4x6" localSheetId="24">'[2]Break Down  '!#REF!</definedName>
    <definedName name="mm2_4x6" localSheetId="39">'[2]Break Down  '!#REF!</definedName>
    <definedName name="mm2_4x6" localSheetId="40">'[2]Break Down  '!#REF!</definedName>
    <definedName name="mm2_4x6" localSheetId="53">'[2]Break Down  '!#REF!</definedName>
    <definedName name="mm2_4x6" localSheetId="54">'[2]Break Down  '!#REF!</definedName>
    <definedName name="mm2_4x6" localSheetId="5">'[1]Break Down  '!#REF!</definedName>
    <definedName name="mm2_4x6" localSheetId="3">'[2]Break Down  '!#REF!</definedName>
    <definedName name="mm2_4x6" localSheetId="4">'[2]Break Down  '!#REF!</definedName>
    <definedName name="mm2_4x6" localSheetId="48">'[2]Break Down  '!#REF!</definedName>
    <definedName name="mm2_4x6" localSheetId="47">'[2]Break Down  '!#REF!</definedName>
    <definedName name="mm2_4x6" localSheetId="52">'[1]Break Down  '!#REF!</definedName>
    <definedName name="mm2_4x6" localSheetId="58">'[2]Break Down  '!#REF!</definedName>
    <definedName name="mm2_4x6" localSheetId="59">'[2]Break Down  '!#REF!</definedName>
    <definedName name="mm2_4x6" localSheetId="8">'[2]Break Down  '!#REF!</definedName>
    <definedName name="mm2_4x6" localSheetId="17">'[2]Break Down  '!#REF!</definedName>
    <definedName name="mm2_4x6" localSheetId="18">'[2]Break Down  '!#REF!</definedName>
    <definedName name="mm2_4x6" localSheetId="63">'[2]Break Down  '!#REF!</definedName>
    <definedName name="mm2_4x6" localSheetId="13">'[2]Break Down  '!#REF!</definedName>
    <definedName name="mm2_4x6" localSheetId="12">'[2]Break Down  '!#REF!</definedName>
    <definedName name="mm2_4x6" localSheetId="41">'[2]Break Down  '!#REF!</definedName>
    <definedName name="mm2_4x6" localSheetId="42">'[2]Break Down  '!#REF!</definedName>
    <definedName name="mm2_4x6" localSheetId="65">'[2]Break Down  '!#REF!</definedName>
    <definedName name="mm2_4x6" localSheetId="25">'[2]Break Down  '!#REF!</definedName>
    <definedName name="mm2_4x6" localSheetId="23">'[2]Break Down  '!#REF!</definedName>
    <definedName name="mm2_4x6">'[1]Break Down  '!#REF!</definedName>
    <definedName name="Mo" localSheetId="30">[12]Sheet1!$B$2</definedName>
    <definedName name="Mo" localSheetId="29">[12]Sheet1!$B$2</definedName>
    <definedName name="Mo" localSheetId="35">[12]Sheet1!$B$2</definedName>
    <definedName name="Mo" localSheetId="34">[12]Sheet1!$B$2</definedName>
    <definedName name="Mo" localSheetId="22">[12]Sheet1!$B$2</definedName>
    <definedName name="Mo" localSheetId="24">[12]Sheet1!$B$2</definedName>
    <definedName name="Mo" localSheetId="39">[12]Sheet1!$B$2</definedName>
    <definedName name="Mo" localSheetId="40">[12]Sheet1!$B$2</definedName>
    <definedName name="Mo" localSheetId="53">[12]Sheet1!$B$2</definedName>
    <definedName name="Mo" localSheetId="54">[12]Sheet1!$B$2</definedName>
    <definedName name="Mo" localSheetId="3">[12]Sheet1!$B$2</definedName>
    <definedName name="Mo" localSheetId="4">[12]Sheet1!$B$2</definedName>
    <definedName name="Mo" localSheetId="48">[12]Sheet1!$B$2</definedName>
    <definedName name="Mo" localSheetId="47">[12]Sheet1!$B$2</definedName>
    <definedName name="Mo" localSheetId="58">[12]Sheet1!$B$2</definedName>
    <definedName name="Mo" localSheetId="59">[12]Sheet1!$B$2</definedName>
    <definedName name="Mo" localSheetId="8">[12]Sheet1!$B$2</definedName>
    <definedName name="Mo" localSheetId="17">[12]Sheet1!$B$2</definedName>
    <definedName name="Mo" localSheetId="18">[12]Sheet1!$B$2</definedName>
    <definedName name="Mo" localSheetId="63">[12]Sheet1!$B$2</definedName>
    <definedName name="Mo" localSheetId="13">[12]Sheet1!$B$2</definedName>
    <definedName name="Mo" localSheetId="12">[12]Sheet1!$B$2</definedName>
    <definedName name="Mo" localSheetId="41">[12]Sheet1!$B$2</definedName>
    <definedName name="Mo" localSheetId="42">[12]Sheet1!$B$2</definedName>
    <definedName name="Mo" localSheetId="65">[12]Sheet1!$B$2</definedName>
    <definedName name="Mo" localSheetId="25">[12]Sheet1!$B$2</definedName>
    <definedName name="Mo" localSheetId="23">[12]Sheet1!$B$2</definedName>
    <definedName name="Mo">[13]Sheet1!$B$2</definedName>
    <definedName name="Mon" localSheetId="30">[14]Sheet1!$B$3</definedName>
    <definedName name="Mon" localSheetId="29">[14]Sheet1!$B$3</definedName>
    <definedName name="Mon" localSheetId="35">[14]Sheet1!$B$3</definedName>
    <definedName name="Mon" localSheetId="34">[14]Sheet1!$B$3</definedName>
    <definedName name="Mon" localSheetId="22">[14]Sheet1!$B$3</definedName>
    <definedName name="Mon" localSheetId="24">[14]Sheet1!$B$3</definedName>
    <definedName name="Mon" localSheetId="39">[14]Sheet1!$B$3</definedName>
    <definedName name="Mon" localSheetId="40">[14]Sheet1!$B$3</definedName>
    <definedName name="Mon" localSheetId="53">[14]Sheet1!$B$3</definedName>
    <definedName name="Mon" localSheetId="54">[14]Sheet1!$B$3</definedName>
    <definedName name="Mon" localSheetId="3">[14]Sheet1!$B$3</definedName>
    <definedName name="Mon" localSheetId="4">[14]Sheet1!$B$3</definedName>
    <definedName name="Mon" localSheetId="48">[14]Sheet1!$B$3</definedName>
    <definedName name="Mon" localSheetId="47">[14]Sheet1!$B$3</definedName>
    <definedName name="Mon" localSheetId="58">[14]Sheet1!$B$3</definedName>
    <definedName name="Mon" localSheetId="59">[14]Sheet1!$B$3</definedName>
    <definedName name="Mon" localSheetId="8">[14]Sheet1!$B$3</definedName>
    <definedName name="Mon" localSheetId="17">[14]Sheet1!$B$3</definedName>
    <definedName name="Mon" localSheetId="18">[14]Sheet1!$B$3</definedName>
    <definedName name="Mon" localSheetId="63">[14]Sheet1!$B$3</definedName>
    <definedName name="Mon" localSheetId="13">[14]Sheet1!$B$3</definedName>
    <definedName name="Mon" localSheetId="12">[14]Sheet1!$B$3</definedName>
    <definedName name="Mon" localSheetId="41">[14]Sheet1!$B$3</definedName>
    <definedName name="Mon" localSheetId="42">[14]Sheet1!$B$3</definedName>
    <definedName name="Mon" localSheetId="65">[14]Sheet1!$B$3</definedName>
    <definedName name="Mon" localSheetId="25">[14]Sheet1!$B$3</definedName>
    <definedName name="Mon" localSheetId="23">[14]Sheet1!$B$3</definedName>
    <definedName name="Mon">[15]Sheet1!$B$3</definedName>
    <definedName name="Mont" localSheetId="30">[16]Sheet1!#REF!</definedName>
    <definedName name="Mont" localSheetId="29">[16]Sheet1!#REF!</definedName>
    <definedName name="Mont" localSheetId="35">[16]Sheet1!#REF!</definedName>
    <definedName name="Mont" localSheetId="34">[16]Sheet1!#REF!</definedName>
    <definedName name="Mont" localSheetId="66">[17]Sheet1!#REF!</definedName>
    <definedName name="Mont" localSheetId="22">[16]Sheet1!#REF!</definedName>
    <definedName name="Mont" localSheetId="24">[16]Sheet1!#REF!</definedName>
    <definedName name="Mont" localSheetId="39">[16]Sheet1!#REF!</definedName>
    <definedName name="Mont" localSheetId="40">[16]Sheet1!#REF!</definedName>
    <definedName name="Mont" localSheetId="53">[16]Sheet1!#REF!</definedName>
    <definedName name="Mont" localSheetId="54">[16]Sheet1!#REF!</definedName>
    <definedName name="Mont" localSheetId="5">[17]Sheet1!#REF!</definedName>
    <definedName name="Mont" localSheetId="3">[16]Sheet1!#REF!</definedName>
    <definedName name="Mont" localSheetId="4">[16]Sheet1!#REF!</definedName>
    <definedName name="Mont" localSheetId="48">[16]Sheet1!#REF!</definedName>
    <definedName name="Mont" localSheetId="47">[16]Sheet1!#REF!</definedName>
    <definedName name="Mont" localSheetId="52">[17]Sheet1!#REF!</definedName>
    <definedName name="Mont" localSheetId="58">[16]Sheet1!#REF!</definedName>
    <definedName name="Mont" localSheetId="59">[16]Sheet1!#REF!</definedName>
    <definedName name="Mont" localSheetId="8">[16]Sheet1!#REF!</definedName>
    <definedName name="Mont" localSheetId="17">[16]Sheet1!#REF!</definedName>
    <definedName name="Mont" localSheetId="18">[16]Sheet1!#REF!</definedName>
    <definedName name="Mont" localSheetId="63">[16]Sheet1!#REF!</definedName>
    <definedName name="Mont" localSheetId="13">[16]Sheet1!#REF!</definedName>
    <definedName name="Mont" localSheetId="12">[16]Sheet1!#REF!</definedName>
    <definedName name="Mont" localSheetId="41">[16]Sheet1!#REF!</definedName>
    <definedName name="Mont" localSheetId="42">[16]Sheet1!#REF!</definedName>
    <definedName name="Mont" localSheetId="65">[16]Sheet1!#REF!</definedName>
    <definedName name="Mont" localSheetId="25">[16]Sheet1!#REF!</definedName>
    <definedName name="Mont" localSheetId="23">[16]Sheet1!#REF!</definedName>
    <definedName name="Mont">[17]Sheet1!#REF!</definedName>
    <definedName name="month" localSheetId="30">[14]Sheet1!#REF!</definedName>
    <definedName name="month" localSheetId="29">[14]Sheet1!#REF!</definedName>
    <definedName name="month" localSheetId="35">[14]Sheet1!#REF!</definedName>
    <definedName name="month" localSheetId="34">[14]Sheet1!#REF!</definedName>
    <definedName name="month" localSheetId="66">[15]Sheet1!#REF!</definedName>
    <definedName name="month" localSheetId="22">[14]Sheet1!#REF!</definedName>
    <definedName name="month" localSheetId="24">[14]Sheet1!#REF!</definedName>
    <definedName name="month" localSheetId="39">[14]Sheet1!#REF!</definedName>
    <definedName name="month" localSheetId="40">[14]Sheet1!#REF!</definedName>
    <definedName name="month" localSheetId="53">[14]Sheet1!#REF!</definedName>
    <definedName name="month" localSheetId="54">[14]Sheet1!#REF!</definedName>
    <definedName name="month" localSheetId="5">[15]Sheet1!#REF!</definedName>
    <definedName name="month" localSheetId="3">[14]Sheet1!#REF!</definedName>
    <definedName name="month" localSheetId="4">[14]Sheet1!#REF!</definedName>
    <definedName name="month" localSheetId="48">[14]Sheet1!#REF!</definedName>
    <definedName name="month" localSheetId="47">[14]Sheet1!#REF!</definedName>
    <definedName name="month" localSheetId="52">[15]Sheet1!#REF!</definedName>
    <definedName name="month" localSheetId="58">[14]Sheet1!#REF!</definedName>
    <definedName name="month" localSheetId="59">[14]Sheet1!#REF!</definedName>
    <definedName name="month" localSheetId="8">[14]Sheet1!#REF!</definedName>
    <definedName name="month" localSheetId="17">[14]Sheet1!#REF!</definedName>
    <definedName name="month" localSheetId="18">[14]Sheet1!#REF!</definedName>
    <definedName name="month" localSheetId="63">[14]Sheet1!#REF!</definedName>
    <definedName name="month" localSheetId="13">[14]Sheet1!#REF!</definedName>
    <definedName name="month" localSheetId="12">[14]Sheet1!#REF!</definedName>
    <definedName name="month" localSheetId="41">[14]Sheet1!#REF!</definedName>
    <definedName name="month" localSheetId="42">[14]Sheet1!#REF!</definedName>
    <definedName name="month" localSheetId="65">[14]Sheet1!#REF!</definedName>
    <definedName name="month" localSheetId="25">[14]Sheet1!#REF!</definedName>
    <definedName name="month" localSheetId="23">[14]Sheet1!#REF!</definedName>
    <definedName name="month">[15]Sheet1!#REF!</definedName>
    <definedName name="Mortar_in_cement_sand_1.2" localSheetId="30">'[2]Break Down  '!#REF!</definedName>
    <definedName name="Mortar_in_cement_sand_1.2" localSheetId="29">'[2]Break Down  '!#REF!</definedName>
    <definedName name="Mortar_in_cement_sand_1.2" localSheetId="35">'[2]Break Down  '!#REF!</definedName>
    <definedName name="Mortar_in_cement_sand_1.2" localSheetId="34">'[2]Break Down  '!#REF!</definedName>
    <definedName name="Mortar_in_cement_sand_1.2" localSheetId="66">'[1]Break Down  '!#REF!</definedName>
    <definedName name="Mortar_in_cement_sand_1.2" localSheetId="22">'[2]Break Down  '!#REF!</definedName>
    <definedName name="Mortar_in_cement_sand_1.2" localSheetId="24">'[2]Break Down  '!#REF!</definedName>
    <definedName name="Mortar_in_cement_sand_1.2" localSheetId="39">'[2]Break Down  '!#REF!</definedName>
    <definedName name="Mortar_in_cement_sand_1.2" localSheetId="40">'[2]Break Down  '!#REF!</definedName>
    <definedName name="Mortar_in_cement_sand_1.2" localSheetId="53">'[2]Break Down  '!#REF!</definedName>
    <definedName name="Mortar_in_cement_sand_1.2" localSheetId="54">'[2]Break Down  '!#REF!</definedName>
    <definedName name="Mortar_in_cement_sand_1.2" localSheetId="5">'[1]Break Down  '!#REF!</definedName>
    <definedName name="Mortar_in_cement_sand_1.2" localSheetId="3">'[2]Break Down  '!#REF!</definedName>
    <definedName name="Mortar_in_cement_sand_1.2" localSheetId="4">'[2]Break Down  '!#REF!</definedName>
    <definedName name="Mortar_in_cement_sand_1.2" localSheetId="48">'[2]Break Down  '!#REF!</definedName>
    <definedName name="Mortar_in_cement_sand_1.2" localSheetId="47">'[2]Break Down  '!#REF!</definedName>
    <definedName name="Mortar_in_cement_sand_1.2" localSheetId="52">'[1]Break Down  '!#REF!</definedName>
    <definedName name="Mortar_in_cement_sand_1.2" localSheetId="58">'[2]Break Down  '!#REF!</definedName>
    <definedName name="Mortar_in_cement_sand_1.2" localSheetId="59">'[2]Break Down  '!#REF!</definedName>
    <definedName name="Mortar_in_cement_sand_1.2" localSheetId="8">'[2]Break Down  '!#REF!</definedName>
    <definedName name="Mortar_in_cement_sand_1.2" localSheetId="17">'[2]Break Down  '!#REF!</definedName>
    <definedName name="Mortar_in_cement_sand_1.2" localSheetId="18">'[2]Break Down  '!#REF!</definedName>
    <definedName name="Mortar_in_cement_sand_1.2" localSheetId="63">'[2]Break Down  '!#REF!</definedName>
    <definedName name="Mortar_in_cement_sand_1.2" localSheetId="13">'[2]Break Down  '!#REF!</definedName>
    <definedName name="Mortar_in_cement_sand_1.2" localSheetId="12">'[2]Break Down  '!#REF!</definedName>
    <definedName name="Mortar_in_cement_sand_1.2" localSheetId="41">'[2]Break Down  '!#REF!</definedName>
    <definedName name="Mortar_in_cement_sand_1.2" localSheetId="42">'[2]Break Down  '!#REF!</definedName>
    <definedName name="Mortar_in_cement_sand_1.2" localSheetId="65">'[2]Break Down  '!#REF!</definedName>
    <definedName name="Mortar_in_cement_sand_1.2" localSheetId="25">'[2]Break Down  '!#REF!</definedName>
    <definedName name="Mortar_in_cement_sand_1.2" localSheetId="23">'[2]Break Down  '!#REF!</definedName>
    <definedName name="Mortar_in_cement_sand_1.2">'[1]Break Down  '!#REF!</definedName>
    <definedName name="Mortar_in_cement_sand_1.4" localSheetId="30">'[2]Break Down  '!#REF!</definedName>
    <definedName name="Mortar_in_cement_sand_1.4" localSheetId="29">'[2]Break Down  '!#REF!</definedName>
    <definedName name="Mortar_in_cement_sand_1.4" localSheetId="35">'[2]Break Down  '!#REF!</definedName>
    <definedName name="Mortar_in_cement_sand_1.4" localSheetId="34">'[2]Break Down  '!#REF!</definedName>
    <definedName name="Mortar_in_cement_sand_1.4" localSheetId="66">'[1]Break Down  '!#REF!</definedName>
    <definedName name="Mortar_in_cement_sand_1.4" localSheetId="22">'[2]Break Down  '!#REF!</definedName>
    <definedName name="Mortar_in_cement_sand_1.4" localSheetId="24">'[2]Break Down  '!#REF!</definedName>
    <definedName name="Mortar_in_cement_sand_1.4" localSheetId="39">'[2]Break Down  '!#REF!</definedName>
    <definedName name="Mortar_in_cement_sand_1.4" localSheetId="40">'[2]Break Down  '!#REF!</definedName>
    <definedName name="Mortar_in_cement_sand_1.4" localSheetId="53">'[2]Break Down  '!#REF!</definedName>
    <definedName name="Mortar_in_cement_sand_1.4" localSheetId="54">'[2]Break Down  '!#REF!</definedName>
    <definedName name="Mortar_in_cement_sand_1.4" localSheetId="5">'[1]Break Down  '!#REF!</definedName>
    <definedName name="Mortar_in_cement_sand_1.4" localSheetId="3">'[2]Break Down  '!#REF!</definedName>
    <definedName name="Mortar_in_cement_sand_1.4" localSheetId="4">'[2]Break Down  '!#REF!</definedName>
    <definedName name="Mortar_in_cement_sand_1.4" localSheetId="48">'[2]Break Down  '!#REF!</definedName>
    <definedName name="Mortar_in_cement_sand_1.4" localSheetId="47">'[2]Break Down  '!#REF!</definedName>
    <definedName name="Mortar_in_cement_sand_1.4" localSheetId="52">'[1]Break Down  '!#REF!</definedName>
    <definedName name="Mortar_in_cement_sand_1.4" localSheetId="58">'[2]Break Down  '!#REF!</definedName>
    <definedName name="Mortar_in_cement_sand_1.4" localSheetId="59">'[2]Break Down  '!#REF!</definedName>
    <definedName name="Mortar_in_cement_sand_1.4" localSheetId="8">'[2]Break Down  '!#REF!</definedName>
    <definedName name="Mortar_in_cement_sand_1.4" localSheetId="17">'[2]Break Down  '!#REF!</definedName>
    <definedName name="Mortar_in_cement_sand_1.4" localSheetId="18">'[2]Break Down  '!#REF!</definedName>
    <definedName name="Mortar_in_cement_sand_1.4" localSheetId="63">'[2]Break Down  '!#REF!</definedName>
    <definedName name="Mortar_in_cement_sand_1.4" localSheetId="13">'[2]Break Down  '!#REF!</definedName>
    <definedName name="Mortar_in_cement_sand_1.4" localSheetId="12">'[2]Break Down  '!#REF!</definedName>
    <definedName name="Mortar_in_cement_sand_1.4" localSheetId="41">'[2]Break Down  '!#REF!</definedName>
    <definedName name="Mortar_in_cement_sand_1.4" localSheetId="42">'[2]Break Down  '!#REF!</definedName>
    <definedName name="Mortar_in_cement_sand_1.4" localSheetId="65">'[2]Break Down  '!#REF!</definedName>
    <definedName name="Mortar_in_cement_sand_1.4" localSheetId="25">'[2]Break Down  '!#REF!</definedName>
    <definedName name="Mortar_in_cement_sand_1.4" localSheetId="23">'[2]Break Down  '!#REF!</definedName>
    <definedName name="Mortar_in_cement_sand_1.4">'[1]Break Down  '!#REF!</definedName>
    <definedName name="Mortar_production_in_cement_sand_13" localSheetId="30">'[2]Break Down  '!#REF!</definedName>
    <definedName name="Mortar_production_in_cement_sand_13" localSheetId="29">'[2]Break Down  '!#REF!</definedName>
    <definedName name="Mortar_production_in_cement_sand_13" localSheetId="35">'[2]Break Down  '!#REF!</definedName>
    <definedName name="Mortar_production_in_cement_sand_13" localSheetId="34">'[2]Break Down  '!#REF!</definedName>
    <definedName name="Mortar_production_in_cement_sand_13" localSheetId="66">'[1]Break Down  '!#REF!</definedName>
    <definedName name="Mortar_production_in_cement_sand_13" localSheetId="22">'[2]Break Down  '!#REF!</definedName>
    <definedName name="Mortar_production_in_cement_sand_13" localSheetId="24">'[2]Break Down  '!#REF!</definedName>
    <definedName name="Mortar_production_in_cement_sand_13" localSheetId="39">'[2]Break Down  '!#REF!</definedName>
    <definedName name="Mortar_production_in_cement_sand_13" localSheetId="40">'[2]Break Down  '!#REF!</definedName>
    <definedName name="Mortar_production_in_cement_sand_13" localSheetId="53">'[2]Break Down  '!#REF!</definedName>
    <definedName name="Mortar_production_in_cement_sand_13" localSheetId="54">'[2]Break Down  '!#REF!</definedName>
    <definedName name="Mortar_production_in_cement_sand_13" localSheetId="5">'[1]Break Down  '!#REF!</definedName>
    <definedName name="Mortar_production_in_cement_sand_13" localSheetId="3">'[2]Break Down  '!#REF!</definedName>
    <definedName name="Mortar_production_in_cement_sand_13" localSheetId="4">'[2]Break Down  '!#REF!</definedName>
    <definedName name="Mortar_production_in_cement_sand_13" localSheetId="48">'[2]Break Down  '!#REF!</definedName>
    <definedName name="Mortar_production_in_cement_sand_13" localSheetId="47">'[2]Break Down  '!#REF!</definedName>
    <definedName name="Mortar_production_in_cement_sand_13" localSheetId="52">'[1]Break Down  '!#REF!</definedName>
    <definedName name="Mortar_production_in_cement_sand_13" localSheetId="58">'[2]Break Down  '!#REF!</definedName>
    <definedName name="Mortar_production_in_cement_sand_13" localSheetId="59">'[2]Break Down  '!#REF!</definedName>
    <definedName name="Mortar_production_in_cement_sand_13" localSheetId="8">'[2]Break Down  '!#REF!</definedName>
    <definedName name="Mortar_production_in_cement_sand_13" localSheetId="17">'[2]Break Down  '!#REF!</definedName>
    <definedName name="Mortar_production_in_cement_sand_13" localSheetId="18">'[2]Break Down  '!#REF!</definedName>
    <definedName name="Mortar_production_in_cement_sand_13" localSheetId="63">'[2]Break Down  '!#REF!</definedName>
    <definedName name="Mortar_production_in_cement_sand_13" localSheetId="13">'[2]Break Down  '!#REF!</definedName>
    <definedName name="Mortar_production_in_cement_sand_13" localSheetId="12">'[2]Break Down  '!#REF!</definedName>
    <definedName name="Mortar_production_in_cement_sand_13" localSheetId="41">'[2]Break Down  '!#REF!</definedName>
    <definedName name="Mortar_production_in_cement_sand_13" localSheetId="42">'[2]Break Down  '!#REF!</definedName>
    <definedName name="Mortar_production_in_cement_sand_13" localSheetId="65">'[2]Break Down  '!#REF!</definedName>
    <definedName name="Mortar_production_in_cement_sand_13" localSheetId="25">'[2]Break Down  '!#REF!</definedName>
    <definedName name="Mortar_production_in_cement_sand_13" localSheetId="23">'[2]Break Down  '!#REF!</definedName>
    <definedName name="Mortar_production_in_cement_sand_13">'[1]Break Down  '!#REF!</definedName>
    <definedName name="movement_sensor" localSheetId="30">#REF!</definedName>
    <definedName name="movement_sensor" localSheetId="29">#REF!</definedName>
    <definedName name="movement_sensor" localSheetId="35">#REF!</definedName>
    <definedName name="movement_sensor" localSheetId="34">#REF!</definedName>
    <definedName name="movement_sensor" localSheetId="66">#REF!</definedName>
    <definedName name="movement_sensor" localSheetId="22">#REF!</definedName>
    <definedName name="movement_sensor" localSheetId="24">#REF!</definedName>
    <definedName name="movement_sensor" localSheetId="39">#REF!</definedName>
    <definedName name="movement_sensor" localSheetId="40">#REF!</definedName>
    <definedName name="movement_sensor" localSheetId="53">#REF!</definedName>
    <definedName name="movement_sensor" localSheetId="54">#REF!</definedName>
    <definedName name="movement_sensor" localSheetId="5">#REF!</definedName>
    <definedName name="movement_sensor" localSheetId="3">#REF!</definedName>
    <definedName name="movement_sensor" localSheetId="48">#REF!</definedName>
    <definedName name="movement_sensor" localSheetId="47">#REF!</definedName>
    <definedName name="movement_sensor" localSheetId="52">#REF!</definedName>
    <definedName name="movement_sensor" localSheetId="58">#REF!</definedName>
    <definedName name="movement_sensor" localSheetId="59">#REF!</definedName>
    <definedName name="movement_sensor" localSheetId="8">#REF!</definedName>
    <definedName name="movement_sensor" localSheetId="17">#REF!</definedName>
    <definedName name="movement_sensor" localSheetId="18">#REF!</definedName>
    <definedName name="movement_sensor" localSheetId="63">#REF!</definedName>
    <definedName name="movement_sensor" localSheetId="13">#REF!</definedName>
    <definedName name="movement_sensor" localSheetId="12">#REF!</definedName>
    <definedName name="movement_sensor" localSheetId="41">#REF!</definedName>
    <definedName name="movement_sensor" localSheetId="42">#REF!</definedName>
    <definedName name="movement_sensor" localSheetId="65">#REF!</definedName>
    <definedName name="movement_sensor" localSheetId="25">#REF!</definedName>
    <definedName name="movement_sensor" localSheetId="23">#REF!</definedName>
    <definedName name="movement_sensor">#REF!</definedName>
    <definedName name="n" localSheetId="30">'[1]Break Down  '!#REF!</definedName>
    <definedName name="n" localSheetId="29">'[1]Break Down  '!#REF!</definedName>
    <definedName name="n" localSheetId="35">'[1]Break Down  '!#REF!</definedName>
    <definedName name="n" localSheetId="34">'[1]Break Down  '!#REF!</definedName>
    <definedName name="n" localSheetId="66">'[1]Break Down  '!#REF!</definedName>
    <definedName name="n" localSheetId="22">'[1]Break Down  '!#REF!</definedName>
    <definedName name="n" localSheetId="24">'[1]Break Down  '!#REF!</definedName>
    <definedName name="n" localSheetId="39">'[1]Break Down  '!#REF!</definedName>
    <definedName name="n" localSheetId="40">'[1]Break Down  '!#REF!</definedName>
    <definedName name="n" localSheetId="53">'[1]Break Down  '!#REF!</definedName>
    <definedName name="n" localSheetId="54">'[1]Break Down  '!#REF!</definedName>
    <definedName name="n" localSheetId="5">'[1]Break Down  '!#REF!</definedName>
    <definedName name="n" localSheetId="3">'[1]Break Down  '!#REF!</definedName>
    <definedName name="n" localSheetId="48">'[1]Break Down  '!#REF!</definedName>
    <definedName name="n" localSheetId="47">'[1]Break Down  '!#REF!</definedName>
    <definedName name="n" localSheetId="52">'[1]Break Down  '!#REF!</definedName>
    <definedName name="n" localSheetId="58">'[1]Break Down  '!#REF!</definedName>
    <definedName name="n" localSheetId="59">'[1]Break Down  '!#REF!</definedName>
    <definedName name="n" localSheetId="8">'[1]Break Down  '!#REF!</definedName>
    <definedName name="n" localSheetId="17">'[1]Break Down  '!#REF!</definedName>
    <definedName name="n" localSheetId="18">'[1]Break Down  '!#REF!</definedName>
    <definedName name="n" localSheetId="63">'[1]Break Down  '!#REF!</definedName>
    <definedName name="n" localSheetId="13">'[1]Break Down  '!#REF!</definedName>
    <definedName name="n" localSheetId="12">'[1]Break Down  '!#REF!</definedName>
    <definedName name="n" localSheetId="41">'[1]Break Down  '!#REF!</definedName>
    <definedName name="n" localSheetId="42">'[1]Break Down  '!#REF!</definedName>
    <definedName name="n" localSheetId="65">'[1]Break Down  '!#REF!</definedName>
    <definedName name="n" localSheetId="25">'[1]Break Down  '!#REF!</definedName>
    <definedName name="n" localSheetId="23">'[1]Break Down  '!#REF!</definedName>
    <definedName name="n">'[1]Break Down  '!#REF!</definedName>
    <definedName name="No" localSheetId="30">[6]Sheet4!$B$2</definedName>
    <definedName name="No" localSheetId="29">[6]Sheet4!$B$2</definedName>
    <definedName name="No" localSheetId="35">[6]Sheet4!$B$2</definedName>
    <definedName name="No" localSheetId="34">[6]Sheet4!$B$2</definedName>
    <definedName name="No" localSheetId="22">[6]Sheet4!$B$2</definedName>
    <definedName name="No" localSheetId="24">[6]Sheet4!$B$2</definedName>
    <definedName name="No" localSheetId="39">[6]Sheet4!$B$2</definedName>
    <definedName name="No" localSheetId="40">[6]Sheet4!$B$2</definedName>
    <definedName name="No" localSheetId="53">[6]Sheet4!$B$2</definedName>
    <definedName name="No" localSheetId="54">[6]Sheet4!$B$2</definedName>
    <definedName name="No" localSheetId="3">[6]Sheet4!$B$2</definedName>
    <definedName name="No" localSheetId="4">[6]Sheet4!$B$2</definedName>
    <definedName name="No" localSheetId="48">[6]Sheet4!$B$2</definedName>
    <definedName name="No" localSheetId="47">[6]Sheet4!$B$2</definedName>
    <definedName name="No" localSheetId="58">[6]Sheet4!$B$2</definedName>
    <definedName name="No" localSheetId="59">[6]Sheet4!$B$2</definedName>
    <definedName name="No" localSheetId="8">[6]Sheet4!$B$2</definedName>
    <definedName name="No" localSheetId="17">[6]Sheet4!$B$2</definedName>
    <definedName name="No" localSheetId="18">[6]Sheet4!$B$2</definedName>
    <definedName name="No" localSheetId="63">[6]Sheet4!$B$2</definedName>
    <definedName name="No" localSheetId="13">[6]Sheet4!$B$2</definedName>
    <definedName name="No" localSheetId="12">[6]Sheet4!$B$2</definedName>
    <definedName name="No" localSheetId="41">[6]Sheet4!$B$2</definedName>
    <definedName name="No" localSheetId="42">[6]Sheet4!$B$2</definedName>
    <definedName name="No" localSheetId="65">[6]Sheet4!$B$2</definedName>
    <definedName name="No" localSheetId="25">[6]Sheet4!$B$2</definedName>
    <definedName name="No" localSheetId="23">[6]Sheet4!$B$2</definedName>
    <definedName name="No">[7]Sheet4!$B$2</definedName>
    <definedName name="pacific095136" localSheetId="30">#REF!</definedName>
    <definedName name="pacific095136" localSheetId="29">#REF!</definedName>
    <definedName name="pacific095136" localSheetId="35">#REF!</definedName>
    <definedName name="pacific095136" localSheetId="34">#REF!</definedName>
    <definedName name="pacific095136" localSheetId="66">#REF!</definedName>
    <definedName name="pacific095136" localSheetId="22">#REF!</definedName>
    <definedName name="pacific095136" localSheetId="24">#REF!</definedName>
    <definedName name="pacific095136" localSheetId="39">#REF!</definedName>
    <definedName name="pacific095136" localSheetId="40">#REF!</definedName>
    <definedName name="pacific095136" localSheetId="53">#REF!</definedName>
    <definedName name="pacific095136" localSheetId="54">#REF!</definedName>
    <definedName name="pacific095136" localSheetId="5">#REF!</definedName>
    <definedName name="pacific095136" localSheetId="3">#REF!</definedName>
    <definedName name="pacific095136" localSheetId="48">#REF!</definedName>
    <definedName name="pacific095136" localSheetId="47">#REF!</definedName>
    <definedName name="pacific095136" localSheetId="52">#REF!</definedName>
    <definedName name="pacific095136" localSheetId="58">#REF!</definedName>
    <definedName name="pacific095136" localSheetId="59">#REF!</definedName>
    <definedName name="pacific095136" localSheetId="8">#REF!</definedName>
    <definedName name="pacific095136" localSheetId="17">#REF!</definedName>
    <definedName name="pacific095136" localSheetId="18">#REF!</definedName>
    <definedName name="pacific095136" localSheetId="63">#REF!</definedName>
    <definedName name="pacific095136" localSheetId="13">#REF!</definedName>
    <definedName name="pacific095136" localSheetId="12">#REF!</definedName>
    <definedName name="pacific095136" localSheetId="41">#REF!</definedName>
    <definedName name="pacific095136" localSheetId="42">#REF!</definedName>
    <definedName name="pacific095136" localSheetId="65">#REF!</definedName>
    <definedName name="pacific095136" localSheetId="25">#REF!</definedName>
    <definedName name="pacific095136" localSheetId="23">#REF!</definedName>
    <definedName name="pacific095136">#REF!</definedName>
    <definedName name="pacific095236" localSheetId="30">#REF!</definedName>
    <definedName name="pacific095236" localSheetId="29">#REF!</definedName>
    <definedName name="pacific095236" localSheetId="35">#REF!</definedName>
    <definedName name="pacific095236" localSheetId="34">#REF!</definedName>
    <definedName name="pacific095236" localSheetId="66">#REF!</definedName>
    <definedName name="pacific095236" localSheetId="22">#REF!</definedName>
    <definedName name="pacific095236" localSheetId="24">#REF!</definedName>
    <definedName name="pacific095236" localSheetId="39">#REF!</definedName>
    <definedName name="pacific095236" localSheetId="40">#REF!</definedName>
    <definedName name="pacific095236" localSheetId="53">#REF!</definedName>
    <definedName name="pacific095236" localSheetId="54">#REF!</definedName>
    <definedName name="pacific095236" localSheetId="5">#REF!</definedName>
    <definedName name="pacific095236" localSheetId="3">#REF!</definedName>
    <definedName name="pacific095236" localSheetId="48">#REF!</definedName>
    <definedName name="pacific095236" localSheetId="47">#REF!</definedName>
    <definedName name="pacific095236" localSheetId="52">#REF!</definedName>
    <definedName name="pacific095236" localSheetId="58">#REF!</definedName>
    <definedName name="pacific095236" localSheetId="59">#REF!</definedName>
    <definedName name="pacific095236" localSheetId="8">#REF!</definedName>
    <definedName name="pacific095236" localSheetId="17">#REF!</definedName>
    <definedName name="pacific095236" localSheetId="18">#REF!</definedName>
    <definedName name="pacific095236" localSheetId="63">#REF!</definedName>
    <definedName name="pacific095236" localSheetId="13">#REF!</definedName>
    <definedName name="pacific095236" localSheetId="12">#REF!</definedName>
    <definedName name="pacific095236" localSheetId="41">#REF!</definedName>
    <definedName name="pacific095236" localSheetId="42">#REF!</definedName>
    <definedName name="pacific095236" localSheetId="65">#REF!</definedName>
    <definedName name="pacific095236" localSheetId="25">#REF!</definedName>
    <definedName name="pacific095236" localSheetId="23">#REF!</definedName>
    <definedName name="pacific095236">#REF!</definedName>
    <definedName name="paint" localSheetId="30">#REF!</definedName>
    <definedName name="paint" localSheetId="29">#REF!</definedName>
    <definedName name="paint" localSheetId="35">#REF!</definedName>
    <definedName name="paint" localSheetId="34">#REF!</definedName>
    <definedName name="paint" localSheetId="66">#REF!</definedName>
    <definedName name="paint" localSheetId="22">#REF!</definedName>
    <definedName name="paint" localSheetId="24">#REF!</definedName>
    <definedName name="paint" localSheetId="39">#REF!</definedName>
    <definedName name="paint" localSheetId="40">#REF!</definedName>
    <definedName name="paint" localSheetId="53">#REF!</definedName>
    <definedName name="paint" localSheetId="54">#REF!</definedName>
    <definedName name="paint" localSheetId="5">#REF!</definedName>
    <definedName name="paint" localSheetId="3">#REF!</definedName>
    <definedName name="paint" localSheetId="48">#REF!</definedName>
    <definedName name="paint" localSheetId="47">#REF!</definedName>
    <definedName name="paint" localSheetId="52">#REF!</definedName>
    <definedName name="paint" localSheetId="58">#REF!</definedName>
    <definedName name="paint" localSheetId="59">#REF!</definedName>
    <definedName name="paint" localSheetId="8">#REF!</definedName>
    <definedName name="paint" localSheetId="17">#REF!</definedName>
    <definedName name="paint" localSheetId="18">#REF!</definedName>
    <definedName name="paint" localSheetId="63">#REF!</definedName>
    <definedName name="paint" localSheetId="13">#REF!</definedName>
    <definedName name="paint" localSheetId="12">#REF!</definedName>
    <definedName name="paint" localSheetId="41">#REF!</definedName>
    <definedName name="paint" localSheetId="42">#REF!</definedName>
    <definedName name="paint" localSheetId="65">#REF!</definedName>
    <definedName name="paint" localSheetId="25">#REF!</definedName>
    <definedName name="paint" localSheetId="23">#REF!</definedName>
    <definedName name="paint">#REF!</definedName>
    <definedName name="Philips_TCS_058.23_1L_with_2xTLD_36.W.33" localSheetId="30">'[2]Break Down  '!#REF!</definedName>
    <definedName name="Philips_TCS_058.23_1L_with_2xTLD_36.W.33" localSheetId="29">'[2]Break Down  '!#REF!</definedName>
    <definedName name="Philips_TCS_058.23_1L_with_2xTLD_36.W.33" localSheetId="35">'[2]Break Down  '!#REF!</definedName>
    <definedName name="Philips_TCS_058.23_1L_with_2xTLD_36.W.33" localSheetId="34">'[2]Break Down  '!#REF!</definedName>
    <definedName name="Philips_TCS_058.23_1L_with_2xTLD_36.W.33" localSheetId="66">'[1]Break Down  '!#REF!</definedName>
    <definedName name="Philips_TCS_058.23_1L_with_2xTLD_36.W.33" localSheetId="22">'[2]Break Down  '!#REF!</definedName>
    <definedName name="Philips_TCS_058.23_1L_with_2xTLD_36.W.33" localSheetId="24">'[2]Break Down  '!#REF!</definedName>
    <definedName name="Philips_TCS_058.23_1L_with_2xTLD_36.W.33" localSheetId="39">'[2]Break Down  '!#REF!</definedName>
    <definedName name="Philips_TCS_058.23_1L_with_2xTLD_36.W.33" localSheetId="40">'[2]Break Down  '!#REF!</definedName>
    <definedName name="Philips_TCS_058.23_1L_with_2xTLD_36.W.33" localSheetId="53">'[2]Break Down  '!#REF!</definedName>
    <definedName name="Philips_TCS_058.23_1L_with_2xTLD_36.W.33" localSheetId="54">'[2]Break Down  '!#REF!</definedName>
    <definedName name="Philips_TCS_058.23_1L_with_2xTLD_36.W.33" localSheetId="5">'[1]Break Down  '!#REF!</definedName>
    <definedName name="Philips_TCS_058.23_1L_with_2xTLD_36.W.33" localSheetId="3">'[2]Break Down  '!#REF!</definedName>
    <definedName name="Philips_TCS_058.23_1L_with_2xTLD_36.W.33" localSheetId="4">'[2]Break Down  '!#REF!</definedName>
    <definedName name="Philips_TCS_058.23_1L_with_2xTLD_36.W.33" localSheetId="48">'[2]Break Down  '!#REF!</definedName>
    <definedName name="Philips_TCS_058.23_1L_with_2xTLD_36.W.33" localSheetId="47">'[2]Break Down  '!#REF!</definedName>
    <definedName name="Philips_TCS_058.23_1L_with_2xTLD_36.W.33" localSheetId="52">'[1]Break Down  '!#REF!</definedName>
    <definedName name="Philips_TCS_058.23_1L_with_2xTLD_36.W.33" localSheetId="58">'[2]Break Down  '!#REF!</definedName>
    <definedName name="Philips_TCS_058.23_1L_with_2xTLD_36.W.33" localSheetId="59">'[2]Break Down  '!#REF!</definedName>
    <definedName name="Philips_TCS_058.23_1L_with_2xTLD_36.W.33" localSheetId="8">'[2]Break Down  '!#REF!</definedName>
    <definedName name="Philips_TCS_058.23_1L_with_2xTLD_36.W.33" localSheetId="17">'[2]Break Down  '!#REF!</definedName>
    <definedName name="Philips_TCS_058.23_1L_with_2xTLD_36.W.33" localSheetId="18">'[2]Break Down  '!#REF!</definedName>
    <definedName name="Philips_TCS_058.23_1L_with_2xTLD_36.W.33" localSheetId="63">'[2]Break Down  '!#REF!</definedName>
    <definedName name="Philips_TCS_058.23_1L_with_2xTLD_36.W.33" localSheetId="13">'[2]Break Down  '!#REF!</definedName>
    <definedName name="Philips_TCS_058.23_1L_with_2xTLD_36.W.33" localSheetId="12">'[2]Break Down  '!#REF!</definedName>
    <definedName name="Philips_TCS_058.23_1L_with_2xTLD_36.W.33" localSheetId="41">'[2]Break Down  '!#REF!</definedName>
    <definedName name="Philips_TCS_058.23_1L_with_2xTLD_36.W.33" localSheetId="42">'[2]Break Down  '!#REF!</definedName>
    <definedName name="Philips_TCS_058.23_1L_with_2xTLD_36.W.33" localSheetId="65">'[2]Break Down  '!#REF!</definedName>
    <definedName name="Philips_TCS_058.23_1L_with_2xTLD_36.W.33" localSheetId="25">'[2]Break Down  '!#REF!</definedName>
    <definedName name="Philips_TCS_058.23_1L_with_2xTLD_36.W.33" localSheetId="23">'[2]Break Down  '!#REF!</definedName>
    <definedName name="Philips_TCS_058.23_1L_with_2xTLD_36.W.33">'[1]Break Down  '!#REF!</definedName>
    <definedName name="photocell" localSheetId="30">#REF!</definedName>
    <definedName name="photocell" localSheetId="29">#REF!</definedName>
    <definedName name="photocell" localSheetId="35">#REF!</definedName>
    <definedName name="photocell" localSheetId="34">#REF!</definedName>
    <definedName name="photocell" localSheetId="66">#REF!</definedName>
    <definedName name="photocell" localSheetId="22">#REF!</definedName>
    <definedName name="photocell" localSheetId="24">#REF!</definedName>
    <definedName name="photocell" localSheetId="39">#REF!</definedName>
    <definedName name="photocell" localSheetId="40">#REF!</definedName>
    <definedName name="photocell" localSheetId="53">#REF!</definedName>
    <definedName name="photocell" localSheetId="54">#REF!</definedName>
    <definedName name="photocell" localSheetId="5">#REF!</definedName>
    <definedName name="photocell" localSheetId="3">#REF!</definedName>
    <definedName name="photocell" localSheetId="48">#REF!</definedName>
    <definedName name="photocell" localSheetId="47">#REF!</definedName>
    <definedName name="photocell" localSheetId="52">#REF!</definedName>
    <definedName name="photocell" localSheetId="58">#REF!</definedName>
    <definedName name="photocell" localSheetId="59">#REF!</definedName>
    <definedName name="photocell" localSheetId="8">#REF!</definedName>
    <definedName name="photocell" localSheetId="17">#REF!</definedName>
    <definedName name="photocell" localSheetId="18">#REF!</definedName>
    <definedName name="photocell" localSheetId="63">#REF!</definedName>
    <definedName name="photocell" localSheetId="13">#REF!</definedName>
    <definedName name="photocell" localSheetId="12">#REF!</definedName>
    <definedName name="photocell" localSheetId="41">#REF!</definedName>
    <definedName name="photocell" localSheetId="42">#REF!</definedName>
    <definedName name="photocell" localSheetId="65">#REF!</definedName>
    <definedName name="photocell" localSheetId="25">#REF!</definedName>
    <definedName name="photocell" localSheetId="23">#REF!</definedName>
    <definedName name="photocell">#REF!</definedName>
    <definedName name="point" localSheetId="30">#REF!</definedName>
    <definedName name="point" localSheetId="29">#REF!</definedName>
    <definedName name="point" localSheetId="35">#REF!</definedName>
    <definedName name="point" localSheetId="34">#REF!</definedName>
    <definedName name="point" localSheetId="66">#REF!</definedName>
    <definedName name="point" localSheetId="22">#REF!</definedName>
    <definedName name="point" localSheetId="24">#REF!</definedName>
    <definedName name="point" localSheetId="39">#REF!</definedName>
    <definedName name="point" localSheetId="40">#REF!</definedName>
    <definedName name="point" localSheetId="53">#REF!</definedName>
    <definedName name="point" localSheetId="54">#REF!</definedName>
    <definedName name="point" localSheetId="5">#REF!</definedName>
    <definedName name="point" localSheetId="3">#REF!</definedName>
    <definedName name="point" localSheetId="48">#REF!</definedName>
    <definedName name="point" localSheetId="47">#REF!</definedName>
    <definedName name="point" localSheetId="52">#REF!</definedName>
    <definedName name="point" localSheetId="58">#REF!</definedName>
    <definedName name="point" localSheetId="59">#REF!</definedName>
    <definedName name="point" localSheetId="8">#REF!</definedName>
    <definedName name="point" localSheetId="17">#REF!</definedName>
    <definedName name="point" localSheetId="18">#REF!</definedName>
    <definedName name="point" localSheetId="63">#REF!</definedName>
    <definedName name="point" localSheetId="13">#REF!</definedName>
    <definedName name="point" localSheetId="12">#REF!</definedName>
    <definedName name="point" localSheetId="41">#REF!</definedName>
    <definedName name="point" localSheetId="42">#REF!</definedName>
    <definedName name="point" localSheetId="65">#REF!</definedName>
    <definedName name="point" localSheetId="25">#REF!</definedName>
    <definedName name="point" localSheetId="23">#REF!</definedName>
    <definedName name="point">#REF!</definedName>
    <definedName name="poweroutlet25a1p3x6" localSheetId="30">#REF!</definedName>
    <definedName name="poweroutlet25a1p3x6" localSheetId="29">#REF!</definedName>
    <definedName name="poweroutlet25a1p3x6" localSheetId="35">#REF!</definedName>
    <definedName name="poweroutlet25a1p3x6" localSheetId="34">#REF!</definedName>
    <definedName name="poweroutlet25a1p3x6" localSheetId="66">#REF!</definedName>
    <definedName name="poweroutlet25a1p3x6" localSheetId="22">#REF!</definedName>
    <definedName name="poweroutlet25a1p3x6" localSheetId="24">#REF!</definedName>
    <definedName name="poweroutlet25a1p3x6" localSheetId="39">#REF!</definedName>
    <definedName name="poweroutlet25a1p3x6" localSheetId="40">#REF!</definedName>
    <definedName name="poweroutlet25a1p3x6" localSheetId="53">#REF!</definedName>
    <definedName name="poweroutlet25a1p3x6" localSheetId="54">#REF!</definedName>
    <definedName name="poweroutlet25a1p3x6" localSheetId="5">#REF!</definedName>
    <definedName name="poweroutlet25a1p3x6" localSheetId="3">#REF!</definedName>
    <definedName name="poweroutlet25a1p3x6" localSheetId="48">#REF!</definedName>
    <definedName name="poweroutlet25a1p3x6" localSheetId="47">#REF!</definedName>
    <definedName name="poweroutlet25a1p3x6" localSheetId="52">#REF!</definedName>
    <definedName name="poweroutlet25a1p3x6" localSheetId="58">#REF!</definedName>
    <definedName name="poweroutlet25a1p3x6" localSheetId="59">#REF!</definedName>
    <definedName name="poweroutlet25a1p3x6" localSheetId="8">#REF!</definedName>
    <definedName name="poweroutlet25a1p3x6" localSheetId="17">#REF!</definedName>
    <definedName name="poweroutlet25a1p3x6" localSheetId="18">#REF!</definedName>
    <definedName name="poweroutlet25a1p3x6" localSheetId="63">#REF!</definedName>
    <definedName name="poweroutlet25a1p3x6" localSheetId="13">#REF!</definedName>
    <definedName name="poweroutlet25a1p3x6" localSheetId="12">#REF!</definedName>
    <definedName name="poweroutlet25a1p3x6" localSheetId="41">#REF!</definedName>
    <definedName name="poweroutlet25a1p3x6" localSheetId="42">#REF!</definedName>
    <definedName name="poweroutlet25a1p3x6" localSheetId="65">#REF!</definedName>
    <definedName name="poweroutlet25a1p3x6" localSheetId="25">#REF!</definedName>
    <definedName name="poweroutlet25a1p3x6" localSheetId="23">#REF!</definedName>
    <definedName name="poweroutlet25a1p3x6">#REF!</definedName>
    <definedName name="poweroutlet25a3p4x6" localSheetId="30">#REF!</definedName>
    <definedName name="poweroutlet25a3p4x6" localSheetId="29">#REF!</definedName>
    <definedName name="poweroutlet25a3p4x6" localSheetId="35">#REF!</definedName>
    <definedName name="poweroutlet25a3p4x6" localSheetId="34">#REF!</definedName>
    <definedName name="poweroutlet25a3p4x6" localSheetId="66">#REF!</definedName>
    <definedName name="poweroutlet25a3p4x6" localSheetId="22">#REF!</definedName>
    <definedName name="poweroutlet25a3p4x6" localSheetId="24">#REF!</definedName>
    <definedName name="poweroutlet25a3p4x6" localSheetId="39">#REF!</definedName>
    <definedName name="poweroutlet25a3p4x6" localSheetId="40">#REF!</definedName>
    <definedName name="poweroutlet25a3p4x6" localSheetId="53">#REF!</definedName>
    <definedName name="poweroutlet25a3p4x6" localSheetId="54">#REF!</definedName>
    <definedName name="poweroutlet25a3p4x6" localSheetId="5">#REF!</definedName>
    <definedName name="poweroutlet25a3p4x6" localSheetId="3">#REF!</definedName>
    <definedName name="poweroutlet25a3p4x6" localSheetId="48">#REF!</definedName>
    <definedName name="poweroutlet25a3p4x6" localSheetId="47">#REF!</definedName>
    <definedName name="poweroutlet25a3p4x6" localSheetId="52">#REF!</definedName>
    <definedName name="poweroutlet25a3p4x6" localSheetId="58">#REF!</definedName>
    <definedName name="poweroutlet25a3p4x6" localSheetId="59">#REF!</definedName>
    <definedName name="poweroutlet25a3p4x6" localSheetId="8">#REF!</definedName>
    <definedName name="poweroutlet25a3p4x6" localSheetId="17">#REF!</definedName>
    <definedName name="poweroutlet25a3p4x6" localSheetId="18">#REF!</definedName>
    <definedName name="poweroutlet25a3p4x6" localSheetId="63">#REF!</definedName>
    <definedName name="poweroutlet25a3p4x6" localSheetId="13">#REF!</definedName>
    <definedName name="poweroutlet25a3p4x6" localSheetId="12">#REF!</definedName>
    <definedName name="poweroutlet25a3p4x6" localSheetId="41">#REF!</definedName>
    <definedName name="poweroutlet25a3p4x6" localSheetId="42">#REF!</definedName>
    <definedName name="poweroutlet25a3p4x6" localSheetId="65">#REF!</definedName>
    <definedName name="poweroutlet25a3p4x6" localSheetId="25">#REF!</definedName>
    <definedName name="poweroutlet25a3p4x6" localSheetId="23">#REF!</definedName>
    <definedName name="poweroutlet25a3p4x6">#REF!</definedName>
    <definedName name="preventorp1" localSheetId="30">#REF!</definedName>
    <definedName name="preventorp1" localSheetId="29">#REF!</definedName>
    <definedName name="preventorp1" localSheetId="35">#REF!</definedName>
    <definedName name="preventorp1" localSheetId="34">#REF!</definedName>
    <definedName name="preventorp1" localSheetId="66">#REF!</definedName>
    <definedName name="preventorp1" localSheetId="22">#REF!</definedName>
    <definedName name="preventorp1" localSheetId="24">#REF!</definedName>
    <definedName name="preventorp1" localSheetId="39">#REF!</definedName>
    <definedName name="preventorp1" localSheetId="40">#REF!</definedName>
    <definedName name="preventorp1" localSheetId="53">#REF!</definedName>
    <definedName name="preventorp1" localSheetId="54">#REF!</definedName>
    <definedName name="preventorp1" localSheetId="5">#REF!</definedName>
    <definedName name="preventorp1" localSheetId="3">#REF!</definedName>
    <definedName name="preventorp1" localSheetId="48">#REF!</definedName>
    <definedName name="preventorp1" localSheetId="47">#REF!</definedName>
    <definedName name="preventorp1" localSheetId="52">#REF!</definedName>
    <definedName name="preventorp1" localSheetId="58">#REF!</definedName>
    <definedName name="preventorp1" localSheetId="59">#REF!</definedName>
    <definedName name="preventorp1" localSheetId="8">#REF!</definedName>
    <definedName name="preventorp1" localSheetId="17">#REF!</definedName>
    <definedName name="preventorp1" localSheetId="18">#REF!</definedName>
    <definedName name="preventorp1" localSheetId="63">#REF!</definedName>
    <definedName name="preventorp1" localSheetId="13">#REF!</definedName>
    <definedName name="preventorp1" localSheetId="12">#REF!</definedName>
    <definedName name="preventorp1" localSheetId="41">#REF!</definedName>
    <definedName name="preventorp1" localSheetId="42">#REF!</definedName>
    <definedName name="preventorp1" localSheetId="65">#REF!</definedName>
    <definedName name="preventorp1" localSheetId="25">#REF!</definedName>
    <definedName name="preventorp1" localSheetId="23">#REF!</definedName>
    <definedName name="preventorp1">#REF!</definedName>
    <definedName name="preventorp2" localSheetId="30">#REF!</definedName>
    <definedName name="preventorp2" localSheetId="29">#REF!</definedName>
    <definedName name="preventorp2" localSheetId="35">#REF!</definedName>
    <definedName name="preventorp2" localSheetId="34">#REF!</definedName>
    <definedName name="preventorp2" localSheetId="66">#REF!</definedName>
    <definedName name="preventorp2" localSheetId="22">#REF!</definedName>
    <definedName name="preventorp2" localSheetId="24">#REF!</definedName>
    <definedName name="preventorp2" localSheetId="39">#REF!</definedName>
    <definedName name="preventorp2" localSheetId="40">#REF!</definedName>
    <definedName name="preventorp2" localSheetId="53">#REF!</definedName>
    <definedName name="preventorp2" localSheetId="54">#REF!</definedName>
    <definedName name="preventorp2" localSheetId="5">#REF!</definedName>
    <definedName name="preventorp2" localSheetId="3">#REF!</definedName>
    <definedName name="preventorp2" localSheetId="48">#REF!</definedName>
    <definedName name="preventorp2" localSheetId="47">#REF!</definedName>
    <definedName name="preventorp2" localSheetId="52">#REF!</definedName>
    <definedName name="preventorp2" localSheetId="58">#REF!</definedName>
    <definedName name="preventorp2" localSheetId="59">#REF!</definedName>
    <definedName name="preventorp2" localSheetId="8">#REF!</definedName>
    <definedName name="preventorp2" localSheetId="17">#REF!</definedName>
    <definedName name="preventorp2" localSheetId="18">#REF!</definedName>
    <definedName name="preventorp2" localSheetId="63">#REF!</definedName>
    <definedName name="preventorp2" localSheetId="13">#REF!</definedName>
    <definedName name="preventorp2" localSheetId="12">#REF!</definedName>
    <definedName name="preventorp2" localSheetId="41">#REF!</definedName>
    <definedName name="preventorp2" localSheetId="42">#REF!</definedName>
    <definedName name="preventorp2" localSheetId="65">#REF!</definedName>
    <definedName name="preventorp2" localSheetId="25">#REF!</definedName>
    <definedName name="preventorp2" localSheetId="23">#REF!</definedName>
    <definedName name="preventorp2">#REF!</definedName>
    <definedName name="preventorp3" localSheetId="30">#REF!</definedName>
    <definedName name="preventorp3" localSheetId="29">#REF!</definedName>
    <definedName name="preventorp3" localSheetId="35">#REF!</definedName>
    <definedName name="preventorp3" localSheetId="34">#REF!</definedName>
    <definedName name="preventorp3" localSheetId="66">#REF!</definedName>
    <definedName name="preventorp3" localSheetId="22">#REF!</definedName>
    <definedName name="preventorp3" localSheetId="24">#REF!</definedName>
    <definedName name="preventorp3" localSheetId="39">#REF!</definedName>
    <definedName name="preventorp3" localSheetId="40">#REF!</definedName>
    <definedName name="preventorp3" localSheetId="53">#REF!</definedName>
    <definedName name="preventorp3" localSheetId="54">#REF!</definedName>
    <definedName name="preventorp3" localSheetId="5">#REF!</definedName>
    <definedName name="preventorp3" localSheetId="3">#REF!</definedName>
    <definedName name="preventorp3" localSheetId="48">#REF!</definedName>
    <definedName name="preventorp3" localSheetId="47">#REF!</definedName>
    <definedName name="preventorp3" localSheetId="52">#REF!</definedName>
    <definedName name="preventorp3" localSheetId="58">#REF!</definedName>
    <definedName name="preventorp3" localSheetId="59">#REF!</definedName>
    <definedName name="preventorp3" localSheetId="8">#REF!</definedName>
    <definedName name="preventorp3" localSheetId="17">#REF!</definedName>
    <definedName name="preventorp3" localSheetId="18">#REF!</definedName>
    <definedName name="preventorp3" localSheetId="63">#REF!</definedName>
    <definedName name="preventorp3" localSheetId="13">#REF!</definedName>
    <definedName name="preventorp3" localSheetId="12">#REF!</definedName>
    <definedName name="preventorp3" localSheetId="41">#REF!</definedName>
    <definedName name="preventorp3" localSheetId="42">#REF!</definedName>
    <definedName name="preventorp3" localSheetId="65">#REF!</definedName>
    <definedName name="preventorp3" localSheetId="25">#REF!</definedName>
    <definedName name="preventorp3" localSheetId="23">#REF!</definedName>
    <definedName name="preventorp3">#REF!</definedName>
    <definedName name="preventorp4" localSheetId="30">#REF!</definedName>
    <definedName name="preventorp4" localSheetId="29">#REF!</definedName>
    <definedName name="preventorp4" localSheetId="35">#REF!</definedName>
    <definedName name="preventorp4" localSheetId="34">#REF!</definedName>
    <definedName name="preventorp4" localSheetId="66">#REF!</definedName>
    <definedName name="preventorp4" localSheetId="22">#REF!</definedName>
    <definedName name="preventorp4" localSheetId="24">#REF!</definedName>
    <definedName name="preventorp4" localSheetId="39">#REF!</definedName>
    <definedName name="preventorp4" localSheetId="40">#REF!</definedName>
    <definedName name="preventorp4" localSheetId="53">#REF!</definedName>
    <definedName name="preventorp4" localSheetId="54">#REF!</definedName>
    <definedName name="preventorp4" localSheetId="5">#REF!</definedName>
    <definedName name="preventorp4" localSheetId="3">#REF!</definedName>
    <definedName name="preventorp4" localSheetId="48">#REF!</definedName>
    <definedName name="preventorp4" localSheetId="47">#REF!</definedName>
    <definedName name="preventorp4" localSheetId="52">#REF!</definedName>
    <definedName name="preventorp4" localSheetId="58">#REF!</definedName>
    <definedName name="preventorp4" localSheetId="59">#REF!</definedName>
    <definedName name="preventorp4" localSheetId="8">#REF!</definedName>
    <definedName name="preventorp4" localSheetId="17">#REF!</definedName>
    <definedName name="preventorp4" localSheetId="18">#REF!</definedName>
    <definedName name="preventorp4" localSheetId="63">#REF!</definedName>
    <definedName name="preventorp4" localSheetId="13">#REF!</definedName>
    <definedName name="preventorp4" localSheetId="12">#REF!</definedName>
    <definedName name="preventorp4" localSheetId="41">#REF!</definedName>
    <definedName name="preventorp4" localSheetId="42">#REF!</definedName>
    <definedName name="preventorp4" localSheetId="65">#REF!</definedName>
    <definedName name="preventorp4" localSheetId="25">#REF!</definedName>
    <definedName name="preventorp4" localSheetId="23">#REF!</definedName>
    <definedName name="preventorp4">#REF!</definedName>
    <definedName name="_xlnm.Print_Area" localSheetId="30">'Admin Super TOS '!$A$1:$J$358</definedName>
    <definedName name="_xlnm.Print_Area" localSheetId="28">'Admin. Meas.'!$A$1:$M$143</definedName>
    <definedName name="_xlnm.Print_Area" localSheetId="31">'Admin. Reinf'!$A$1:$O$93</definedName>
    <definedName name="_xlnm.Print_Area" localSheetId="29">'Admin. Sub TOS'!$A$1:$J$123</definedName>
    <definedName name="_xlnm.Print_Area" localSheetId="27">'Admin. Sum'!$A$1:$H$50</definedName>
    <definedName name="_xlnm.Print_Area" localSheetId="36">'Daigon Reinf'!$A$1:$O$124</definedName>
    <definedName name="_xlnm.Print_Area" localSheetId="35">'Diagno Super TOS'!$A$1:$J$478</definedName>
    <definedName name="_xlnm.Print_Area" localSheetId="33">'Diagno. Meas'!$A$1:$J$151</definedName>
    <definedName name="_xlnm.Print_Area" localSheetId="34">'Diagno. Sub TOS'!$A$1:$J$122</definedName>
    <definedName name="_xlnm.Print_Area" localSheetId="32">'Diagno. Sum'!$A$1:$H$48</definedName>
    <definedName name="_xlnm.Print_Area" localSheetId="66">'Elev. Water Tank Rein.'!$A$1:$L$31</definedName>
    <definedName name="_xlnm.Print_Area" localSheetId="21">'Emer. &amp; Wait. Meas.'!$A$1:$J$158</definedName>
    <definedName name="_xlnm.Print_Area" localSheetId="22">'Emer. Sub TOS'!$A$1:$J$123</definedName>
    <definedName name="_xlnm.Print_Area" localSheetId="20">'Emer. Sum'!$A$1:$H$50</definedName>
    <definedName name="_xlnm.Print_Area" localSheetId="24">'Emer. Super TOS'!$A$1:$J$476</definedName>
    <definedName name="_xlnm.Print_Area" localSheetId="26">'EMG &amp;Waitng Reinf'!$A$1:$O$245</definedName>
    <definedName name="_xlnm.Print_Area" localSheetId="61">'G Su Site'!$A$1:$H$37</definedName>
    <definedName name="_xlnm.Print_Area" localSheetId="37">'Gen + Pump Summary'!$A$1:$I$45</definedName>
    <definedName name="_xlnm.Print_Area" localSheetId="43">'Gen Reinf'!$A$1:$O$56</definedName>
    <definedName name="_xlnm.Print_Area" localSheetId="39">'Gen. Sub TOS'!$A$1:$J$117</definedName>
    <definedName name="_xlnm.Print_Area" localSheetId="40">'Genera Super TOS'!$A$1:$J$122</definedName>
    <definedName name="_xlnm.Print_Area" localSheetId="38">'Generator+Pump house'!$A$1:$J$175</definedName>
    <definedName name="_xlnm.Print_Area" localSheetId="0">'Grand summary'!$A$1:$E$29</definedName>
    <definedName name="_xlnm.Print_Area" localSheetId="51">'Gua. Meas.'!$A$1:$J$115</definedName>
    <definedName name="_xlnm.Print_Area" localSheetId="55">'Gua. Reinf'!$A$1:$O$69</definedName>
    <definedName name="_xlnm.Print_Area" localSheetId="53">'Gua. Sub TOS'!$A$1:$J$117</definedName>
    <definedName name="_xlnm.Print_Area" localSheetId="50">'Gua. Sum.'!$A$1:$K$44</definedName>
    <definedName name="_xlnm.Print_Area" localSheetId="54">'Gua. Super TOS'!$A$1:$J$125</definedName>
    <definedName name="_xlnm.Print_Area" localSheetId="5">'IPD Bar'!$A$1:$O$89</definedName>
    <definedName name="_xlnm.Print_Area" localSheetId="2">'IPD Meas.'!$A$1:$K$160</definedName>
    <definedName name="_xlnm.Print_Area" localSheetId="3">'IPD Sub TOS'!$A$1:$J$185</definedName>
    <definedName name="_xlnm.Print_Area" localSheetId="1">'IPD Sum'!$A$1:$J$46</definedName>
    <definedName name="_xlnm.Print_Area" localSheetId="4">'IPD Super TOS'!$A$1:$J$687</definedName>
    <definedName name="_xlnm.Print_Area" localSheetId="48">'Kit Super TOS'!$A$1:$J$419</definedName>
    <definedName name="_xlnm.Print_Area" localSheetId="46">'Kit. Meas'!$A$1:$J$142</definedName>
    <definedName name="_xlnm.Print_Area" localSheetId="49">'Kit. Rein.'!$A$1:$O$114</definedName>
    <definedName name="_xlnm.Print_Area" localSheetId="47">'Kit. Sub TOS'!$A$1:$J$117</definedName>
    <definedName name="_xlnm.Print_Area" localSheetId="45">'Kitchen Summary  '!$A$1:$H$46</definedName>
    <definedName name="_xlnm.Print_Area" localSheetId="52">'Meas Guard edted '!$A$1:$J$72</definedName>
    <definedName name="_xlnm.Print_Area" localSheetId="57">'mor. Mea.'!$A$1:$I$169</definedName>
    <definedName name="_xlnm.Print_Area" localSheetId="60">'Mor. Reinf'!$A$1:$M$63</definedName>
    <definedName name="_xlnm.Print_Area" localSheetId="58">'Mor. Sub TOS'!$A$1:$J$117</definedName>
    <definedName name="_xlnm.Print_Area" localSheetId="59">'Mor. Super TOS'!$A$1:$J$123</definedName>
    <definedName name="_xlnm.Print_Area" localSheetId="9">'OPD Bar'!$A$1:$O$107</definedName>
    <definedName name="_xlnm.Print_Area" localSheetId="7">'OPD Meas.'!$A$1:$K$157</definedName>
    <definedName name="_xlnm.Print_Area" localSheetId="6">'OPD Sum'!$A$1:$J$47</definedName>
    <definedName name="_xlnm.Print_Area" localSheetId="8">'OPD TOS'!$A$1:$J$630</definedName>
    <definedName name="_xlnm.Print_Area" localSheetId="15">'OR &amp; Delivery Sum'!$A$1:$J$48</definedName>
    <definedName name="_xlnm.Print_Area" localSheetId="16">'OR and Delivery'!$A$1:$J$153</definedName>
    <definedName name="_xlnm.Print_Area" localSheetId="17">'OR Sub TOS'!$A$1:$J$121</definedName>
    <definedName name="_xlnm.Print_Area" localSheetId="18">'OR Super TOS '!$A$1:$J$870</definedName>
    <definedName name="_xlnm.Print_Area" localSheetId="19">'OR-Reinf'!$A$1:$O$101</definedName>
    <definedName name="_xlnm.Print_Area" localSheetId="64">'Ramp &amp; Covered Way Rein.'!$A$1:$L$56</definedName>
    <definedName name="_xlnm.Print_Area" localSheetId="44">'Re-bar pump house'!$A$1:$O$49</definedName>
    <definedName name="_xlnm.Print_Area" localSheetId="62">'Site Meas '!$A$1:$J$183</definedName>
    <definedName name="_xlnm.Print_Area" localSheetId="63">'Site TOS'!$A$1:$J$301</definedName>
    <definedName name="_xlnm.Print_Area" localSheetId="13">'SQ TOS '!$A$1:$J$177</definedName>
    <definedName name="_xlnm.Print_Area" localSheetId="14">'Staff &amp; SQ Reinf'!$A$1:$O$121</definedName>
    <definedName name="_xlnm.Print_Area" localSheetId="10">'Staff + SQ  Sum'!$A$1:$J$48</definedName>
    <definedName name="_xlnm.Print_Area" localSheetId="11">'Staff + SQ Measu.'!$A$1:$J$135</definedName>
    <definedName name="_xlnm.Print_Area" localSheetId="12">'Staff TOS'!$A$1:$J$341</definedName>
    <definedName name="_xlnm.Print_Area" localSheetId="41">'Tran. Sub TOS'!$A$1:$J$117</definedName>
    <definedName name="_xlnm.Print_Area" localSheetId="42">'Trans Super TOS'!$A$1:$J$63</definedName>
    <definedName name="_xlnm.Print_Area" localSheetId="65">Variation!$A$1:$J$123</definedName>
    <definedName name="_xlnm.Print_Area" localSheetId="25">'Wait Super TOS'!$A$1:$J$241</definedName>
    <definedName name="_xlnm.Print_Area" localSheetId="23">'Wait. Sub TOS'!$A$1:$J$123</definedName>
    <definedName name="_xlnm.Print_Titles" localSheetId="30">'Admin Super TOS '!$1:$5</definedName>
    <definedName name="_xlnm.Print_Titles" localSheetId="28">'Admin. Meas.'!$1:$7</definedName>
    <definedName name="_xlnm.Print_Titles" localSheetId="31">'Admin. Reinf'!$1:$7</definedName>
    <definedName name="_xlnm.Print_Titles" localSheetId="29">'Admin. Sub TOS'!$1:$5</definedName>
    <definedName name="_xlnm.Print_Titles" localSheetId="36">'Daigon Reinf'!$1:$4</definedName>
    <definedName name="_xlnm.Print_Titles" localSheetId="35">'Diagno Super TOS'!$1:$5</definedName>
    <definedName name="_xlnm.Print_Titles" localSheetId="33">'Diagno. Meas'!$1:$7</definedName>
    <definedName name="_xlnm.Print_Titles" localSheetId="34">'Diagno. Sub TOS'!$1:$5</definedName>
    <definedName name="_xlnm.Print_Titles" localSheetId="66">'Elev. Water Tank Rein.'!$1:$4</definedName>
    <definedName name="_xlnm.Print_Titles" localSheetId="21">'Emer. &amp; Wait. Meas.'!$1:$7</definedName>
    <definedName name="_xlnm.Print_Titles" localSheetId="22">'Emer. Sub TOS'!$1:$5</definedName>
    <definedName name="_xlnm.Print_Titles" localSheetId="24">'Emer. Super TOS'!$1:$5</definedName>
    <definedName name="_xlnm.Print_Titles" localSheetId="43">'Gen Reinf'!$1:$6</definedName>
    <definedName name="_xlnm.Print_Titles" localSheetId="39">'Gen. Sub TOS'!$1:$5</definedName>
    <definedName name="_xlnm.Print_Titles" localSheetId="40">'Genera Super TOS'!$1:$5</definedName>
    <definedName name="_xlnm.Print_Titles" localSheetId="38">'Generator+Pump house'!$1:$6</definedName>
    <definedName name="_xlnm.Print_Titles" localSheetId="51">'Gua. Meas.'!$1:$7</definedName>
    <definedName name="_xlnm.Print_Titles" localSheetId="55">'Gua. Reinf'!$1:$4</definedName>
    <definedName name="_xlnm.Print_Titles" localSheetId="53">'Gua. Sub TOS'!$1:$5</definedName>
    <definedName name="_xlnm.Print_Titles" localSheetId="54">'Gua. Super TOS'!$1:$5</definedName>
    <definedName name="_xlnm.Print_Titles" localSheetId="5">'IPD Bar'!$1:$8</definedName>
    <definedName name="_xlnm.Print_Titles" localSheetId="2">'IPD Meas.'!$1:$7</definedName>
    <definedName name="_xlnm.Print_Titles" localSheetId="3">'IPD Sub TOS'!$1:$5</definedName>
    <definedName name="_xlnm.Print_Titles" localSheetId="4">'IPD Super TOS'!$1:$5</definedName>
    <definedName name="_xlnm.Print_Titles" localSheetId="48">'Kit Super TOS'!$1:$5</definedName>
    <definedName name="_xlnm.Print_Titles" localSheetId="46">'Kit. Meas'!$1:$5</definedName>
    <definedName name="_xlnm.Print_Titles" localSheetId="49">'Kit. Rein.'!$1:$5</definedName>
    <definedName name="_xlnm.Print_Titles" localSheetId="47">'Kit. Sub TOS'!$1:$5</definedName>
    <definedName name="_xlnm.Print_Titles" localSheetId="57">'mor. Mea.'!$1:$6</definedName>
    <definedName name="_xlnm.Print_Titles" localSheetId="60">'Mor. Reinf'!$1:$6</definedName>
    <definedName name="_xlnm.Print_Titles" localSheetId="58">'Mor. Sub TOS'!$1:$5</definedName>
    <definedName name="_xlnm.Print_Titles" localSheetId="59">'Mor. Super TOS'!$1:$5</definedName>
    <definedName name="_xlnm.Print_Titles" localSheetId="9">'OPD Bar'!$1:$8</definedName>
    <definedName name="_xlnm.Print_Titles" localSheetId="7">'OPD Meas.'!$1:$7</definedName>
    <definedName name="_xlnm.Print_Titles" localSheetId="8">'OPD TOS'!$1:$5</definedName>
    <definedName name="_xlnm.Print_Titles" localSheetId="16">'OR and Delivery'!$1:$7</definedName>
    <definedName name="_xlnm.Print_Titles" localSheetId="17">'OR Sub TOS'!$1:$5</definedName>
    <definedName name="_xlnm.Print_Titles" localSheetId="18">'OR Super TOS '!$1:$5</definedName>
    <definedName name="_xlnm.Print_Titles" localSheetId="19">'OR-Reinf'!$1:$7</definedName>
    <definedName name="_xlnm.Print_Titles" localSheetId="64">'Ramp &amp; Covered Way Rein.'!$1:$4</definedName>
    <definedName name="_xlnm.Print_Titles" localSheetId="44">'Re-bar pump house'!$1:$6</definedName>
    <definedName name="_xlnm.Print_Titles" localSheetId="62">'Site Meas '!$1:$7</definedName>
    <definedName name="_xlnm.Print_Titles" localSheetId="63">'Site TOS'!$1:$5</definedName>
    <definedName name="_xlnm.Print_Titles" localSheetId="13">'SQ TOS '!$1:$5</definedName>
    <definedName name="_xlnm.Print_Titles" localSheetId="11">'Staff + SQ Measu.'!$1:$7</definedName>
    <definedName name="_xlnm.Print_Titles" localSheetId="12">'Staff TOS'!$1:$5</definedName>
    <definedName name="_xlnm.Print_Titles" localSheetId="41">'Tran. Sub TOS'!$1:$5</definedName>
    <definedName name="_xlnm.Print_Titles" localSheetId="42">'Trans Super TOS'!$1:$5</definedName>
    <definedName name="_xlnm.Print_Titles" localSheetId="65">Variation!$1:$5</definedName>
    <definedName name="_xlnm.Print_Titles" localSheetId="25">'Wait Super TOS'!$1:$5</definedName>
    <definedName name="_xlnm.Print_Titles" localSheetId="23">'Wait. Sub TOS'!$1:$5</definedName>
    <definedName name="ptli" localSheetId="30">#REF!</definedName>
    <definedName name="ptli" localSheetId="29">#REF!</definedName>
    <definedName name="ptli" localSheetId="35">#REF!</definedName>
    <definedName name="ptli" localSheetId="34">#REF!</definedName>
    <definedName name="ptli" localSheetId="66">#REF!</definedName>
    <definedName name="ptli" localSheetId="22">#REF!</definedName>
    <definedName name="ptli" localSheetId="24">#REF!</definedName>
    <definedName name="ptli" localSheetId="39">#REF!</definedName>
    <definedName name="ptli" localSheetId="40">#REF!</definedName>
    <definedName name="ptli" localSheetId="53">#REF!</definedName>
    <definedName name="ptli" localSheetId="54">#REF!</definedName>
    <definedName name="ptli" localSheetId="5">#REF!</definedName>
    <definedName name="ptli" localSheetId="3">#REF!</definedName>
    <definedName name="ptli" localSheetId="48">#REF!</definedName>
    <definedName name="ptli" localSheetId="47">#REF!</definedName>
    <definedName name="ptli" localSheetId="52">#REF!</definedName>
    <definedName name="ptli" localSheetId="58">#REF!</definedName>
    <definedName name="ptli" localSheetId="59">#REF!</definedName>
    <definedName name="ptli" localSheetId="8">#REF!</definedName>
    <definedName name="ptli" localSheetId="17">#REF!</definedName>
    <definedName name="ptli" localSheetId="18">#REF!</definedName>
    <definedName name="ptli" localSheetId="63">#REF!</definedName>
    <definedName name="ptli" localSheetId="13">#REF!</definedName>
    <definedName name="ptli" localSheetId="12">#REF!</definedName>
    <definedName name="ptli" localSheetId="41">#REF!</definedName>
    <definedName name="ptli" localSheetId="42">#REF!</definedName>
    <definedName name="ptli" localSheetId="65">#REF!</definedName>
    <definedName name="ptli" localSheetId="25">#REF!</definedName>
    <definedName name="ptli" localSheetId="23">#REF!</definedName>
    <definedName name="ptli">#REF!</definedName>
    <definedName name="PVC_dia.100mm" localSheetId="30">'[2]Break Down  '!#REF!</definedName>
    <definedName name="PVC_dia.100mm" localSheetId="29">'[2]Break Down  '!#REF!</definedName>
    <definedName name="PVC_dia.100mm" localSheetId="35">'[2]Break Down  '!#REF!</definedName>
    <definedName name="PVC_dia.100mm" localSheetId="34">'[2]Break Down  '!#REF!</definedName>
    <definedName name="PVC_dia.100mm" localSheetId="66">'[1]Break Down  '!#REF!</definedName>
    <definedName name="PVC_dia.100mm" localSheetId="22">'[2]Break Down  '!#REF!</definedName>
    <definedName name="PVC_dia.100mm" localSheetId="24">'[2]Break Down  '!#REF!</definedName>
    <definedName name="PVC_dia.100mm" localSheetId="39">'[2]Break Down  '!#REF!</definedName>
    <definedName name="PVC_dia.100mm" localSheetId="40">'[2]Break Down  '!#REF!</definedName>
    <definedName name="PVC_dia.100mm" localSheetId="53">'[2]Break Down  '!#REF!</definedName>
    <definedName name="PVC_dia.100mm" localSheetId="54">'[2]Break Down  '!#REF!</definedName>
    <definedName name="PVC_dia.100mm" localSheetId="5">'[1]Break Down  '!#REF!</definedName>
    <definedName name="PVC_dia.100mm" localSheetId="3">'[2]Break Down  '!#REF!</definedName>
    <definedName name="PVC_dia.100mm" localSheetId="4">'[2]Break Down  '!#REF!</definedName>
    <definedName name="PVC_dia.100mm" localSheetId="48">'[2]Break Down  '!#REF!</definedName>
    <definedName name="PVC_dia.100mm" localSheetId="47">'[2]Break Down  '!#REF!</definedName>
    <definedName name="PVC_dia.100mm" localSheetId="52">'[1]Break Down  '!#REF!</definedName>
    <definedName name="PVC_dia.100mm" localSheetId="58">'[2]Break Down  '!#REF!</definedName>
    <definedName name="PVC_dia.100mm" localSheetId="59">'[2]Break Down  '!#REF!</definedName>
    <definedName name="PVC_dia.100mm" localSheetId="8">'[2]Break Down  '!#REF!</definedName>
    <definedName name="PVC_dia.100mm" localSheetId="17">'[2]Break Down  '!#REF!</definedName>
    <definedName name="PVC_dia.100mm" localSheetId="18">'[2]Break Down  '!#REF!</definedName>
    <definedName name="PVC_dia.100mm" localSheetId="63">'[2]Break Down  '!#REF!</definedName>
    <definedName name="PVC_dia.100mm" localSheetId="13">'[2]Break Down  '!#REF!</definedName>
    <definedName name="PVC_dia.100mm" localSheetId="12">'[2]Break Down  '!#REF!</definedName>
    <definedName name="PVC_dia.100mm" localSheetId="41">'[2]Break Down  '!#REF!</definedName>
    <definedName name="PVC_dia.100mm" localSheetId="42">'[2]Break Down  '!#REF!</definedName>
    <definedName name="PVC_dia.100mm" localSheetId="65">'[2]Break Down  '!#REF!</definedName>
    <definedName name="PVC_dia.100mm" localSheetId="25">'[2]Break Down  '!#REF!</definedName>
    <definedName name="PVC_dia.100mm" localSheetId="23">'[2]Break Down  '!#REF!</definedName>
    <definedName name="PVC_dia.100mm">'[1]Break Down  '!#REF!</definedName>
    <definedName name="PVC_dia.50mm" localSheetId="30">'[2]Break Down  '!#REF!</definedName>
    <definedName name="PVC_dia.50mm" localSheetId="29">'[2]Break Down  '!#REF!</definedName>
    <definedName name="PVC_dia.50mm" localSheetId="35">'[2]Break Down  '!#REF!</definedName>
    <definedName name="PVC_dia.50mm" localSheetId="34">'[2]Break Down  '!#REF!</definedName>
    <definedName name="PVC_dia.50mm" localSheetId="66">'[1]Break Down  '!#REF!</definedName>
    <definedName name="PVC_dia.50mm" localSheetId="22">'[2]Break Down  '!#REF!</definedName>
    <definedName name="PVC_dia.50mm" localSheetId="24">'[2]Break Down  '!#REF!</definedName>
    <definedName name="PVC_dia.50mm" localSheetId="39">'[2]Break Down  '!#REF!</definedName>
    <definedName name="PVC_dia.50mm" localSheetId="40">'[2]Break Down  '!#REF!</definedName>
    <definedName name="PVC_dia.50mm" localSheetId="53">'[2]Break Down  '!#REF!</definedName>
    <definedName name="PVC_dia.50mm" localSheetId="54">'[2]Break Down  '!#REF!</definedName>
    <definedName name="PVC_dia.50mm" localSheetId="5">'[1]Break Down  '!#REF!</definedName>
    <definedName name="PVC_dia.50mm" localSheetId="3">'[2]Break Down  '!#REF!</definedName>
    <definedName name="PVC_dia.50mm" localSheetId="4">'[2]Break Down  '!#REF!</definedName>
    <definedName name="PVC_dia.50mm" localSheetId="48">'[2]Break Down  '!#REF!</definedName>
    <definedName name="PVC_dia.50mm" localSheetId="47">'[2]Break Down  '!#REF!</definedName>
    <definedName name="PVC_dia.50mm" localSheetId="52">'[1]Break Down  '!#REF!</definedName>
    <definedName name="PVC_dia.50mm" localSheetId="58">'[2]Break Down  '!#REF!</definedName>
    <definedName name="PVC_dia.50mm" localSheetId="59">'[2]Break Down  '!#REF!</definedName>
    <definedName name="PVC_dia.50mm" localSheetId="8">'[2]Break Down  '!#REF!</definedName>
    <definedName name="PVC_dia.50mm" localSheetId="17">'[2]Break Down  '!#REF!</definedName>
    <definedName name="PVC_dia.50mm" localSheetId="18">'[2]Break Down  '!#REF!</definedName>
    <definedName name="PVC_dia.50mm" localSheetId="63">'[2]Break Down  '!#REF!</definedName>
    <definedName name="PVC_dia.50mm" localSheetId="13">'[2]Break Down  '!#REF!</definedName>
    <definedName name="PVC_dia.50mm" localSheetId="12">'[2]Break Down  '!#REF!</definedName>
    <definedName name="PVC_dia.50mm" localSheetId="41">'[2]Break Down  '!#REF!</definedName>
    <definedName name="PVC_dia.50mm" localSheetId="42">'[2]Break Down  '!#REF!</definedName>
    <definedName name="PVC_dia.50mm" localSheetId="65">'[2]Break Down  '!#REF!</definedName>
    <definedName name="PVC_dia.50mm" localSheetId="25">'[2]Break Down  '!#REF!</definedName>
    <definedName name="PVC_dia.50mm" localSheetId="23">'[2]Break Down  '!#REF!</definedName>
    <definedName name="PVC_dia.50mm">'[1]Break Down  '!#REF!</definedName>
    <definedName name="PVC_dia.80mm_with_accessories" localSheetId="30">'[2]Break Down  '!#REF!</definedName>
    <definedName name="PVC_dia.80mm_with_accessories" localSheetId="29">'[2]Break Down  '!#REF!</definedName>
    <definedName name="PVC_dia.80mm_with_accessories" localSheetId="35">'[2]Break Down  '!#REF!</definedName>
    <definedName name="PVC_dia.80mm_with_accessories" localSheetId="34">'[2]Break Down  '!#REF!</definedName>
    <definedName name="PVC_dia.80mm_with_accessories" localSheetId="66">'[1]Break Down  '!#REF!</definedName>
    <definedName name="PVC_dia.80mm_with_accessories" localSheetId="22">'[2]Break Down  '!#REF!</definedName>
    <definedName name="PVC_dia.80mm_with_accessories" localSheetId="24">'[2]Break Down  '!#REF!</definedName>
    <definedName name="PVC_dia.80mm_with_accessories" localSheetId="39">'[2]Break Down  '!#REF!</definedName>
    <definedName name="PVC_dia.80mm_with_accessories" localSheetId="40">'[2]Break Down  '!#REF!</definedName>
    <definedName name="PVC_dia.80mm_with_accessories" localSheetId="53">'[2]Break Down  '!#REF!</definedName>
    <definedName name="PVC_dia.80mm_with_accessories" localSheetId="54">'[2]Break Down  '!#REF!</definedName>
    <definedName name="PVC_dia.80mm_with_accessories" localSheetId="5">'[1]Break Down  '!#REF!</definedName>
    <definedName name="PVC_dia.80mm_with_accessories" localSheetId="3">'[2]Break Down  '!#REF!</definedName>
    <definedName name="PVC_dia.80mm_with_accessories" localSheetId="4">'[2]Break Down  '!#REF!</definedName>
    <definedName name="PVC_dia.80mm_with_accessories" localSheetId="48">'[2]Break Down  '!#REF!</definedName>
    <definedName name="PVC_dia.80mm_with_accessories" localSheetId="47">'[2]Break Down  '!#REF!</definedName>
    <definedName name="PVC_dia.80mm_with_accessories" localSheetId="52">'[1]Break Down  '!#REF!</definedName>
    <definedName name="PVC_dia.80mm_with_accessories" localSheetId="58">'[2]Break Down  '!#REF!</definedName>
    <definedName name="PVC_dia.80mm_with_accessories" localSheetId="59">'[2]Break Down  '!#REF!</definedName>
    <definedName name="PVC_dia.80mm_with_accessories" localSheetId="8">'[2]Break Down  '!#REF!</definedName>
    <definedName name="PVC_dia.80mm_with_accessories" localSheetId="17">'[2]Break Down  '!#REF!</definedName>
    <definedName name="PVC_dia.80mm_with_accessories" localSheetId="18">'[2]Break Down  '!#REF!</definedName>
    <definedName name="PVC_dia.80mm_with_accessories" localSheetId="63">'[2]Break Down  '!#REF!</definedName>
    <definedName name="PVC_dia.80mm_with_accessories" localSheetId="13">'[2]Break Down  '!#REF!</definedName>
    <definedName name="PVC_dia.80mm_with_accessories" localSheetId="12">'[2]Break Down  '!#REF!</definedName>
    <definedName name="PVC_dia.80mm_with_accessories" localSheetId="41">'[2]Break Down  '!#REF!</definedName>
    <definedName name="PVC_dia.80mm_with_accessories" localSheetId="42">'[2]Break Down  '!#REF!</definedName>
    <definedName name="PVC_dia.80mm_with_accessories" localSheetId="65">'[2]Break Down  '!#REF!</definedName>
    <definedName name="PVC_dia.80mm_with_accessories" localSheetId="25">'[2]Break Down  '!#REF!</definedName>
    <definedName name="PVC_dia.80mm_with_accessories" localSheetId="23">'[2]Break Down  '!#REF!</definedName>
    <definedName name="PVC_dia.80mm_with_accessories">'[1]Break Down  '!#REF!</definedName>
    <definedName name="PVC_pipes_dia.19mm_PVC_pipe" localSheetId="30">'[2]Break Down  '!#REF!</definedName>
    <definedName name="PVC_pipes_dia.19mm_PVC_pipe" localSheetId="29">'[2]Break Down  '!#REF!</definedName>
    <definedName name="PVC_pipes_dia.19mm_PVC_pipe" localSheetId="35">'[2]Break Down  '!#REF!</definedName>
    <definedName name="PVC_pipes_dia.19mm_PVC_pipe" localSheetId="34">'[2]Break Down  '!#REF!</definedName>
    <definedName name="PVC_pipes_dia.19mm_PVC_pipe" localSheetId="66">'[1]Break Down  '!#REF!</definedName>
    <definedName name="PVC_pipes_dia.19mm_PVC_pipe" localSheetId="22">'[2]Break Down  '!#REF!</definedName>
    <definedName name="PVC_pipes_dia.19mm_PVC_pipe" localSheetId="24">'[2]Break Down  '!#REF!</definedName>
    <definedName name="PVC_pipes_dia.19mm_PVC_pipe" localSheetId="39">'[2]Break Down  '!#REF!</definedName>
    <definedName name="PVC_pipes_dia.19mm_PVC_pipe" localSheetId="40">'[2]Break Down  '!#REF!</definedName>
    <definedName name="PVC_pipes_dia.19mm_PVC_pipe" localSheetId="53">'[2]Break Down  '!#REF!</definedName>
    <definedName name="PVC_pipes_dia.19mm_PVC_pipe" localSheetId="54">'[2]Break Down  '!#REF!</definedName>
    <definedName name="PVC_pipes_dia.19mm_PVC_pipe" localSheetId="5">'[1]Break Down  '!#REF!</definedName>
    <definedName name="PVC_pipes_dia.19mm_PVC_pipe" localSheetId="3">'[2]Break Down  '!#REF!</definedName>
    <definedName name="PVC_pipes_dia.19mm_PVC_pipe" localSheetId="4">'[2]Break Down  '!#REF!</definedName>
    <definedName name="PVC_pipes_dia.19mm_PVC_pipe" localSheetId="48">'[2]Break Down  '!#REF!</definedName>
    <definedName name="PVC_pipes_dia.19mm_PVC_pipe" localSheetId="47">'[2]Break Down  '!#REF!</definedName>
    <definedName name="PVC_pipes_dia.19mm_PVC_pipe" localSheetId="52">'[1]Break Down  '!#REF!</definedName>
    <definedName name="PVC_pipes_dia.19mm_PVC_pipe" localSheetId="58">'[2]Break Down  '!#REF!</definedName>
    <definedName name="PVC_pipes_dia.19mm_PVC_pipe" localSheetId="59">'[2]Break Down  '!#REF!</definedName>
    <definedName name="PVC_pipes_dia.19mm_PVC_pipe" localSheetId="8">'[2]Break Down  '!#REF!</definedName>
    <definedName name="PVC_pipes_dia.19mm_PVC_pipe" localSheetId="17">'[2]Break Down  '!#REF!</definedName>
    <definedName name="PVC_pipes_dia.19mm_PVC_pipe" localSheetId="18">'[2]Break Down  '!#REF!</definedName>
    <definedName name="PVC_pipes_dia.19mm_PVC_pipe" localSheetId="63">'[2]Break Down  '!#REF!</definedName>
    <definedName name="PVC_pipes_dia.19mm_PVC_pipe" localSheetId="13">'[2]Break Down  '!#REF!</definedName>
    <definedName name="PVC_pipes_dia.19mm_PVC_pipe" localSheetId="12">'[2]Break Down  '!#REF!</definedName>
    <definedName name="PVC_pipes_dia.19mm_PVC_pipe" localSheetId="41">'[2]Break Down  '!#REF!</definedName>
    <definedName name="PVC_pipes_dia.19mm_PVC_pipe" localSheetId="42">'[2]Break Down  '!#REF!</definedName>
    <definedName name="PVC_pipes_dia.19mm_PVC_pipe" localSheetId="65">'[2]Break Down  '!#REF!</definedName>
    <definedName name="PVC_pipes_dia.19mm_PVC_pipe" localSheetId="25">'[2]Break Down  '!#REF!</definedName>
    <definedName name="PVC_pipes_dia.19mm_PVC_pipe" localSheetId="23">'[2]Break Down  '!#REF!</definedName>
    <definedName name="PVC_pipes_dia.19mm_PVC_pipe">'[1]Break Down  '!#REF!</definedName>
    <definedName name="PVC_vent_caps_dia.50cm" localSheetId="30">'[2]Break Down  '!#REF!</definedName>
    <definedName name="PVC_vent_caps_dia.50cm" localSheetId="29">'[2]Break Down  '!#REF!</definedName>
    <definedName name="PVC_vent_caps_dia.50cm" localSheetId="35">'[2]Break Down  '!#REF!</definedName>
    <definedName name="PVC_vent_caps_dia.50cm" localSheetId="34">'[2]Break Down  '!#REF!</definedName>
    <definedName name="PVC_vent_caps_dia.50cm" localSheetId="66">'[1]Break Down  '!#REF!</definedName>
    <definedName name="PVC_vent_caps_dia.50cm" localSheetId="22">'[2]Break Down  '!#REF!</definedName>
    <definedName name="PVC_vent_caps_dia.50cm" localSheetId="24">'[2]Break Down  '!#REF!</definedName>
    <definedName name="PVC_vent_caps_dia.50cm" localSheetId="39">'[2]Break Down  '!#REF!</definedName>
    <definedName name="PVC_vent_caps_dia.50cm" localSheetId="40">'[2]Break Down  '!#REF!</definedName>
    <definedName name="PVC_vent_caps_dia.50cm" localSheetId="53">'[2]Break Down  '!#REF!</definedName>
    <definedName name="PVC_vent_caps_dia.50cm" localSheetId="54">'[2]Break Down  '!#REF!</definedName>
    <definedName name="PVC_vent_caps_dia.50cm" localSheetId="5">'[1]Break Down  '!#REF!</definedName>
    <definedName name="PVC_vent_caps_dia.50cm" localSheetId="3">'[2]Break Down  '!#REF!</definedName>
    <definedName name="PVC_vent_caps_dia.50cm" localSheetId="4">'[2]Break Down  '!#REF!</definedName>
    <definedName name="PVC_vent_caps_dia.50cm" localSheetId="48">'[2]Break Down  '!#REF!</definedName>
    <definedName name="PVC_vent_caps_dia.50cm" localSheetId="47">'[2]Break Down  '!#REF!</definedName>
    <definedName name="PVC_vent_caps_dia.50cm" localSheetId="52">'[1]Break Down  '!#REF!</definedName>
    <definedName name="PVC_vent_caps_dia.50cm" localSheetId="58">'[2]Break Down  '!#REF!</definedName>
    <definedName name="PVC_vent_caps_dia.50cm" localSheetId="59">'[2]Break Down  '!#REF!</definedName>
    <definedName name="PVC_vent_caps_dia.50cm" localSheetId="8">'[2]Break Down  '!#REF!</definedName>
    <definedName name="PVC_vent_caps_dia.50cm" localSheetId="17">'[2]Break Down  '!#REF!</definedName>
    <definedName name="PVC_vent_caps_dia.50cm" localSheetId="18">'[2]Break Down  '!#REF!</definedName>
    <definedName name="PVC_vent_caps_dia.50cm" localSheetId="63">'[2]Break Down  '!#REF!</definedName>
    <definedName name="PVC_vent_caps_dia.50cm" localSheetId="13">'[2]Break Down  '!#REF!</definedName>
    <definedName name="PVC_vent_caps_dia.50cm" localSheetId="12">'[2]Break Down  '!#REF!</definedName>
    <definedName name="PVC_vent_caps_dia.50cm" localSheetId="41">'[2]Break Down  '!#REF!</definedName>
    <definedName name="PVC_vent_caps_dia.50cm" localSheetId="42">'[2]Break Down  '!#REF!</definedName>
    <definedName name="PVC_vent_caps_dia.50cm" localSheetId="65">'[2]Break Down  '!#REF!</definedName>
    <definedName name="PVC_vent_caps_dia.50cm" localSheetId="25">'[2]Break Down  '!#REF!</definedName>
    <definedName name="PVC_vent_caps_dia.50cm" localSheetId="23">'[2]Break Down  '!#REF!</definedName>
    <definedName name="PVC_vent_caps_dia.50cm">'[1]Break Down  '!#REF!</definedName>
    <definedName name="pvcconductor1.5" localSheetId="30">#REF!</definedName>
    <definedName name="pvcconductor1.5" localSheetId="29">#REF!</definedName>
    <definedName name="pvcconductor1.5" localSheetId="35">#REF!</definedName>
    <definedName name="pvcconductor1.5" localSheetId="34">#REF!</definedName>
    <definedName name="pvcconductor1.5" localSheetId="66">#REF!</definedName>
    <definedName name="pvcconductor1.5" localSheetId="22">#REF!</definedName>
    <definedName name="pvcconductor1.5" localSheetId="24">#REF!</definedName>
    <definedName name="pvcconductor1.5" localSheetId="39">#REF!</definedName>
    <definedName name="pvcconductor1.5" localSheetId="40">#REF!</definedName>
    <definedName name="pvcconductor1.5" localSheetId="53">#REF!</definedName>
    <definedName name="pvcconductor1.5" localSheetId="54">#REF!</definedName>
    <definedName name="pvcconductor1.5" localSheetId="5">#REF!</definedName>
    <definedName name="pvcconductor1.5" localSheetId="3">#REF!</definedName>
    <definedName name="pvcconductor1.5" localSheetId="48">#REF!</definedName>
    <definedName name="pvcconductor1.5" localSheetId="47">#REF!</definedName>
    <definedName name="pvcconductor1.5" localSheetId="52">#REF!</definedName>
    <definedName name="pvcconductor1.5" localSheetId="58">#REF!</definedName>
    <definedName name="pvcconductor1.5" localSheetId="59">#REF!</definedName>
    <definedName name="pvcconductor1.5" localSheetId="8">#REF!</definedName>
    <definedName name="pvcconductor1.5" localSheetId="17">#REF!</definedName>
    <definedName name="pvcconductor1.5" localSheetId="18">#REF!</definedName>
    <definedName name="pvcconductor1.5" localSheetId="63">#REF!</definedName>
    <definedName name="pvcconductor1.5" localSheetId="13">#REF!</definedName>
    <definedName name="pvcconductor1.5" localSheetId="12">#REF!</definedName>
    <definedName name="pvcconductor1.5" localSheetId="41">#REF!</definedName>
    <definedName name="pvcconductor1.5" localSheetId="42">#REF!</definedName>
    <definedName name="pvcconductor1.5" localSheetId="65">#REF!</definedName>
    <definedName name="pvcconductor1.5" localSheetId="25">#REF!</definedName>
    <definedName name="pvcconductor1.5" localSheetId="23">#REF!</definedName>
    <definedName name="pvcconductor1.5">#REF!</definedName>
    <definedName name="pvcconductor10" localSheetId="30">#REF!</definedName>
    <definedName name="pvcconductor10" localSheetId="29">#REF!</definedName>
    <definedName name="pvcconductor10" localSheetId="35">#REF!</definedName>
    <definedName name="pvcconductor10" localSheetId="34">#REF!</definedName>
    <definedName name="pvcconductor10" localSheetId="66">#REF!</definedName>
    <definedName name="pvcconductor10" localSheetId="22">#REF!</definedName>
    <definedName name="pvcconductor10" localSheetId="24">#REF!</definedName>
    <definedName name="pvcconductor10" localSheetId="39">#REF!</definedName>
    <definedName name="pvcconductor10" localSheetId="40">#REF!</definedName>
    <definedName name="pvcconductor10" localSheetId="53">#REF!</definedName>
    <definedName name="pvcconductor10" localSheetId="54">#REF!</definedName>
    <definedName name="pvcconductor10" localSheetId="5">#REF!</definedName>
    <definedName name="pvcconductor10" localSheetId="3">#REF!</definedName>
    <definedName name="pvcconductor10" localSheetId="48">#REF!</definedName>
    <definedName name="pvcconductor10" localSheetId="47">#REF!</definedName>
    <definedName name="pvcconductor10" localSheetId="52">#REF!</definedName>
    <definedName name="pvcconductor10" localSheetId="58">#REF!</definedName>
    <definedName name="pvcconductor10" localSheetId="59">#REF!</definedName>
    <definedName name="pvcconductor10" localSheetId="8">#REF!</definedName>
    <definedName name="pvcconductor10" localSheetId="17">#REF!</definedName>
    <definedName name="pvcconductor10" localSheetId="18">#REF!</definedName>
    <definedName name="pvcconductor10" localSheetId="63">#REF!</definedName>
    <definedName name="pvcconductor10" localSheetId="13">#REF!</definedName>
    <definedName name="pvcconductor10" localSheetId="12">#REF!</definedName>
    <definedName name="pvcconductor10" localSheetId="41">#REF!</definedName>
    <definedName name="pvcconductor10" localSheetId="42">#REF!</definedName>
    <definedName name="pvcconductor10" localSheetId="65">#REF!</definedName>
    <definedName name="pvcconductor10" localSheetId="25">#REF!</definedName>
    <definedName name="pvcconductor10" localSheetId="23">#REF!</definedName>
    <definedName name="pvcconductor10">#REF!</definedName>
    <definedName name="pvcconductor16" localSheetId="30">#REF!</definedName>
    <definedName name="pvcconductor16" localSheetId="29">#REF!</definedName>
    <definedName name="pvcconductor16" localSheetId="35">#REF!</definedName>
    <definedName name="pvcconductor16" localSheetId="34">#REF!</definedName>
    <definedName name="pvcconductor16" localSheetId="66">#REF!</definedName>
    <definedName name="pvcconductor16" localSheetId="22">#REF!</definedName>
    <definedName name="pvcconductor16" localSheetId="24">#REF!</definedName>
    <definedName name="pvcconductor16" localSheetId="39">#REF!</definedName>
    <definedName name="pvcconductor16" localSheetId="40">#REF!</definedName>
    <definedName name="pvcconductor16" localSheetId="53">#REF!</definedName>
    <definedName name="pvcconductor16" localSheetId="54">#REF!</definedName>
    <definedName name="pvcconductor16" localSheetId="5">#REF!</definedName>
    <definedName name="pvcconductor16" localSheetId="3">#REF!</definedName>
    <definedName name="pvcconductor16" localSheetId="48">#REF!</definedName>
    <definedName name="pvcconductor16" localSheetId="47">#REF!</definedName>
    <definedName name="pvcconductor16" localSheetId="52">#REF!</definedName>
    <definedName name="pvcconductor16" localSheetId="58">#REF!</definedName>
    <definedName name="pvcconductor16" localSheetId="59">#REF!</definedName>
    <definedName name="pvcconductor16" localSheetId="8">#REF!</definedName>
    <definedName name="pvcconductor16" localSheetId="17">#REF!</definedName>
    <definedName name="pvcconductor16" localSheetId="18">#REF!</definedName>
    <definedName name="pvcconductor16" localSheetId="63">#REF!</definedName>
    <definedName name="pvcconductor16" localSheetId="13">#REF!</definedName>
    <definedName name="pvcconductor16" localSheetId="12">#REF!</definedName>
    <definedName name="pvcconductor16" localSheetId="41">#REF!</definedName>
    <definedName name="pvcconductor16" localSheetId="42">#REF!</definedName>
    <definedName name="pvcconductor16" localSheetId="65">#REF!</definedName>
    <definedName name="pvcconductor16" localSheetId="25">#REF!</definedName>
    <definedName name="pvcconductor16" localSheetId="23">#REF!</definedName>
    <definedName name="pvcconductor16">#REF!</definedName>
    <definedName name="pvcconductor2.5" localSheetId="30">#REF!</definedName>
    <definedName name="pvcconductor2.5" localSheetId="29">#REF!</definedName>
    <definedName name="pvcconductor2.5" localSheetId="35">#REF!</definedName>
    <definedName name="pvcconductor2.5" localSheetId="34">#REF!</definedName>
    <definedName name="pvcconductor2.5" localSheetId="66">#REF!</definedName>
    <definedName name="pvcconductor2.5" localSheetId="22">#REF!</definedName>
    <definedName name="pvcconductor2.5" localSheetId="24">#REF!</definedName>
    <definedName name="pvcconductor2.5" localSheetId="39">#REF!</definedName>
    <definedName name="pvcconductor2.5" localSheetId="40">#REF!</definedName>
    <definedName name="pvcconductor2.5" localSheetId="53">#REF!</definedName>
    <definedName name="pvcconductor2.5" localSheetId="54">#REF!</definedName>
    <definedName name="pvcconductor2.5" localSheetId="5">#REF!</definedName>
    <definedName name="pvcconductor2.5" localSheetId="3">#REF!</definedName>
    <definedName name="pvcconductor2.5" localSheetId="48">#REF!</definedName>
    <definedName name="pvcconductor2.5" localSheetId="47">#REF!</definedName>
    <definedName name="pvcconductor2.5" localSheetId="52">#REF!</definedName>
    <definedName name="pvcconductor2.5" localSheetId="58">#REF!</definedName>
    <definedName name="pvcconductor2.5" localSheetId="59">#REF!</definedName>
    <definedName name="pvcconductor2.5" localSheetId="8">#REF!</definedName>
    <definedName name="pvcconductor2.5" localSheetId="17">#REF!</definedName>
    <definedName name="pvcconductor2.5" localSheetId="18">#REF!</definedName>
    <definedName name="pvcconductor2.5" localSheetId="63">#REF!</definedName>
    <definedName name="pvcconductor2.5" localSheetId="13">#REF!</definedName>
    <definedName name="pvcconductor2.5" localSheetId="12">#REF!</definedName>
    <definedName name="pvcconductor2.5" localSheetId="41">#REF!</definedName>
    <definedName name="pvcconductor2.5" localSheetId="42">#REF!</definedName>
    <definedName name="pvcconductor2.5" localSheetId="65">#REF!</definedName>
    <definedName name="pvcconductor2.5" localSheetId="25">#REF!</definedName>
    <definedName name="pvcconductor2.5" localSheetId="23">#REF!</definedName>
    <definedName name="pvcconductor2.5">#REF!</definedName>
    <definedName name="pvcconductor25" localSheetId="30">#REF!</definedName>
    <definedName name="pvcconductor25" localSheetId="29">#REF!</definedName>
    <definedName name="pvcconductor25" localSheetId="35">#REF!</definedName>
    <definedName name="pvcconductor25" localSheetId="34">#REF!</definedName>
    <definedName name="pvcconductor25" localSheetId="66">#REF!</definedName>
    <definedName name="pvcconductor25" localSheetId="22">#REF!</definedName>
    <definedName name="pvcconductor25" localSheetId="24">#REF!</definedName>
    <definedName name="pvcconductor25" localSheetId="39">#REF!</definedName>
    <definedName name="pvcconductor25" localSheetId="40">#REF!</definedName>
    <definedName name="pvcconductor25" localSheetId="53">#REF!</definedName>
    <definedName name="pvcconductor25" localSheetId="54">#REF!</definedName>
    <definedName name="pvcconductor25" localSheetId="5">#REF!</definedName>
    <definedName name="pvcconductor25" localSheetId="3">#REF!</definedName>
    <definedName name="pvcconductor25" localSheetId="48">#REF!</definedName>
    <definedName name="pvcconductor25" localSheetId="47">#REF!</definedName>
    <definedName name="pvcconductor25" localSheetId="52">#REF!</definedName>
    <definedName name="pvcconductor25" localSheetId="58">#REF!</definedName>
    <definedName name="pvcconductor25" localSheetId="59">#REF!</definedName>
    <definedName name="pvcconductor25" localSheetId="8">#REF!</definedName>
    <definedName name="pvcconductor25" localSheetId="17">#REF!</definedName>
    <definedName name="pvcconductor25" localSheetId="18">#REF!</definedName>
    <definedName name="pvcconductor25" localSheetId="63">#REF!</definedName>
    <definedName name="pvcconductor25" localSheetId="13">#REF!</definedName>
    <definedName name="pvcconductor25" localSheetId="12">#REF!</definedName>
    <definedName name="pvcconductor25" localSheetId="41">#REF!</definedName>
    <definedName name="pvcconductor25" localSheetId="42">#REF!</definedName>
    <definedName name="pvcconductor25" localSheetId="65">#REF!</definedName>
    <definedName name="pvcconductor25" localSheetId="25">#REF!</definedName>
    <definedName name="pvcconductor25" localSheetId="23">#REF!</definedName>
    <definedName name="pvcconductor25">#REF!</definedName>
    <definedName name="pvcconductor4" localSheetId="30">#REF!</definedName>
    <definedName name="pvcconductor4" localSheetId="29">#REF!</definedName>
    <definedName name="pvcconductor4" localSheetId="35">#REF!</definedName>
    <definedName name="pvcconductor4" localSheetId="34">#REF!</definedName>
    <definedName name="pvcconductor4" localSheetId="66">#REF!</definedName>
    <definedName name="pvcconductor4" localSheetId="22">#REF!</definedName>
    <definedName name="pvcconductor4" localSheetId="24">#REF!</definedName>
    <definedName name="pvcconductor4" localSheetId="39">#REF!</definedName>
    <definedName name="pvcconductor4" localSheetId="40">#REF!</definedName>
    <definedName name="pvcconductor4" localSheetId="53">#REF!</definedName>
    <definedName name="pvcconductor4" localSheetId="54">#REF!</definedName>
    <definedName name="pvcconductor4" localSheetId="5">#REF!</definedName>
    <definedName name="pvcconductor4" localSheetId="3">#REF!</definedName>
    <definedName name="pvcconductor4" localSheetId="48">#REF!</definedName>
    <definedName name="pvcconductor4" localSheetId="47">#REF!</definedName>
    <definedName name="pvcconductor4" localSheetId="52">#REF!</definedName>
    <definedName name="pvcconductor4" localSheetId="58">#REF!</definedName>
    <definedName name="pvcconductor4" localSheetId="59">#REF!</definedName>
    <definedName name="pvcconductor4" localSheetId="8">#REF!</definedName>
    <definedName name="pvcconductor4" localSheetId="17">#REF!</definedName>
    <definedName name="pvcconductor4" localSheetId="18">#REF!</definedName>
    <definedName name="pvcconductor4" localSheetId="63">#REF!</definedName>
    <definedName name="pvcconductor4" localSheetId="13">#REF!</definedName>
    <definedName name="pvcconductor4" localSheetId="12">#REF!</definedName>
    <definedName name="pvcconductor4" localSheetId="41">#REF!</definedName>
    <definedName name="pvcconductor4" localSheetId="42">#REF!</definedName>
    <definedName name="pvcconductor4" localSheetId="65">#REF!</definedName>
    <definedName name="pvcconductor4" localSheetId="25">#REF!</definedName>
    <definedName name="pvcconductor4" localSheetId="23">#REF!</definedName>
    <definedName name="pvcconductor4">#REF!</definedName>
    <definedName name="pvcconductor6" localSheetId="30">#REF!</definedName>
    <definedName name="pvcconductor6" localSheetId="29">#REF!</definedName>
    <definedName name="pvcconductor6" localSheetId="35">#REF!</definedName>
    <definedName name="pvcconductor6" localSheetId="34">#REF!</definedName>
    <definedName name="pvcconductor6" localSheetId="66">#REF!</definedName>
    <definedName name="pvcconductor6" localSheetId="22">#REF!</definedName>
    <definedName name="pvcconductor6" localSheetId="24">#REF!</definedName>
    <definedName name="pvcconductor6" localSheetId="39">#REF!</definedName>
    <definedName name="pvcconductor6" localSheetId="40">#REF!</definedName>
    <definedName name="pvcconductor6" localSheetId="53">#REF!</definedName>
    <definedName name="pvcconductor6" localSheetId="54">#REF!</definedName>
    <definedName name="pvcconductor6" localSheetId="5">#REF!</definedName>
    <definedName name="pvcconductor6" localSheetId="3">#REF!</definedName>
    <definedName name="pvcconductor6" localSheetId="48">#REF!</definedName>
    <definedName name="pvcconductor6" localSheetId="47">#REF!</definedName>
    <definedName name="pvcconductor6" localSheetId="52">#REF!</definedName>
    <definedName name="pvcconductor6" localSheetId="58">#REF!</definedName>
    <definedName name="pvcconductor6" localSheetId="59">#REF!</definedName>
    <definedName name="pvcconductor6" localSheetId="8">#REF!</definedName>
    <definedName name="pvcconductor6" localSheetId="17">#REF!</definedName>
    <definedName name="pvcconductor6" localSheetId="18">#REF!</definedName>
    <definedName name="pvcconductor6" localSheetId="63">#REF!</definedName>
    <definedName name="pvcconductor6" localSheetId="13">#REF!</definedName>
    <definedName name="pvcconductor6" localSheetId="12">#REF!</definedName>
    <definedName name="pvcconductor6" localSheetId="41">#REF!</definedName>
    <definedName name="pvcconductor6" localSheetId="42">#REF!</definedName>
    <definedName name="pvcconductor6" localSheetId="65">#REF!</definedName>
    <definedName name="pvcconductor6" localSheetId="25">#REF!</definedName>
    <definedName name="pvcconductor6" localSheetId="23">#REF!</definedName>
    <definedName name="pvcconductor6">#REF!</definedName>
    <definedName name="rahel" localSheetId="30">#REF!</definedName>
    <definedName name="rahel" localSheetId="29">#REF!</definedName>
    <definedName name="rahel" localSheetId="35">#REF!</definedName>
    <definedName name="rahel" localSheetId="34">#REF!</definedName>
    <definedName name="rahel" localSheetId="66">#REF!</definedName>
    <definedName name="rahel" localSheetId="22">#REF!</definedName>
    <definedName name="rahel" localSheetId="24">#REF!</definedName>
    <definedName name="rahel" localSheetId="39">#REF!</definedName>
    <definedName name="rahel" localSheetId="40">#REF!</definedName>
    <definedName name="rahel" localSheetId="53">#REF!</definedName>
    <definedName name="rahel" localSheetId="54">#REF!</definedName>
    <definedName name="rahel" localSheetId="5">#REF!</definedName>
    <definedName name="rahel" localSheetId="3">#REF!</definedName>
    <definedName name="rahel" localSheetId="48">#REF!</definedName>
    <definedName name="rahel" localSheetId="47">#REF!</definedName>
    <definedName name="rahel" localSheetId="52">#REF!</definedName>
    <definedName name="rahel" localSheetId="58">#REF!</definedName>
    <definedName name="rahel" localSheetId="59">#REF!</definedName>
    <definedName name="rahel" localSheetId="8">#REF!</definedName>
    <definedName name="rahel" localSheetId="17">#REF!</definedName>
    <definedName name="rahel" localSheetId="18">#REF!</definedName>
    <definedName name="rahel" localSheetId="63">#REF!</definedName>
    <definedName name="rahel" localSheetId="13">#REF!</definedName>
    <definedName name="rahel" localSheetId="12">#REF!</definedName>
    <definedName name="rahel" localSheetId="41">#REF!</definedName>
    <definedName name="rahel" localSheetId="42">#REF!</definedName>
    <definedName name="rahel" localSheetId="65">#REF!</definedName>
    <definedName name="rahel" localSheetId="25">#REF!</definedName>
    <definedName name="rahel" localSheetId="23">#REF!</definedName>
    <definedName name="rahel">#REF!</definedName>
    <definedName name="rei" localSheetId="30">#REF!</definedName>
    <definedName name="rei" localSheetId="29">#REF!</definedName>
    <definedName name="rei" localSheetId="35">#REF!</definedName>
    <definedName name="rei" localSheetId="34">#REF!</definedName>
    <definedName name="rei" localSheetId="66">#REF!</definedName>
    <definedName name="rei" localSheetId="22">#REF!</definedName>
    <definedName name="rei" localSheetId="24">#REF!</definedName>
    <definedName name="rei" localSheetId="39">#REF!</definedName>
    <definedName name="rei" localSheetId="40">#REF!</definedName>
    <definedName name="rei" localSheetId="53">#REF!</definedName>
    <definedName name="rei" localSheetId="54">#REF!</definedName>
    <definedName name="rei" localSheetId="5">#REF!</definedName>
    <definedName name="rei" localSheetId="3">#REF!</definedName>
    <definedName name="rei" localSheetId="48">#REF!</definedName>
    <definedName name="rei" localSheetId="47">#REF!</definedName>
    <definedName name="rei" localSheetId="52">#REF!</definedName>
    <definedName name="rei" localSheetId="58">#REF!</definedName>
    <definedName name="rei" localSheetId="59">#REF!</definedName>
    <definedName name="rei" localSheetId="8">#REF!</definedName>
    <definedName name="rei" localSheetId="17">#REF!</definedName>
    <definedName name="rei" localSheetId="18">#REF!</definedName>
    <definedName name="rei" localSheetId="63">#REF!</definedName>
    <definedName name="rei" localSheetId="13">#REF!</definedName>
    <definedName name="rei" localSheetId="12">#REF!</definedName>
    <definedName name="rei" localSheetId="41">#REF!</definedName>
    <definedName name="rei" localSheetId="42">#REF!</definedName>
    <definedName name="rei" localSheetId="65">#REF!</definedName>
    <definedName name="rei" localSheetId="25">#REF!</definedName>
    <definedName name="rei" localSheetId="23">#REF!</definedName>
    <definedName name="rei">#REF!</definedName>
    <definedName name="rende" localSheetId="30">#REF!</definedName>
    <definedName name="rende" localSheetId="29">#REF!</definedName>
    <definedName name="rende" localSheetId="35">#REF!</definedName>
    <definedName name="rende" localSheetId="34">#REF!</definedName>
    <definedName name="rende" localSheetId="66">#REF!</definedName>
    <definedName name="rende" localSheetId="22">#REF!</definedName>
    <definedName name="rende" localSheetId="24">#REF!</definedName>
    <definedName name="rende" localSheetId="39">#REF!</definedName>
    <definedName name="rende" localSheetId="40">#REF!</definedName>
    <definedName name="rende" localSheetId="53">#REF!</definedName>
    <definedName name="rende" localSheetId="54">#REF!</definedName>
    <definedName name="rende" localSheetId="5">#REF!</definedName>
    <definedName name="rende" localSheetId="3">#REF!</definedName>
    <definedName name="rende" localSheetId="48">#REF!</definedName>
    <definedName name="rende" localSheetId="47">#REF!</definedName>
    <definedName name="rende" localSheetId="52">#REF!</definedName>
    <definedName name="rende" localSheetId="58">#REF!</definedName>
    <definedName name="rende" localSheetId="59">#REF!</definedName>
    <definedName name="rende" localSheetId="8">#REF!</definedName>
    <definedName name="rende" localSheetId="17">#REF!</definedName>
    <definedName name="rende" localSheetId="18">#REF!</definedName>
    <definedName name="rende" localSheetId="63">#REF!</definedName>
    <definedName name="rende" localSheetId="13">#REF!</definedName>
    <definedName name="rende" localSheetId="12">#REF!</definedName>
    <definedName name="rende" localSheetId="41">#REF!</definedName>
    <definedName name="rende" localSheetId="42">#REF!</definedName>
    <definedName name="rende" localSheetId="65">#REF!</definedName>
    <definedName name="rende" localSheetId="25">#REF!</definedName>
    <definedName name="rende" localSheetId="23">#REF!</definedName>
    <definedName name="rende">#REF!</definedName>
    <definedName name="rhsprofile" localSheetId="30">#REF!</definedName>
    <definedName name="rhsprofile" localSheetId="29">#REF!</definedName>
    <definedName name="rhsprofile" localSheetId="35">#REF!</definedName>
    <definedName name="rhsprofile" localSheetId="34">#REF!</definedName>
    <definedName name="rhsprofile" localSheetId="66">#REF!</definedName>
    <definedName name="rhsprofile" localSheetId="22">#REF!</definedName>
    <definedName name="rhsprofile" localSheetId="24">#REF!</definedName>
    <definedName name="rhsprofile" localSheetId="39">#REF!</definedName>
    <definedName name="rhsprofile" localSheetId="40">#REF!</definedName>
    <definedName name="rhsprofile" localSheetId="53">#REF!</definedName>
    <definedName name="rhsprofile" localSheetId="54">#REF!</definedName>
    <definedName name="rhsprofile" localSheetId="5">#REF!</definedName>
    <definedName name="rhsprofile" localSheetId="3">#REF!</definedName>
    <definedName name="rhsprofile" localSheetId="48">#REF!</definedName>
    <definedName name="rhsprofile" localSheetId="47">#REF!</definedName>
    <definedName name="rhsprofile" localSheetId="52">#REF!</definedName>
    <definedName name="rhsprofile" localSheetId="58">#REF!</definedName>
    <definedName name="rhsprofile" localSheetId="59">#REF!</definedName>
    <definedName name="rhsprofile" localSheetId="8">#REF!</definedName>
    <definedName name="rhsprofile" localSheetId="17">#REF!</definedName>
    <definedName name="rhsprofile" localSheetId="18">#REF!</definedName>
    <definedName name="rhsprofile" localSheetId="63">#REF!</definedName>
    <definedName name="rhsprofile" localSheetId="13">#REF!</definedName>
    <definedName name="rhsprofile" localSheetId="12">#REF!</definedName>
    <definedName name="rhsprofile" localSheetId="41">#REF!</definedName>
    <definedName name="rhsprofile" localSheetId="42">#REF!</definedName>
    <definedName name="rhsprofile" localSheetId="65">#REF!</definedName>
    <definedName name="rhsprofile" localSheetId="25">#REF!</definedName>
    <definedName name="rhsprofile" localSheetId="23">#REF!</definedName>
    <definedName name="rhsprofile">#REF!</definedName>
    <definedName name="roadcost" localSheetId="30">#REF!</definedName>
    <definedName name="roadcost" localSheetId="29">#REF!</definedName>
    <definedName name="roadcost" localSheetId="35">#REF!</definedName>
    <definedName name="roadcost" localSheetId="34">#REF!</definedName>
    <definedName name="roadcost" localSheetId="66">#REF!</definedName>
    <definedName name="roadcost" localSheetId="22">#REF!</definedName>
    <definedName name="roadcost" localSheetId="24">#REF!</definedName>
    <definedName name="roadcost" localSheetId="39">#REF!</definedName>
    <definedName name="roadcost" localSheetId="40">#REF!</definedName>
    <definedName name="roadcost" localSheetId="53">#REF!</definedName>
    <definedName name="roadcost" localSheetId="54">#REF!</definedName>
    <definedName name="roadcost" localSheetId="5">#REF!</definedName>
    <definedName name="roadcost" localSheetId="3">#REF!</definedName>
    <definedName name="roadcost" localSheetId="48">#REF!</definedName>
    <definedName name="roadcost" localSheetId="47">#REF!</definedName>
    <definedName name="roadcost" localSheetId="52">#REF!</definedName>
    <definedName name="roadcost" localSheetId="58">#REF!</definedName>
    <definedName name="roadcost" localSheetId="59">#REF!</definedName>
    <definedName name="roadcost" localSheetId="8">#REF!</definedName>
    <definedName name="roadcost" localSheetId="17">#REF!</definedName>
    <definedName name="roadcost" localSheetId="18">#REF!</definedName>
    <definedName name="roadcost" localSheetId="63">#REF!</definedName>
    <definedName name="roadcost" localSheetId="13">#REF!</definedName>
    <definedName name="roadcost" localSheetId="12">#REF!</definedName>
    <definedName name="roadcost" localSheetId="41">#REF!</definedName>
    <definedName name="roadcost" localSheetId="42">#REF!</definedName>
    <definedName name="roadcost" localSheetId="65">#REF!</definedName>
    <definedName name="roadcost" localSheetId="25">#REF!</definedName>
    <definedName name="roadcost" localSheetId="23">#REF!</definedName>
    <definedName name="roadcost">#REF!</definedName>
    <definedName name="roafcosty" localSheetId="30">#REF!</definedName>
    <definedName name="roafcosty" localSheetId="29">#REF!</definedName>
    <definedName name="roafcosty" localSheetId="35">#REF!</definedName>
    <definedName name="roafcosty" localSheetId="34">#REF!</definedName>
    <definedName name="roafcosty" localSheetId="66">#REF!</definedName>
    <definedName name="roafcosty" localSheetId="22">#REF!</definedName>
    <definedName name="roafcosty" localSheetId="24">#REF!</definedName>
    <definedName name="roafcosty" localSheetId="39">#REF!</definedName>
    <definedName name="roafcosty" localSheetId="40">#REF!</definedName>
    <definedName name="roafcosty" localSheetId="53">#REF!</definedName>
    <definedName name="roafcosty" localSheetId="54">#REF!</definedName>
    <definedName name="roafcosty" localSheetId="5">#REF!</definedName>
    <definedName name="roafcosty" localSheetId="3">#REF!</definedName>
    <definedName name="roafcosty" localSheetId="48">#REF!</definedName>
    <definedName name="roafcosty" localSheetId="47">#REF!</definedName>
    <definedName name="roafcosty" localSheetId="52">#REF!</definedName>
    <definedName name="roafcosty" localSheetId="58">#REF!</definedName>
    <definedName name="roafcosty" localSheetId="59">#REF!</definedName>
    <definedName name="roafcosty" localSheetId="8">#REF!</definedName>
    <definedName name="roafcosty" localSheetId="17">#REF!</definedName>
    <definedName name="roafcosty" localSheetId="18">#REF!</definedName>
    <definedName name="roafcosty" localSheetId="63">#REF!</definedName>
    <definedName name="roafcosty" localSheetId="13">#REF!</definedName>
    <definedName name="roafcosty" localSheetId="12">#REF!</definedName>
    <definedName name="roafcosty" localSheetId="41">#REF!</definedName>
    <definedName name="roafcosty" localSheetId="42">#REF!</definedName>
    <definedName name="roafcosty" localSheetId="65">#REF!</definedName>
    <definedName name="roafcosty" localSheetId="25">#REF!</definedName>
    <definedName name="roafcosty" localSheetId="23">#REF!</definedName>
    <definedName name="roafcosty">#REF!</definedName>
    <definedName name="SALI_REMOTE" localSheetId="30">#REF!</definedName>
    <definedName name="SALI_REMOTE" localSheetId="29">#REF!</definedName>
    <definedName name="SALI_REMOTE" localSheetId="35">#REF!</definedName>
    <definedName name="SALI_REMOTE" localSheetId="34">#REF!</definedName>
    <definedName name="SALI_REMOTE" localSheetId="66">#REF!</definedName>
    <definedName name="SALI_REMOTE" localSheetId="22">#REF!</definedName>
    <definedName name="SALI_REMOTE" localSheetId="24">#REF!</definedName>
    <definedName name="SALI_REMOTE" localSheetId="39">#REF!</definedName>
    <definedName name="SALI_REMOTE" localSheetId="40">#REF!</definedName>
    <definedName name="SALI_REMOTE" localSheetId="53">#REF!</definedName>
    <definedName name="SALI_REMOTE" localSheetId="54">#REF!</definedName>
    <definedName name="SALI_REMOTE" localSheetId="5">#REF!</definedName>
    <definedName name="SALI_REMOTE" localSheetId="3">#REF!</definedName>
    <definedName name="SALI_REMOTE" localSheetId="48">#REF!</definedName>
    <definedName name="SALI_REMOTE" localSheetId="47">#REF!</definedName>
    <definedName name="SALI_REMOTE" localSheetId="52">#REF!</definedName>
    <definedName name="SALI_REMOTE" localSheetId="58">#REF!</definedName>
    <definedName name="SALI_REMOTE" localSheetId="59">#REF!</definedName>
    <definedName name="SALI_REMOTE" localSheetId="8">#REF!</definedName>
    <definedName name="SALI_REMOTE" localSheetId="17">#REF!</definedName>
    <definedName name="SALI_REMOTE" localSheetId="18">#REF!</definedName>
    <definedName name="SALI_REMOTE" localSheetId="63">#REF!</definedName>
    <definedName name="SALI_REMOTE" localSheetId="13">#REF!</definedName>
    <definedName name="SALI_REMOTE" localSheetId="12">#REF!</definedName>
    <definedName name="SALI_REMOTE" localSheetId="41">#REF!</definedName>
    <definedName name="SALI_REMOTE" localSheetId="42">#REF!</definedName>
    <definedName name="SALI_REMOTE" localSheetId="65">#REF!</definedName>
    <definedName name="SALI_REMOTE" localSheetId="25">#REF!</definedName>
    <definedName name="SALI_REMOTE" localSheetId="23">#REF!</definedName>
    <definedName name="SALI_REMOTE">#REF!</definedName>
    <definedName name="sat_tv_fm" localSheetId="30">#REF!</definedName>
    <definedName name="sat_tv_fm" localSheetId="29">#REF!</definedName>
    <definedName name="sat_tv_fm" localSheetId="35">#REF!</definedName>
    <definedName name="sat_tv_fm" localSheetId="34">#REF!</definedName>
    <definedName name="sat_tv_fm" localSheetId="66">#REF!</definedName>
    <definedName name="sat_tv_fm" localSheetId="22">#REF!</definedName>
    <definedName name="sat_tv_fm" localSheetId="24">#REF!</definedName>
    <definedName name="sat_tv_fm" localSheetId="39">#REF!</definedName>
    <definedName name="sat_tv_fm" localSheetId="40">#REF!</definedName>
    <definedName name="sat_tv_fm" localSheetId="53">#REF!</definedName>
    <definedName name="sat_tv_fm" localSheetId="54">#REF!</definedName>
    <definedName name="sat_tv_fm" localSheetId="5">#REF!</definedName>
    <definedName name="sat_tv_fm" localSheetId="3">#REF!</definedName>
    <definedName name="sat_tv_fm" localSheetId="48">#REF!</definedName>
    <definedName name="sat_tv_fm" localSheetId="47">#REF!</definedName>
    <definedName name="sat_tv_fm" localSheetId="52">#REF!</definedName>
    <definedName name="sat_tv_fm" localSheetId="58">#REF!</definedName>
    <definedName name="sat_tv_fm" localSheetId="59">#REF!</definedName>
    <definedName name="sat_tv_fm" localSheetId="8">#REF!</definedName>
    <definedName name="sat_tv_fm" localSheetId="17">#REF!</definedName>
    <definedName name="sat_tv_fm" localSheetId="18">#REF!</definedName>
    <definedName name="sat_tv_fm" localSheetId="63">#REF!</definedName>
    <definedName name="sat_tv_fm" localSheetId="13">#REF!</definedName>
    <definedName name="sat_tv_fm" localSheetId="12">#REF!</definedName>
    <definedName name="sat_tv_fm" localSheetId="41">#REF!</definedName>
    <definedName name="sat_tv_fm" localSheetId="42">#REF!</definedName>
    <definedName name="sat_tv_fm" localSheetId="65">#REF!</definedName>
    <definedName name="sat_tv_fm" localSheetId="25">#REF!</definedName>
    <definedName name="sat_tv_fm" localSheetId="23">#REF!</definedName>
    <definedName name="sat_tv_fm">#REF!</definedName>
    <definedName name="sat_tv_fm_l" localSheetId="30">#REF!</definedName>
    <definedName name="sat_tv_fm_l" localSheetId="29">#REF!</definedName>
    <definedName name="sat_tv_fm_l" localSheetId="35">#REF!</definedName>
    <definedName name="sat_tv_fm_l" localSheetId="34">#REF!</definedName>
    <definedName name="sat_tv_fm_l" localSheetId="66">#REF!</definedName>
    <definedName name="sat_tv_fm_l" localSheetId="22">#REF!</definedName>
    <definedName name="sat_tv_fm_l" localSheetId="24">#REF!</definedName>
    <definedName name="sat_tv_fm_l" localSheetId="39">#REF!</definedName>
    <definedName name="sat_tv_fm_l" localSheetId="40">#REF!</definedName>
    <definedName name="sat_tv_fm_l" localSheetId="53">#REF!</definedName>
    <definedName name="sat_tv_fm_l" localSheetId="54">#REF!</definedName>
    <definedName name="sat_tv_fm_l" localSheetId="5">#REF!</definedName>
    <definedName name="sat_tv_fm_l" localSheetId="3">#REF!</definedName>
    <definedName name="sat_tv_fm_l" localSheetId="48">#REF!</definedName>
    <definedName name="sat_tv_fm_l" localSheetId="47">#REF!</definedName>
    <definedName name="sat_tv_fm_l" localSheetId="52">#REF!</definedName>
    <definedName name="sat_tv_fm_l" localSheetId="58">#REF!</definedName>
    <definedName name="sat_tv_fm_l" localSheetId="59">#REF!</definedName>
    <definedName name="sat_tv_fm_l" localSheetId="8">#REF!</definedName>
    <definedName name="sat_tv_fm_l" localSheetId="17">#REF!</definedName>
    <definedName name="sat_tv_fm_l" localSheetId="18">#REF!</definedName>
    <definedName name="sat_tv_fm_l" localSheetId="63">#REF!</definedName>
    <definedName name="sat_tv_fm_l" localSheetId="13">#REF!</definedName>
    <definedName name="sat_tv_fm_l" localSheetId="12">#REF!</definedName>
    <definedName name="sat_tv_fm_l" localSheetId="41">#REF!</definedName>
    <definedName name="sat_tv_fm_l" localSheetId="42">#REF!</definedName>
    <definedName name="sat_tv_fm_l" localSheetId="65">#REF!</definedName>
    <definedName name="sat_tv_fm_l" localSheetId="25">#REF!</definedName>
    <definedName name="sat_tv_fm_l" localSheetId="23">#REF!</definedName>
    <definedName name="sat_tv_fm_l">#REF!</definedName>
    <definedName name="sat_tv_fm_t" localSheetId="30">#REF!</definedName>
    <definedName name="sat_tv_fm_t" localSheetId="29">#REF!</definedName>
    <definedName name="sat_tv_fm_t" localSheetId="35">#REF!</definedName>
    <definedName name="sat_tv_fm_t" localSheetId="34">#REF!</definedName>
    <definedName name="sat_tv_fm_t" localSheetId="66">#REF!</definedName>
    <definedName name="sat_tv_fm_t" localSheetId="22">#REF!</definedName>
    <definedName name="sat_tv_fm_t" localSheetId="24">#REF!</definedName>
    <definedName name="sat_tv_fm_t" localSheetId="39">#REF!</definedName>
    <definedName name="sat_tv_fm_t" localSheetId="40">#REF!</definedName>
    <definedName name="sat_tv_fm_t" localSheetId="53">#REF!</definedName>
    <definedName name="sat_tv_fm_t" localSheetId="54">#REF!</definedName>
    <definedName name="sat_tv_fm_t" localSheetId="5">#REF!</definedName>
    <definedName name="sat_tv_fm_t" localSheetId="3">#REF!</definedName>
    <definedName name="sat_tv_fm_t" localSheetId="48">#REF!</definedName>
    <definedName name="sat_tv_fm_t" localSheetId="47">#REF!</definedName>
    <definedName name="sat_tv_fm_t" localSheetId="52">#REF!</definedName>
    <definedName name="sat_tv_fm_t" localSheetId="58">#REF!</definedName>
    <definedName name="sat_tv_fm_t" localSheetId="59">#REF!</definedName>
    <definedName name="sat_tv_fm_t" localSheetId="8">#REF!</definedName>
    <definedName name="sat_tv_fm_t" localSheetId="17">#REF!</definedName>
    <definedName name="sat_tv_fm_t" localSheetId="18">#REF!</definedName>
    <definedName name="sat_tv_fm_t" localSheetId="63">#REF!</definedName>
    <definedName name="sat_tv_fm_t" localSheetId="13">#REF!</definedName>
    <definedName name="sat_tv_fm_t" localSheetId="12">#REF!</definedName>
    <definedName name="sat_tv_fm_t" localSheetId="41">#REF!</definedName>
    <definedName name="sat_tv_fm_t" localSheetId="42">#REF!</definedName>
    <definedName name="sat_tv_fm_t" localSheetId="65">#REF!</definedName>
    <definedName name="sat_tv_fm_t" localSheetId="25">#REF!</definedName>
    <definedName name="sat_tv_fm_t" localSheetId="23">#REF!</definedName>
    <definedName name="sat_tv_fm_t">#REF!</definedName>
    <definedName name="screed" localSheetId="30">#REF!</definedName>
    <definedName name="screed" localSheetId="29">#REF!</definedName>
    <definedName name="screed" localSheetId="35">#REF!</definedName>
    <definedName name="screed" localSheetId="34">#REF!</definedName>
    <definedName name="screed" localSheetId="66">#REF!</definedName>
    <definedName name="screed" localSheetId="22">#REF!</definedName>
    <definedName name="screed" localSheetId="24">#REF!</definedName>
    <definedName name="screed" localSheetId="39">#REF!</definedName>
    <definedName name="screed" localSheetId="40">#REF!</definedName>
    <definedName name="screed" localSheetId="53">#REF!</definedName>
    <definedName name="screed" localSheetId="54">#REF!</definedName>
    <definedName name="screed" localSheetId="5">#REF!</definedName>
    <definedName name="screed" localSheetId="3">#REF!</definedName>
    <definedName name="screed" localSheetId="48">#REF!</definedName>
    <definedName name="screed" localSheetId="47">#REF!</definedName>
    <definedName name="screed" localSheetId="52">#REF!</definedName>
    <definedName name="screed" localSheetId="58">#REF!</definedName>
    <definedName name="screed" localSheetId="59">#REF!</definedName>
    <definedName name="screed" localSheetId="8">#REF!</definedName>
    <definedName name="screed" localSheetId="17">#REF!</definedName>
    <definedName name="screed" localSheetId="18">#REF!</definedName>
    <definedName name="screed" localSheetId="63">#REF!</definedName>
    <definedName name="screed" localSheetId="13">#REF!</definedName>
    <definedName name="screed" localSheetId="12">#REF!</definedName>
    <definedName name="screed" localSheetId="41">#REF!</definedName>
    <definedName name="screed" localSheetId="42">#REF!</definedName>
    <definedName name="screed" localSheetId="65">#REF!</definedName>
    <definedName name="screed" localSheetId="25">#REF!</definedName>
    <definedName name="screed" localSheetId="23">#REF!</definedName>
    <definedName name="screed">#REF!</definedName>
    <definedName name="SDB_O.N" localSheetId="30">'[2]Break Down  '!#REF!</definedName>
    <definedName name="SDB_O.N" localSheetId="29">'[2]Break Down  '!#REF!</definedName>
    <definedName name="SDB_O.N" localSheetId="35">'[2]Break Down  '!#REF!</definedName>
    <definedName name="SDB_O.N" localSheetId="34">'[2]Break Down  '!#REF!</definedName>
    <definedName name="SDB_O.N" localSheetId="66">'[1]Break Down  '!#REF!</definedName>
    <definedName name="SDB_O.N" localSheetId="22">'[2]Break Down  '!#REF!</definedName>
    <definedName name="SDB_O.N" localSheetId="24">'[2]Break Down  '!#REF!</definedName>
    <definedName name="SDB_O.N" localSheetId="39">'[2]Break Down  '!#REF!</definedName>
    <definedName name="SDB_O.N" localSheetId="40">'[2]Break Down  '!#REF!</definedName>
    <definedName name="SDB_O.N" localSheetId="53">'[2]Break Down  '!#REF!</definedName>
    <definedName name="SDB_O.N" localSheetId="54">'[2]Break Down  '!#REF!</definedName>
    <definedName name="SDB_O.N" localSheetId="5">'[1]Break Down  '!#REF!</definedName>
    <definedName name="SDB_O.N" localSheetId="3">'[2]Break Down  '!#REF!</definedName>
    <definedName name="SDB_O.N" localSheetId="4">'[2]Break Down  '!#REF!</definedName>
    <definedName name="SDB_O.N" localSheetId="48">'[2]Break Down  '!#REF!</definedName>
    <definedName name="SDB_O.N" localSheetId="47">'[2]Break Down  '!#REF!</definedName>
    <definedName name="SDB_O.N" localSheetId="52">'[1]Break Down  '!#REF!</definedName>
    <definedName name="SDB_O.N" localSheetId="58">'[2]Break Down  '!#REF!</definedName>
    <definedName name="SDB_O.N" localSheetId="59">'[2]Break Down  '!#REF!</definedName>
    <definedName name="SDB_O.N" localSheetId="8">'[2]Break Down  '!#REF!</definedName>
    <definedName name="SDB_O.N" localSheetId="17">'[2]Break Down  '!#REF!</definedName>
    <definedName name="SDB_O.N" localSheetId="18">'[2]Break Down  '!#REF!</definedName>
    <definedName name="SDB_O.N" localSheetId="63">'[2]Break Down  '!#REF!</definedName>
    <definedName name="SDB_O.N" localSheetId="13">'[2]Break Down  '!#REF!</definedName>
    <definedName name="SDB_O.N" localSheetId="12">'[2]Break Down  '!#REF!</definedName>
    <definedName name="SDB_O.N" localSheetId="41">'[2]Break Down  '!#REF!</definedName>
    <definedName name="SDB_O.N" localSheetId="42">'[2]Break Down  '!#REF!</definedName>
    <definedName name="SDB_O.N" localSheetId="65">'[2]Break Down  '!#REF!</definedName>
    <definedName name="SDB_O.N" localSheetId="25">'[2]Break Down  '!#REF!</definedName>
    <definedName name="SDB_O.N" localSheetId="23">'[2]Break Down  '!#REF!</definedName>
    <definedName name="SDB_O.N">'[1]Break Down  '!#REF!</definedName>
    <definedName name="sene" localSheetId="30">#REF!</definedName>
    <definedName name="sene" localSheetId="29">#REF!</definedName>
    <definedName name="sene" localSheetId="35">#REF!</definedName>
    <definedName name="sene" localSheetId="34">#REF!</definedName>
    <definedName name="sene" localSheetId="66">#REF!</definedName>
    <definedName name="sene" localSheetId="22">#REF!</definedName>
    <definedName name="sene" localSheetId="24">#REF!</definedName>
    <definedName name="sene" localSheetId="39">#REF!</definedName>
    <definedName name="sene" localSheetId="40">#REF!</definedName>
    <definedName name="sene" localSheetId="53">#REF!</definedName>
    <definedName name="sene" localSheetId="54">#REF!</definedName>
    <definedName name="sene" localSheetId="5">#REF!</definedName>
    <definedName name="sene" localSheetId="3">#REF!</definedName>
    <definedName name="sene" localSheetId="48">#REF!</definedName>
    <definedName name="sene" localSheetId="47">#REF!</definedName>
    <definedName name="sene" localSheetId="52">#REF!</definedName>
    <definedName name="sene" localSheetId="58">#REF!</definedName>
    <definedName name="sene" localSheetId="59">#REF!</definedName>
    <definedName name="sene" localSheetId="8">#REF!</definedName>
    <definedName name="sene" localSheetId="17">#REF!</definedName>
    <definedName name="sene" localSheetId="18">#REF!</definedName>
    <definedName name="sene" localSheetId="63">#REF!</definedName>
    <definedName name="sene" localSheetId="13">#REF!</definedName>
    <definedName name="sene" localSheetId="12">#REF!</definedName>
    <definedName name="sene" localSheetId="41">#REF!</definedName>
    <definedName name="sene" localSheetId="42">#REF!</definedName>
    <definedName name="sene" localSheetId="65">#REF!</definedName>
    <definedName name="sene" localSheetId="25">#REF!</definedName>
    <definedName name="sene" localSheetId="23">#REF!</definedName>
    <definedName name="sene">#REF!</definedName>
    <definedName name="septick" localSheetId="30">#REF!</definedName>
    <definedName name="septick" localSheetId="29">#REF!</definedName>
    <definedName name="septick" localSheetId="35">#REF!</definedName>
    <definedName name="septick" localSheetId="34">#REF!</definedName>
    <definedName name="septick" localSheetId="66">#REF!</definedName>
    <definedName name="septick" localSheetId="22">#REF!</definedName>
    <definedName name="septick" localSheetId="24">#REF!</definedName>
    <definedName name="septick" localSheetId="39">#REF!</definedName>
    <definedName name="septick" localSheetId="40">#REF!</definedName>
    <definedName name="septick" localSheetId="53">#REF!</definedName>
    <definedName name="septick" localSheetId="54">#REF!</definedName>
    <definedName name="septick" localSheetId="5">#REF!</definedName>
    <definedName name="septick" localSheetId="3">#REF!</definedName>
    <definedName name="septick" localSheetId="48">#REF!</definedName>
    <definedName name="septick" localSheetId="47">#REF!</definedName>
    <definedName name="septick" localSheetId="52">#REF!</definedName>
    <definedName name="septick" localSheetId="58">#REF!</definedName>
    <definedName name="septick" localSheetId="59">#REF!</definedName>
    <definedName name="septick" localSheetId="8">#REF!</definedName>
    <definedName name="septick" localSheetId="17">#REF!</definedName>
    <definedName name="septick" localSheetId="18">#REF!</definedName>
    <definedName name="septick" localSheetId="63">#REF!</definedName>
    <definedName name="septick" localSheetId="13">#REF!</definedName>
    <definedName name="septick" localSheetId="12">#REF!</definedName>
    <definedName name="septick" localSheetId="41">#REF!</definedName>
    <definedName name="septick" localSheetId="42">#REF!</definedName>
    <definedName name="septick" localSheetId="65">#REF!</definedName>
    <definedName name="septick" localSheetId="25">#REF!</definedName>
    <definedName name="septick" localSheetId="23">#REF!</definedName>
    <definedName name="septick">#REF!</definedName>
    <definedName name="shr" localSheetId="30">#REF!</definedName>
    <definedName name="shr" localSheetId="29">#REF!</definedName>
    <definedName name="shr" localSheetId="35">#REF!</definedName>
    <definedName name="shr" localSheetId="34">#REF!</definedName>
    <definedName name="shr" localSheetId="66">#REF!</definedName>
    <definedName name="shr" localSheetId="22">#REF!</definedName>
    <definedName name="shr" localSheetId="24">#REF!</definedName>
    <definedName name="shr" localSheetId="39">#REF!</definedName>
    <definedName name="shr" localSheetId="40">#REF!</definedName>
    <definedName name="shr" localSheetId="53">#REF!</definedName>
    <definedName name="shr" localSheetId="54">#REF!</definedName>
    <definedName name="shr" localSheetId="5">#REF!</definedName>
    <definedName name="shr" localSheetId="3">#REF!</definedName>
    <definedName name="shr" localSheetId="48">#REF!</definedName>
    <definedName name="shr" localSheetId="47">#REF!</definedName>
    <definedName name="shr" localSheetId="52">#REF!</definedName>
    <definedName name="shr" localSheetId="58">#REF!</definedName>
    <definedName name="shr" localSheetId="59">#REF!</definedName>
    <definedName name="shr" localSheetId="8">#REF!</definedName>
    <definedName name="shr" localSheetId="17">#REF!</definedName>
    <definedName name="shr" localSheetId="18">#REF!</definedName>
    <definedName name="shr" localSheetId="63">#REF!</definedName>
    <definedName name="shr" localSheetId="13">#REF!</definedName>
    <definedName name="shr" localSheetId="12">#REF!</definedName>
    <definedName name="shr" localSheetId="41">#REF!</definedName>
    <definedName name="shr" localSheetId="42">#REF!</definedName>
    <definedName name="shr" localSheetId="65">#REF!</definedName>
    <definedName name="shr" localSheetId="25">#REF!</definedName>
    <definedName name="shr" localSheetId="23">#REF!</definedName>
    <definedName name="shr">#REF!</definedName>
    <definedName name="shsan" localSheetId="30">#REF!</definedName>
    <definedName name="shsan" localSheetId="29">#REF!</definedName>
    <definedName name="shsan" localSheetId="35">#REF!</definedName>
    <definedName name="shsan" localSheetId="34">#REF!</definedName>
    <definedName name="shsan" localSheetId="66">#REF!</definedName>
    <definedName name="shsan" localSheetId="22">#REF!</definedName>
    <definedName name="shsan" localSheetId="24">#REF!</definedName>
    <definedName name="shsan" localSheetId="39">#REF!</definedName>
    <definedName name="shsan" localSheetId="40">#REF!</definedName>
    <definedName name="shsan" localSheetId="53">#REF!</definedName>
    <definedName name="shsan" localSheetId="54">#REF!</definedName>
    <definedName name="shsan" localSheetId="5">#REF!</definedName>
    <definedName name="shsan" localSheetId="3">#REF!</definedName>
    <definedName name="shsan" localSheetId="48">#REF!</definedName>
    <definedName name="shsan" localSheetId="47">#REF!</definedName>
    <definedName name="shsan" localSheetId="52">#REF!</definedName>
    <definedName name="shsan" localSheetId="58">#REF!</definedName>
    <definedName name="shsan" localSheetId="59">#REF!</definedName>
    <definedName name="shsan" localSheetId="8">#REF!</definedName>
    <definedName name="shsan" localSheetId="17">#REF!</definedName>
    <definedName name="shsan" localSheetId="18">#REF!</definedName>
    <definedName name="shsan" localSheetId="63">#REF!</definedName>
    <definedName name="shsan" localSheetId="13">#REF!</definedName>
    <definedName name="shsan" localSheetId="12">#REF!</definedName>
    <definedName name="shsan" localSheetId="41">#REF!</definedName>
    <definedName name="shsan" localSheetId="42">#REF!</definedName>
    <definedName name="shsan" localSheetId="65">#REF!</definedName>
    <definedName name="shsan" localSheetId="25">#REF!</definedName>
    <definedName name="shsan" localSheetId="23">#REF!</definedName>
    <definedName name="shsan">#REF!</definedName>
    <definedName name="shu" localSheetId="30">#REF!</definedName>
    <definedName name="shu" localSheetId="29">#REF!</definedName>
    <definedName name="shu" localSheetId="35">#REF!</definedName>
    <definedName name="shu" localSheetId="34">#REF!</definedName>
    <definedName name="shu" localSheetId="66">#REF!</definedName>
    <definedName name="shu" localSheetId="22">#REF!</definedName>
    <definedName name="shu" localSheetId="24">#REF!</definedName>
    <definedName name="shu" localSheetId="39">#REF!</definedName>
    <definedName name="shu" localSheetId="40">#REF!</definedName>
    <definedName name="shu" localSheetId="53">#REF!</definedName>
    <definedName name="shu" localSheetId="54">#REF!</definedName>
    <definedName name="shu" localSheetId="5">#REF!</definedName>
    <definedName name="shu" localSheetId="3">#REF!</definedName>
    <definedName name="shu" localSheetId="48">#REF!</definedName>
    <definedName name="shu" localSheetId="47">#REF!</definedName>
    <definedName name="shu" localSheetId="52">#REF!</definedName>
    <definedName name="shu" localSheetId="58">#REF!</definedName>
    <definedName name="shu" localSheetId="59">#REF!</definedName>
    <definedName name="shu" localSheetId="8">#REF!</definedName>
    <definedName name="shu" localSheetId="17">#REF!</definedName>
    <definedName name="shu" localSheetId="18">#REF!</definedName>
    <definedName name="shu" localSheetId="63">#REF!</definedName>
    <definedName name="shu" localSheetId="13">#REF!</definedName>
    <definedName name="shu" localSheetId="12">#REF!</definedName>
    <definedName name="shu" localSheetId="41">#REF!</definedName>
    <definedName name="shu" localSheetId="42">#REF!</definedName>
    <definedName name="shu" localSheetId="65">#REF!</definedName>
    <definedName name="shu" localSheetId="25">#REF!</definedName>
    <definedName name="shu" localSheetId="23">#REF!</definedName>
    <definedName name="shu">#REF!</definedName>
    <definedName name="singleswitch" localSheetId="30">#REF!</definedName>
    <definedName name="singleswitch" localSheetId="29">#REF!</definedName>
    <definedName name="singleswitch" localSheetId="35">#REF!</definedName>
    <definedName name="singleswitch" localSheetId="34">#REF!</definedName>
    <definedName name="singleswitch" localSheetId="66">#REF!</definedName>
    <definedName name="singleswitch" localSheetId="22">#REF!</definedName>
    <definedName name="singleswitch" localSheetId="24">#REF!</definedName>
    <definedName name="singleswitch" localSheetId="39">#REF!</definedName>
    <definedName name="singleswitch" localSheetId="40">#REF!</definedName>
    <definedName name="singleswitch" localSheetId="53">#REF!</definedName>
    <definedName name="singleswitch" localSheetId="54">#REF!</definedName>
    <definedName name="singleswitch" localSheetId="5">#REF!</definedName>
    <definedName name="singleswitch" localSheetId="3">#REF!</definedName>
    <definedName name="singleswitch" localSheetId="48">#REF!</definedName>
    <definedName name="singleswitch" localSheetId="47">#REF!</definedName>
    <definedName name="singleswitch" localSheetId="52">#REF!</definedName>
    <definedName name="singleswitch" localSheetId="58">#REF!</definedName>
    <definedName name="singleswitch" localSheetId="59">#REF!</definedName>
    <definedName name="singleswitch" localSheetId="8">#REF!</definedName>
    <definedName name="singleswitch" localSheetId="17">#REF!</definedName>
    <definedName name="singleswitch" localSheetId="18">#REF!</definedName>
    <definedName name="singleswitch" localSheetId="63">#REF!</definedName>
    <definedName name="singleswitch" localSheetId="13">#REF!</definedName>
    <definedName name="singleswitch" localSheetId="12">#REF!</definedName>
    <definedName name="singleswitch" localSheetId="41">#REF!</definedName>
    <definedName name="singleswitch" localSheetId="42">#REF!</definedName>
    <definedName name="singleswitch" localSheetId="65">#REF!</definedName>
    <definedName name="singleswitch" localSheetId="25">#REF!</definedName>
    <definedName name="singleswitch" localSheetId="23">#REF!</definedName>
    <definedName name="singleswitch">#REF!</definedName>
    <definedName name="singleswitchwp" localSheetId="30">#REF!</definedName>
    <definedName name="singleswitchwp" localSheetId="29">#REF!</definedName>
    <definedName name="singleswitchwp" localSheetId="35">#REF!</definedName>
    <definedName name="singleswitchwp" localSheetId="34">#REF!</definedName>
    <definedName name="singleswitchwp" localSheetId="66">#REF!</definedName>
    <definedName name="singleswitchwp" localSheetId="22">#REF!</definedName>
    <definedName name="singleswitchwp" localSheetId="24">#REF!</definedName>
    <definedName name="singleswitchwp" localSheetId="39">#REF!</definedName>
    <definedName name="singleswitchwp" localSheetId="40">#REF!</definedName>
    <definedName name="singleswitchwp" localSheetId="53">#REF!</definedName>
    <definedName name="singleswitchwp" localSheetId="54">#REF!</definedName>
    <definedName name="singleswitchwp" localSheetId="5">#REF!</definedName>
    <definedName name="singleswitchwp" localSheetId="3">#REF!</definedName>
    <definedName name="singleswitchwp" localSheetId="48">#REF!</definedName>
    <definedName name="singleswitchwp" localSheetId="47">#REF!</definedName>
    <definedName name="singleswitchwp" localSheetId="52">#REF!</definedName>
    <definedName name="singleswitchwp" localSheetId="58">#REF!</definedName>
    <definedName name="singleswitchwp" localSheetId="59">#REF!</definedName>
    <definedName name="singleswitchwp" localSheetId="8">#REF!</definedName>
    <definedName name="singleswitchwp" localSheetId="17">#REF!</definedName>
    <definedName name="singleswitchwp" localSheetId="18">#REF!</definedName>
    <definedName name="singleswitchwp" localSheetId="63">#REF!</definedName>
    <definedName name="singleswitchwp" localSheetId="13">#REF!</definedName>
    <definedName name="singleswitchwp" localSheetId="12">#REF!</definedName>
    <definedName name="singleswitchwp" localSheetId="41">#REF!</definedName>
    <definedName name="singleswitchwp" localSheetId="42">#REF!</definedName>
    <definedName name="singleswitchwp" localSheetId="65">#REF!</definedName>
    <definedName name="singleswitchwp" localSheetId="25">#REF!</definedName>
    <definedName name="singleswitchwp" localSheetId="23">#REF!</definedName>
    <definedName name="singleswitchwp">#REF!</definedName>
    <definedName name="Site_work_dia.3m_soak_away_pit" localSheetId="30">'[2]Break Down  '!#REF!</definedName>
    <definedName name="Site_work_dia.3m_soak_away_pit" localSheetId="29">'[2]Break Down  '!#REF!</definedName>
    <definedName name="Site_work_dia.3m_soak_away_pit" localSheetId="35">'[2]Break Down  '!#REF!</definedName>
    <definedName name="Site_work_dia.3m_soak_away_pit" localSheetId="34">'[2]Break Down  '!#REF!</definedName>
    <definedName name="Site_work_dia.3m_soak_away_pit" localSheetId="66">'[1]Break Down  '!#REF!</definedName>
    <definedName name="Site_work_dia.3m_soak_away_pit" localSheetId="22">'[2]Break Down  '!#REF!</definedName>
    <definedName name="Site_work_dia.3m_soak_away_pit" localSheetId="24">'[2]Break Down  '!#REF!</definedName>
    <definedName name="Site_work_dia.3m_soak_away_pit" localSheetId="39">'[2]Break Down  '!#REF!</definedName>
    <definedName name="Site_work_dia.3m_soak_away_pit" localSheetId="40">'[2]Break Down  '!#REF!</definedName>
    <definedName name="Site_work_dia.3m_soak_away_pit" localSheetId="53">'[2]Break Down  '!#REF!</definedName>
    <definedName name="Site_work_dia.3m_soak_away_pit" localSheetId="54">'[2]Break Down  '!#REF!</definedName>
    <definedName name="Site_work_dia.3m_soak_away_pit" localSheetId="5">'[1]Break Down  '!#REF!</definedName>
    <definedName name="Site_work_dia.3m_soak_away_pit" localSheetId="3">'[2]Break Down  '!#REF!</definedName>
    <definedName name="Site_work_dia.3m_soak_away_pit" localSheetId="4">'[2]Break Down  '!#REF!</definedName>
    <definedName name="Site_work_dia.3m_soak_away_pit" localSheetId="48">'[2]Break Down  '!#REF!</definedName>
    <definedName name="Site_work_dia.3m_soak_away_pit" localSheetId="47">'[2]Break Down  '!#REF!</definedName>
    <definedName name="Site_work_dia.3m_soak_away_pit" localSheetId="52">'[1]Break Down  '!#REF!</definedName>
    <definedName name="Site_work_dia.3m_soak_away_pit" localSheetId="58">'[2]Break Down  '!#REF!</definedName>
    <definedName name="Site_work_dia.3m_soak_away_pit" localSheetId="59">'[2]Break Down  '!#REF!</definedName>
    <definedName name="Site_work_dia.3m_soak_away_pit" localSheetId="8">'[2]Break Down  '!#REF!</definedName>
    <definedName name="Site_work_dia.3m_soak_away_pit" localSheetId="17">'[2]Break Down  '!#REF!</definedName>
    <definedName name="Site_work_dia.3m_soak_away_pit" localSheetId="18">'[2]Break Down  '!#REF!</definedName>
    <definedName name="Site_work_dia.3m_soak_away_pit" localSheetId="63">'[2]Break Down  '!#REF!</definedName>
    <definedName name="Site_work_dia.3m_soak_away_pit" localSheetId="13">'[2]Break Down  '!#REF!</definedName>
    <definedName name="Site_work_dia.3m_soak_away_pit" localSheetId="12">'[2]Break Down  '!#REF!</definedName>
    <definedName name="Site_work_dia.3m_soak_away_pit" localSheetId="41">'[2]Break Down  '!#REF!</definedName>
    <definedName name="Site_work_dia.3m_soak_away_pit" localSheetId="42">'[2]Break Down  '!#REF!</definedName>
    <definedName name="Site_work_dia.3m_soak_away_pit" localSheetId="65">'[2]Break Down  '!#REF!</definedName>
    <definedName name="Site_work_dia.3m_soak_away_pit" localSheetId="25">'[2]Break Down  '!#REF!</definedName>
    <definedName name="Site_work_dia.3m_soak_away_pit" localSheetId="23">'[2]Break Down  '!#REF!</definedName>
    <definedName name="Site_work_dia.3m_soak_away_pit">'[1]Break Down  '!#REF!</definedName>
    <definedName name="snm" localSheetId="30">#REF!</definedName>
    <definedName name="snm" localSheetId="29">#REF!</definedName>
    <definedName name="snm" localSheetId="35">#REF!</definedName>
    <definedName name="snm" localSheetId="34">#REF!</definedName>
    <definedName name="snm" localSheetId="66">#REF!</definedName>
    <definedName name="snm" localSheetId="22">#REF!</definedName>
    <definedName name="snm" localSheetId="24">#REF!</definedName>
    <definedName name="snm" localSheetId="39">#REF!</definedName>
    <definedName name="snm" localSheetId="40">#REF!</definedName>
    <definedName name="snm" localSheetId="53">#REF!</definedName>
    <definedName name="snm" localSheetId="54">#REF!</definedName>
    <definedName name="snm" localSheetId="5">#REF!</definedName>
    <definedName name="snm" localSheetId="3">#REF!</definedName>
    <definedName name="snm" localSheetId="48">#REF!</definedName>
    <definedName name="snm" localSheetId="47">#REF!</definedName>
    <definedName name="snm" localSheetId="52">#REF!</definedName>
    <definedName name="snm" localSheetId="58">#REF!</definedName>
    <definedName name="snm" localSheetId="59">#REF!</definedName>
    <definedName name="snm" localSheetId="8">#REF!</definedName>
    <definedName name="snm" localSheetId="17">#REF!</definedName>
    <definedName name="snm" localSheetId="18">#REF!</definedName>
    <definedName name="snm" localSheetId="63">#REF!</definedName>
    <definedName name="snm" localSheetId="13">#REF!</definedName>
    <definedName name="snm" localSheetId="12">#REF!</definedName>
    <definedName name="snm" localSheetId="41">#REF!</definedName>
    <definedName name="snm" localSheetId="42">#REF!</definedName>
    <definedName name="snm" localSheetId="65">#REF!</definedName>
    <definedName name="snm" localSheetId="25">#REF!</definedName>
    <definedName name="snm" localSheetId="23">#REF!</definedName>
    <definedName name="snm">#REF!</definedName>
    <definedName name="Socket" localSheetId="30">'[2]Break Down  '!#REF!</definedName>
    <definedName name="Socket" localSheetId="29">'[2]Break Down  '!#REF!</definedName>
    <definedName name="Socket" localSheetId="35">'[2]Break Down  '!#REF!</definedName>
    <definedName name="Socket" localSheetId="34">'[2]Break Down  '!#REF!</definedName>
    <definedName name="Socket" localSheetId="66">'[1]Break Down  '!#REF!</definedName>
    <definedName name="Socket" localSheetId="22">'[2]Break Down  '!#REF!</definedName>
    <definedName name="Socket" localSheetId="24">'[2]Break Down  '!#REF!</definedName>
    <definedName name="Socket" localSheetId="39">'[2]Break Down  '!#REF!</definedName>
    <definedName name="Socket" localSheetId="40">'[2]Break Down  '!#REF!</definedName>
    <definedName name="Socket" localSheetId="53">'[2]Break Down  '!#REF!</definedName>
    <definedName name="Socket" localSheetId="54">'[2]Break Down  '!#REF!</definedName>
    <definedName name="Socket" localSheetId="5">'[1]Break Down  '!#REF!</definedName>
    <definedName name="Socket" localSheetId="3">'[2]Break Down  '!#REF!</definedName>
    <definedName name="Socket" localSheetId="4">'[2]Break Down  '!#REF!</definedName>
    <definedName name="Socket" localSheetId="48">'[2]Break Down  '!#REF!</definedName>
    <definedName name="Socket" localSheetId="47">'[2]Break Down  '!#REF!</definedName>
    <definedName name="Socket" localSheetId="52">'[1]Break Down  '!#REF!</definedName>
    <definedName name="Socket" localSheetId="58">'[2]Break Down  '!#REF!</definedName>
    <definedName name="Socket" localSheetId="59">'[2]Break Down  '!#REF!</definedName>
    <definedName name="Socket" localSheetId="8">'[2]Break Down  '!#REF!</definedName>
    <definedName name="Socket" localSheetId="17">'[2]Break Down  '!#REF!</definedName>
    <definedName name="Socket" localSheetId="18">'[2]Break Down  '!#REF!</definedName>
    <definedName name="Socket" localSheetId="63">'[2]Break Down  '!#REF!</definedName>
    <definedName name="Socket" localSheetId="13">'[2]Break Down  '!#REF!</definedName>
    <definedName name="Socket" localSheetId="12">'[2]Break Down  '!#REF!</definedName>
    <definedName name="Socket" localSheetId="41">'[2]Break Down  '!#REF!</definedName>
    <definedName name="Socket" localSheetId="42">'[2]Break Down  '!#REF!</definedName>
    <definedName name="Socket" localSheetId="65">'[2]Break Down  '!#REF!</definedName>
    <definedName name="Socket" localSheetId="25">'[2]Break Down  '!#REF!</definedName>
    <definedName name="Socket" localSheetId="23">'[2]Break Down  '!#REF!</definedName>
    <definedName name="Socket">'[1]Break Down  '!#REF!</definedName>
    <definedName name="Socket_outlets" localSheetId="30">'[2]Break Down  '!#REF!</definedName>
    <definedName name="Socket_outlets" localSheetId="29">'[2]Break Down  '!#REF!</definedName>
    <definedName name="Socket_outlets" localSheetId="35">'[2]Break Down  '!#REF!</definedName>
    <definedName name="Socket_outlets" localSheetId="34">'[2]Break Down  '!#REF!</definedName>
    <definedName name="Socket_outlets" localSheetId="66">'[1]Break Down  '!#REF!</definedName>
    <definedName name="Socket_outlets" localSheetId="22">'[2]Break Down  '!#REF!</definedName>
    <definedName name="Socket_outlets" localSheetId="24">'[2]Break Down  '!#REF!</definedName>
    <definedName name="Socket_outlets" localSheetId="39">'[2]Break Down  '!#REF!</definedName>
    <definedName name="Socket_outlets" localSheetId="40">'[2]Break Down  '!#REF!</definedName>
    <definedName name="Socket_outlets" localSheetId="53">'[2]Break Down  '!#REF!</definedName>
    <definedName name="Socket_outlets" localSheetId="54">'[2]Break Down  '!#REF!</definedName>
    <definedName name="Socket_outlets" localSheetId="5">'[1]Break Down  '!#REF!</definedName>
    <definedName name="Socket_outlets" localSheetId="3">'[2]Break Down  '!#REF!</definedName>
    <definedName name="Socket_outlets" localSheetId="4">'[2]Break Down  '!#REF!</definedName>
    <definedName name="Socket_outlets" localSheetId="48">'[2]Break Down  '!#REF!</definedName>
    <definedName name="Socket_outlets" localSheetId="47">'[2]Break Down  '!#REF!</definedName>
    <definedName name="Socket_outlets" localSheetId="52">'[1]Break Down  '!#REF!</definedName>
    <definedName name="Socket_outlets" localSheetId="58">'[2]Break Down  '!#REF!</definedName>
    <definedName name="Socket_outlets" localSheetId="59">'[2]Break Down  '!#REF!</definedName>
    <definedName name="Socket_outlets" localSheetId="8">'[2]Break Down  '!#REF!</definedName>
    <definedName name="Socket_outlets" localSheetId="17">'[2]Break Down  '!#REF!</definedName>
    <definedName name="Socket_outlets" localSheetId="18">'[2]Break Down  '!#REF!</definedName>
    <definedName name="Socket_outlets" localSheetId="63">'[2]Break Down  '!#REF!</definedName>
    <definedName name="Socket_outlets" localSheetId="13">'[2]Break Down  '!#REF!</definedName>
    <definedName name="Socket_outlets" localSheetId="12">'[2]Break Down  '!#REF!</definedName>
    <definedName name="Socket_outlets" localSheetId="41">'[2]Break Down  '!#REF!</definedName>
    <definedName name="Socket_outlets" localSheetId="42">'[2]Break Down  '!#REF!</definedName>
    <definedName name="Socket_outlets" localSheetId="65">'[2]Break Down  '!#REF!</definedName>
    <definedName name="Socket_outlets" localSheetId="25">'[2]Break Down  '!#REF!</definedName>
    <definedName name="Socket_outlets" localSheetId="23">'[2]Break Down  '!#REF!</definedName>
    <definedName name="Socket_outlets">'[1]Break Down  '!#REF!</definedName>
    <definedName name="socket10a1p" localSheetId="30">#REF!</definedName>
    <definedName name="socket10a1p" localSheetId="29">#REF!</definedName>
    <definedName name="socket10a1p" localSheetId="35">#REF!</definedName>
    <definedName name="socket10a1p" localSheetId="34">#REF!</definedName>
    <definedName name="socket10a1p" localSheetId="66">#REF!</definedName>
    <definedName name="socket10a1p" localSheetId="22">#REF!</definedName>
    <definedName name="socket10a1p" localSheetId="24">#REF!</definedName>
    <definedName name="socket10a1p" localSheetId="39">#REF!</definedName>
    <definedName name="socket10a1p" localSheetId="40">#REF!</definedName>
    <definedName name="socket10a1p" localSheetId="53">#REF!</definedName>
    <definedName name="socket10a1p" localSheetId="54">#REF!</definedName>
    <definedName name="socket10a1p" localSheetId="5">#REF!</definedName>
    <definedName name="socket10a1p" localSheetId="3">#REF!</definedName>
    <definedName name="socket10a1p" localSheetId="48">#REF!</definedName>
    <definedName name="socket10a1p" localSheetId="47">#REF!</definedName>
    <definedName name="socket10a1p" localSheetId="52">#REF!</definedName>
    <definedName name="socket10a1p" localSheetId="58">#REF!</definedName>
    <definedName name="socket10a1p" localSheetId="59">#REF!</definedName>
    <definedName name="socket10a1p" localSheetId="8">#REF!</definedName>
    <definedName name="socket10a1p" localSheetId="17">#REF!</definedName>
    <definedName name="socket10a1p" localSheetId="18">#REF!</definedName>
    <definedName name="socket10a1p" localSheetId="63">#REF!</definedName>
    <definedName name="socket10a1p" localSheetId="13">#REF!</definedName>
    <definedName name="socket10a1p" localSheetId="12">#REF!</definedName>
    <definedName name="socket10a1p" localSheetId="41">#REF!</definedName>
    <definedName name="socket10a1p" localSheetId="42">#REF!</definedName>
    <definedName name="socket10a1p" localSheetId="65">#REF!</definedName>
    <definedName name="socket10a1p" localSheetId="25">#REF!</definedName>
    <definedName name="socket10a1p" localSheetId="23">#REF!</definedName>
    <definedName name="socket10a1p">#REF!</definedName>
    <definedName name="socket16a1p" localSheetId="30">#REF!</definedName>
    <definedName name="socket16a1p" localSheetId="29">#REF!</definedName>
    <definedName name="socket16a1p" localSheetId="35">#REF!</definedName>
    <definedName name="socket16a1p" localSheetId="34">#REF!</definedName>
    <definedName name="socket16a1p" localSheetId="66">#REF!</definedName>
    <definedName name="socket16a1p" localSheetId="22">#REF!</definedName>
    <definedName name="socket16a1p" localSheetId="24">#REF!</definedName>
    <definedName name="socket16a1p" localSheetId="39">#REF!</definedName>
    <definedName name="socket16a1p" localSheetId="40">#REF!</definedName>
    <definedName name="socket16a1p" localSheetId="53">#REF!</definedName>
    <definedName name="socket16a1p" localSheetId="54">#REF!</definedName>
    <definedName name="socket16a1p" localSheetId="5">#REF!</definedName>
    <definedName name="socket16a1p" localSheetId="3">#REF!</definedName>
    <definedName name="socket16a1p" localSheetId="48">#REF!</definedName>
    <definedName name="socket16a1p" localSheetId="47">#REF!</definedName>
    <definedName name="socket16a1p" localSheetId="52">#REF!</definedName>
    <definedName name="socket16a1p" localSheetId="58">#REF!</definedName>
    <definedName name="socket16a1p" localSheetId="59">#REF!</definedName>
    <definedName name="socket16a1p" localSheetId="8">#REF!</definedName>
    <definedName name="socket16a1p" localSheetId="17">#REF!</definedName>
    <definedName name="socket16a1p" localSheetId="18">#REF!</definedName>
    <definedName name="socket16a1p" localSheetId="63">#REF!</definedName>
    <definedName name="socket16a1p" localSheetId="13">#REF!</definedName>
    <definedName name="socket16a1p" localSheetId="12">#REF!</definedName>
    <definedName name="socket16a1p" localSheetId="41">#REF!</definedName>
    <definedName name="socket16a1p" localSheetId="42">#REF!</definedName>
    <definedName name="socket16a1p" localSheetId="65">#REF!</definedName>
    <definedName name="socket16a1p" localSheetId="25">#REF!</definedName>
    <definedName name="socket16a1p" localSheetId="23">#REF!</definedName>
    <definedName name="socket16a1p">#REF!</definedName>
    <definedName name="SOCKET16A3P" localSheetId="30">#REF!</definedName>
    <definedName name="SOCKET16A3P" localSheetId="29">#REF!</definedName>
    <definedName name="SOCKET16A3P" localSheetId="35">#REF!</definedName>
    <definedName name="SOCKET16A3P" localSheetId="34">#REF!</definedName>
    <definedName name="SOCKET16A3P" localSheetId="66">#REF!</definedName>
    <definedName name="SOCKET16A3P" localSheetId="22">#REF!</definedName>
    <definedName name="SOCKET16A3P" localSheetId="24">#REF!</definedName>
    <definedName name="SOCKET16A3P" localSheetId="39">#REF!</definedName>
    <definedName name="SOCKET16A3P" localSheetId="40">#REF!</definedName>
    <definedName name="SOCKET16A3P" localSheetId="53">#REF!</definedName>
    <definedName name="SOCKET16A3P" localSheetId="54">#REF!</definedName>
    <definedName name="SOCKET16A3P" localSheetId="5">#REF!</definedName>
    <definedName name="SOCKET16A3P" localSheetId="3">#REF!</definedName>
    <definedName name="SOCKET16A3P" localSheetId="48">#REF!</definedName>
    <definedName name="SOCKET16A3P" localSheetId="47">#REF!</definedName>
    <definedName name="SOCKET16A3P" localSheetId="52">#REF!</definedName>
    <definedName name="SOCKET16A3P" localSheetId="58">#REF!</definedName>
    <definedName name="SOCKET16A3P" localSheetId="59">#REF!</definedName>
    <definedName name="SOCKET16A3P" localSheetId="8">#REF!</definedName>
    <definedName name="SOCKET16A3P" localSheetId="17">#REF!</definedName>
    <definedName name="SOCKET16A3P" localSheetId="18">#REF!</definedName>
    <definedName name="SOCKET16A3P" localSheetId="63">#REF!</definedName>
    <definedName name="SOCKET16A3P" localSheetId="13">#REF!</definedName>
    <definedName name="SOCKET16A3P" localSheetId="12">#REF!</definedName>
    <definedName name="SOCKET16A3P" localSheetId="41">#REF!</definedName>
    <definedName name="SOCKET16A3P" localSheetId="42">#REF!</definedName>
    <definedName name="SOCKET16A3P" localSheetId="65">#REF!</definedName>
    <definedName name="SOCKET16A3P" localSheetId="25">#REF!</definedName>
    <definedName name="SOCKET16A3P" localSheetId="23">#REF!</definedName>
    <definedName name="SOCKET16A3P">#REF!</definedName>
    <definedName name="socket16a3x4" localSheetId="30">#REF!</definedName>
    <definedName name="socket16a3x4" localSheetId="29">#REF!</definedName>
    <definedName name="socket16a3x4" localSheetId="35">#REF!</definedName>
    <definedName name="socket16a3x4" localSheetId="34">#REF!</definedName>
    <definedName name="socket16a3x4" localSheetId="66">#REF!</definedName>
    <definedName name="socket16a3x4" localSheetId="22">#REF!</definedName>
    <definedName name="socket16a3x4" localSheetId="24">#REF!</definedName>
    <definedName name="socket16a3x4" localSheetId="39">#REF!</definedName>
    <definedName name="socket16a3x4" localSheetId="40">#REF!</definedName>
    <definedName name="socket16a3x4" localSheetId="53">#REF!</definedName>
    <definedName name="socket16a3x4" localSheetId="54">#REF!</definedName>
    <definedName name="socket16a3x4" localSheetId="5">#REF!</definedName>
    <definedName name="socket16a3x4" localSheetId="3">#REF!</definedName>
    <definedName name="socket16a3x4" localSheetId="48">#REF!</definedName>
    <definedName name="socket16a3x4" localSheetId="47">#REF!</definedName>
    <definedName name="socket16a3x4" localSheetId="52">#REF!</definedName>
    <definedName name="socket16a3x4" localSheetId="58">#REF!</definedName>
    <definedName name="socket16a3x4" localSheetId="59">#REF!</definedName>
    <definedName name="socket16a3x4" localSheetId="8">#REF!</definedName>
    <definedName name="socket16a3x4" localSheetId="17">#REF!</definedName>
    <definedName name="socket16a3x4" localSheetId="18">#REF!</definedName>
    <definedName name="socket16a3x4" localSheetId="63">#REF!</definedName>
    <definedName name="socket16a3x4" localSheetId="13">#REF!</definedName>
    <definedName name="socket16a3x4" localSheetId="12">#REF!</definedName>
    <definedName name="socket16a3x4" localSheetId="41">#REF!</definedName>
    <definedName name="socket16a3x4" localSheetId="42">#REF!</definedName>
    <definedName name="socket16a3x4" localSheetId="65">#REF!</definedName>
    <definedName name="socket16a3x4" localSheetId="25">#REF!</definedName>
    <definedName name="socket16a3x4" localSheetId="23">#REF!</definedName>
    <definedName name="socket16a3x4">#REF!</definedName>
    <definedName name="SOCKET20A1P" localSheetId="30">#REF!</definedName>
    <definedName name="SOCKET20A1P" localSheetId="29">#REF!</definedName>
    <definedName name="SOCKET20A1P" localSheetId="35">#REF!</definedName>
    <definedName name="SOCKET20A1P" localSheetId="34">#REF!</definedName>
    <definedName name="SOCKET20A1P" localSheetId="66">#REF!</definedName>
    <definedName name="SOCKET20A1P" localSheetId="22">#REF!</definedName>
    <definedName name="SOCKET20A1P" localSheetId="24">#REF!</definedName>
    <definedName name="SOCKET20A1P" localSheetId="39">#REF!</definedName>
    <definedName name="SOCKET20A1P" localSheetId="40">#REF!</definedName>
    <definedName name="SOCKET20A1P" localSheetId="53">#REF!</definedName>
    <definedName name="SOCKET20A1P" localSheetId="54">#REF!</definedName>
    <definedName name="SOCKET20A1P" localSheetId="5">#REF!</definedName>
    <definedName name="SOCKET20A1P" localSheetId="3">#REF!</definedName>
    <definedName name="SOCKET20A1P" localSheetId="48">#REF!</definedName>
    <definedName name="SOCKET20A1P" localSheetId="47">#REF!</definedName>
    <definedName name="SOCKET20A1P" localSheetId="52">#REF!</definedName>
    <definedName name="SOCKET20A1P" localSheetId="58">#REF!</definedName>
    <definedName name="SOCKET20A1P" localSheetId="59">#REF!</definedName>
    <definedName name="SOCKET20A1P" localSheetId="8">#REF!</definedName>
    <definedName name="SOCKET20A1P" localSheetId="17">#REF!</definedName>
    <definedName name="SOCKET20A1P" localSheetId="18">#REF!</definedName>
    <definedName name="SOCKET20A1P" localSheetId="63">#REF!</definedName>
    <definedName name="SOCKET20A1P" localSheetId="13">#REF!</definedName>
    <definedName name="SOCKET20A1P" localSheetId="12">#REF!</definedName>
    <definedName name="SOCKET20A1P" localSheetId="41">#REF!</definedName>
    <definedName name="SOCKET20A1P" localSheetId="42">#REF!</definedName>
    <definedName name="SOCKET20A1P" localSheetId="65">#REF!</definedName>
    <definedName name="SOCKET20A1P" localSheetId="25">#REF!</definedName>
    <definedName name="SOCKET20A1P" localSheetId="23">#REF!</definedName>
    <definedName name="SOCKET20A1P">#REF!</definedName>
    <definedName name="socketoutlet_schucko" localSheetId="30">#REF!</definedName>
    <definedName name="socketoutlet_schucko" localSheetId="29">#REF!</definedName>
    <definedName name="socketoutlet_schucko" localSheetId="35">#REF!</definedName>
    <definedName name="socketoutlet_schucko" localSheetId="34">#REF!</definedName>
    <definedName name="socketoutlet_schucko" localSheetId="66">#REF!</definedName>
    <definedName name="socketoutlet_schucko" localSheetId="22">#REF!</definedName>
    <definedName name="socketoutlet_schucko" localSheetId="24">#REF!</definedName>
    <definedName name="socketoutlet_schucko" localSheetId="39">#REF!</definedName>
    <definedName name="socketoutlet_schucko" localSheetId="40">#REF!</definedName>
    <definedName name="socketoutlet_schucko" localSheetId="53">#REF!</definedName>
    <definedName name="socketoutlet_schucko" localSheetId="54">#REF!</definedName>
    <definedName name="socketoutlet_schucko" localSheetId="5">#REF!</definedName>
    <definedName name="socketoutlet_schucko" localSheetId="3">#REF!</definedName>
    <definedName name="socketoutlet_schucko" localSheetId="48">#REF!</definedName>
    <definedName name="socketoutlet_schucko" localSheetId="47">#REF!</definedName>
    <definedName name="socketoutlet_schucko" localSheetId="52">#REF!</definedName>
    <definedName name="socketoutlet_schucko" localSheetId="58">#REF!</definedName>
    <definedName name="socketoutlet_schucko" localSheetId="59">#REF!</definedName>
    <definedName name="socketoutlet_schucko" localSheetId="8">#REF!</definedName>
    <definedName name="socketoutlet_schucko" localSheetId="17">#REF!</definedName>
    <definedName name="socketoutlet_schucko" localSheetId="18">#REF!</definedName>
    <definedName name="socketoutlet_schucko" localSheetId="63">#REF!</definedName>
    <definedName name="socketoutlet_schucko" localSheetId="13">#REF!</definedName>
    <definedName name="socketoutlet_schucko" localSheetId="12">#REF!</definedName>
    <definedName name="socketoutlet_schucko" localSheetId="41">#REF!</definedName>
    <definedName name="socketoutlet_schucko" localSheetId="42">#REF!</definedName>
    <definedName name="socketoutlet_schucko" localSheetId="65">#REF!</definedName>
    <definedName name="socketoutlet_schucko" localSheetId="25">#REF!</definedName>
    <definedName name="socketoutlet_schucko" localSheetId="23">#REF!</definedName>
    <definedName name="socketoutlet_schucko">#REF!</definedName>
    <definedName name="socketwithswitch16a1p" localSheetId="30">#REF!</definedName>
    <definedName name="socketwithswitch16a1p" localSheetId="29">#REF!</definedName>
    <definedName name="socketwithswitch16a1p" localSheetId="35">#REF!</definedName>
    <definedName name="socketwithswitch16a1p" localSheetId="34">#REF!</definedName>
    <definedName name="socketwithswitch16a1p" localSheetId="66">#REF!</definedName>
    <definedName name="socketwithswitch16a1p" localSheetId="22">#REF!</definedName>
    <definedName name="socketwithswitch16a1p" localSheetId="24">#REF!</definedName>
    <definedName name="socketwithswitch16a1p" localSheetId="39">#REF!</definedName>
    <definedName name="socketwithswitch16a1p" localSheetId="40">#REF!</definedName>
    <definedName name="socketwithswitch16a1p" localSheetId="53">#REF!</definedName>
    <definedName name="socketwithswitch16a1p" localSheetId="54">#REF!</definedName>
    <definedName name="socketwithswitch16a1p" localSheetId="5">#REF!</definedName>
    <definedName name="socketwithswitch16a1p" localSheetId="3">#REF!</definedName>
    <definedName name="socketwithswitch16a1p" localSheetId="48">#REF!</definedName>
    <definedName name="socketwithswitch16a1p" localSheetId="47">#REF!</definedName>
    <definedName name="socketwithswitch16a1p" localSheetId="52">#REF!</definedName>
    <definedName name="socketwithswitch16a1p" localSheetId="58">#REF!</definedName>
    <definedName name="socketwithswitch16a1p" localSheetId="59">#REF!</definedName>
    <definedName name="socketwithswitch16a1p" localSheetId="8">#REF!</definedName>
    <definedName name="socketwithswitch16a1p" localSheetId="17">#REF!</definedName>
    <definedName name="socketwithswitch16a1p" localSheetId="18">#REF!</definedName>
    <definedName name="socketwithswitch16a1p" localSheetId="63">#REF!</definedName>
    <definedName name="socketwithswitch16a1p" localSheetId="13">#REF!</definedName>
    <definedName name="socketwithswitch16a1p" localSheetId="12">#REF!</definedName>
    <definedName name="socketwithswitch16a1p" localSheetId="41">#REF!</definedName>
    <definedName name="socketwithswitch16a1p" localSheetId="42">#REF!</definedName>
    <definedName name="socketwithswitch16a1p" localSheetId="65">#REF!</definedName>
    <definedName name="socketwithswitch16a1p" localSheetId="25">#REF!</definedName>
    <definedName name="socketwithswitch16a1p" localSheetId="23">#REF!</definedName>
    <definedName name="socketwithswitch16a1p">#REF!</definedName>
    <definedName name="socketwp10a1p" localSheetId="30">#REF!</definedName>
    <definedName name="socketwp10a1p" localSheetId="29">#REF!</definedName>
    <definedName name="socketwp10a1p" localSheetId="35">#REF!</definedName>
    <definedName name="socketwp10a1p" localSheetId="34">#REF!</definedName>
    <definedName name="socketwp10a1p" localSheetId="66">#REF!</definedName>
    <definedName name="socketwp10a1p" localSheetId="22">#REF!</definedName>
    <definedName name="socketwp10a1p" localSheetId="24">#REF!</definedName>
    <definedName name="socketwp10a1p" localSheetId="39">#REF!</definedName>
    <definedName name="socketwp10a1p" localSheetId="40">#REF!</definedName>
    <definedName name="socketwp10a1p" localSheetId="53">#REF!</definedName>
    <definedName name="socketwp10a1p" localSheetId="54">#REF!</definedName>
    <definedName name="socketwp10a1p" localSheetId="5">#REF!</definedName>
    <definedName name="socketwp10a1p" localSheetId="3">#REF!</definedName>
    <definedName name="socketwp10a1p" localSheetId="48">#REF!</definedName>
    <definedName name="socketwp10a1p" localSheetId="47">#REF!</definedName>
    <definedName name="socketwp10a1p" localSheetId="52">#REF!</definedName>
    <definedName name="socketwp10a1p" localSheetId="58">#REF!</definedName>
    <definedName name="socketwp10a1p" localSheetId="59">#REF!</definedName>
    <definedName name="socketwp10a1p" localSheetId="8">#REF!</definedName>
    <definedName name="socketwp10a1p" localSheetId="17">#REF!</definedName>
    <definedName name="socketwp10a1p" localSheetId="18">#REF!</definedName>
    <definedName name="socketwp10a1p" localSheetId="63">#REF!</definedName>
    <definedName name="socketwp10a1p" localSheetId="13">#REF!</definedName>
    <definedName name="socketwp10a1p" localSheetId="12">#REF!</definedName>
    <definedName name="socketwp10a1p" localSheetId="41">#REF!</definedName>
    <definedName name="socketwp10a1p" localSheetId="42">#REF!</definedName>
    <definedName name="socketwp10a1p" localSheetId="65">#REF!</definedName>
    <definedName name="socketwp10a1p" localSheetId="25">#REF!</definedName>
    <definedName name="socketwp10a1p" localSheetId="23">#REF!</definedName>
    <definedName name="socketwp10a1p">#REF!</definedName>
    <definedName name="SPECIFICATION" localSheetId="30">#REF!</definedName>
    <definedName name="SPECIFICATION" localSheetId="29">#REF!</definedName>
    <definedName name="SPECIFICATION" localSheetId="35">#REF!</definedName>
    <definedName name="SPECIFICATION" localSheetId="34">#REF!</definedName>
    <definedName name="SPECIFICATION" localSheetId="66">#REF!</definedName>
    <definedName name="SPECIFICATION" localSheetId="22">#REF!</definedName>
    <definedName name="SPECIFICATION" localSheetId="24">#REF!</definedName>
    <definedName name="SPECIFICATION" localSheetId="39">#REF!</definedName>
    <definedName name="SPECIFICATION" localSheetId="40">#REF!</definedName>
    <definedName name="SPECIFICATION" localSheetId="53">#REF!</definedName>
    <definedName name="SPECIFICATION" localSheetId="54">#REF!</definedName>
    <definedName name="SPECIFICATION" localSheetId="5">#REF!</definedName>
    <definedName name="SPECIFICATION" localSheetId="3">#REF!</definedName>
    <definedName name="SPECIFICATION" localSheetId="48">#REF!</definedName>
    <definedName name="SPECIFICATION" localSheetId="47">#REF!</definedName>
    <definedName name="SPECIFICATION" localSheetId="52">#REF!</definedName>
    <definedName name="SPECIFICATION" localSheetId="58">#REF!</definedName>
    <definedName name="SPECIFICATION" localSheetId="59">#REF!</definedName>
    <definedName name="SPECIFICATION" localSheetId="8">#REF!</definedName>
    <definedName name="SPECIFICATION" localSheetId="17">#REF!</definedName>
    <definedName name="SPECIFICATION" localSheetId="18">#REF!</definedName>
    <definedName name="SPECIFICATION" localSheetId="63">#REF!</definedName>
    <definedName name="SPECIFICATION" localSheetId="13">#REF!</definedName>
    <definedName name="SPECIFICATION" localSheetId="12">#REF!</definedName>
    <definedName name="SPECIFICATION" localSheetId="41">#REF!</definedName>
    <definedName name="SPECIFICATION" localSheetId="42">#REF!</definedName>
    <definedName name="SPECIFICATION" localSheetId="65">#REF!</definedName>
    <definedName name="SPECIFICATION" localSheetId="25">#REF!</definedName>
    <definedName name="SPECIFICATION" localSheetId="23">#REF!</definedName>
    <definedName name="SPECIFICATION">#REF!</definedName>
    <definedName name="ss." localSheetId="30">#REF!</definedName>
    <definedName name="ss." localSheetId="29">#REF!</definedName>
    <definedName name="ss." localSheetId="35">#REF!</definedName>
    <definedName name="ss." localSheetId="34">#REF!</definedName>
    <definedName name="ss." localSheetId="66">#REF!</definedName>
    <definedName name="ss." localSheetId="22">#REF!</definedName>
    <definedName name="ss." localSheetId="24">#REF!</definedName>
    <definedName name="ss." localSheetId="39">#REF!</definedName>
    <definedName name="ss." localSheetId="40">#REF!</definedName>
    <definedName name="ss." localSheetId="53">#REF!</definedName>
    <definedName name="ss." localSheetId="54">#REF!</definedName>
    <definedName name="ss." localSheetId="5">#REF!</definedName>
    <definedName name="ss." localSheetId="3">#REF!</definedName>
    <definedName name="ss." localSheetId="48">#REF!</definedName>
    <definedName name="ss." localSheetId="47">#REF!</definedName>
    <definedName name="ss." localSheetId="52">#REF!</definedName>
    <definedName name="ss." localSheetId="58">#REF!</definedName>
    <definedName name="ss." localSheetId="59">#REF!</definedName>
    <definedName name="ss." localSheetId="8">#REF!</definedName>
    <definedName name="ss." localSheetId="17">#REF!</definedName>
    <definedName name="ss." localSheetId="18">#REF!</definedName>
    <definedName name="ss." localSheetId="63">#REF!</definedName>
    <definedName name="ss." localSheetId="13">#REF!</definedName>
    <definedName name="ss." localSheetId="12">#REF!</definedName>
    <definedName name="ss." localSheetId="41">#REF!</definedName>
    <definedName name="ss." localSheetId="42">#REF!</definedName>
    <definedName name="ss." localSheetId="65">#REF!</definedName>
    <definedName name="ss." localSheetId="25">#REF!</definedName>
    <definedName name="ss." localSheetId="23">#REF!</definedName>
    <definedName name="ss.">#REF!</definedName>
    <definedName name="sss" localSheetId="30">'[2]Break Down  '!#REF!</definedName>
    <definedName name="sss" localSheetId="29">'[2]Break Down  '!#REF!</definedName>
    <definedName name="sss" localSheetId="35">'[2]Break Down  '!#REF!</definedName>
    <definedName name="sss" localSheetId="34">'[2]Break Down  '!#REF!</definedName>
    <definedName name="sss" localSheetId="66">'[1]Break Down  '!#REF!</definedName>
    <definedName name="sss" localSheetId="22">'[2]Break Down  '!#REF!</definedName>
    <definedName name="sss" localSheetId="24">'[2]Break Down  '!#REF!</definedName>
    <definedName name="sss" localSheetId="39">'[2]Break Down  '!#REF!</definedName>
    <definedName name="sss" localSheetId="40">'[2]Break Down  '!#REF!</definedName>
    <definedName name="sss" localSheetId="53">'[2]Break Down  '!#REF!</definedName>
    <definedName name="sss" localSheetId="54">'[2]Break Down  '!#REF!</definedName>
    <definedName name="sss" localSheetId="5">'[1]Break Down  '!#REF!</definedName>
    <definedName name="sss" localSheetId="3">'[2]Break Down  '!#REF!</definedName>
    <definedName name="sss" localSheetId="4">'[2]Break Down  '!#REF!</definedName>
    <definedName name="sss" localSheetId="48">'[2]Break Down  '!#REF!</definedName>
    <definedName name="sss" localSheetId="47">'[2]Break Down  '!#REF!</definedName>
    <definedName name="sss" localSheetId="52">'[1]Break Down  '!#REF!</definedName>
    <definedName name="sss" localSheetId="58">'[2]Break Down  '!#REF!</definedName>
    <definedName name="sss" localSheetId="59">'[2]Break Down  '!#REF!</definedName>
    <definedName name="sss" localSheetId="8">'[2]Break Down  '!#REF!</definedName>
    <definedName name="sss" localSheetId="17">'[2]Break Down  '!#REF!</definedName>
    <definedName name="sss" localSheetId="18">'[2]Break Down  '!#REF!</definedName>
    <definedName name="sss" localSheetId="63">'[2]Break Down  '!#REF!</definedName>
    <definedName name="sss" localSheetId="13">'[2]Break Down  '!#REF!</definedName>
    <definedName name="sss" localSheetId="12">'[2]Break Down  '!#REF!</definedName>
    <definedName name="sss" localSheetId="41">'[2]Break Down  '!#REF!</definedName>
    <definedName name="sss" localSheetId="42">'[2]Break Down  '!#REF!</definedName>
    <definedName name="sss" localSheetId="65">'[2]Break Down  '!#REF!</definedName>
    <definedName name="sss" localSheetId="25">'[2]Break Down  '!#REF!</definedName>
    <definedName name="sss" localSheetId="23">'[2]Break Down  '!#REF!</definedName>
    <definedName name="sss">'[1]Break Down  '!#REF!</definedName>
    <definedName name="ssss" localSheetId="30">[16]Sheet1!#REF!</definedName>
    <definedName name="ssss" localSheetId="29">[16]Sheet1!#REF!</definedName>
    <definedName name="ssss" localSheetId="35">[16]Sheet1!#REF!</definedName>
    <definedName name="ssss" localSheetId="34">[16]Sheet1!#REF!</definedName>
    <definedName name="ssss" localSheetId="66">[17]Sheet1!#REF!</definedName>
    <definedName name="ssss" localSheetId="22">[16]Sheet1!#REF!</definedName>
    <definedName name="ssss" localSheetId="24">[16]Sheet1!#REF!</definedName>
    <definedName name="ssss" localSheetId="39">[16]Sheet1!#REF!</definedName>
    <definedName name="ssss" localSheetId="40">[16]Sheet1!#REF!</definedName>
    <definedName name="ssss" localSheetId="53">[16]Sheet1!#REF!</definedName>
    <definedName name="ssss" localSheetId="54">[16]Sheet1!#REF!</definedName>
    <definedName name="ssss" localSheetId="5">[17]Sheet1!#REF!</definedName>
    <definedName name="ssss" localSheetId="3">[16]Sheet1!#REF!</definedName>
    <definedName name="ssss" localSheetId="4">[16]Sheet1!#REF!</definedName>
    <definedName name="ssss" localSheetId="48">[16]Sheet1!#REF!</definedName>
    <definedName name="ssss" localSheetId="47">[16]Sheet1!#REF!</definedName>
    <definedName name="ssss" localSheetId="52">[17]Sheet1!#REF!</definedName>
    <definedName name="ssss" localSheetId="58">[16]Sheet1!#REF!</definedName>
    <definedName name="ssss" localSheetId="59">[16]Sheet1!#REF!</definedName>
    <definedName name="ssss" localSheetId="8">[16]Sheet1!#REF!</definedName>
    <definedName name="ssss" localSheetId="17">[16]Sheet1!#REF!</definedName>
    <definedName name="ssss" localSheetId="18">[16]Sheet1!#REF!</definedName>
    <definedName name="ssss" localSheetId="63">[16]Sheet1!#REF!</definedName>
    <definedName name="ssss" localSheetId="13">[16]Sheet1!#REF!</definedName>
    <definedName name="ssss" localSheetId="12">[16]Sheet1!#REF!</definedName>
    <definedName name="ssss" localSheetId="41">[16]Sheet1!#REF!</definedName>
    <definedName name="ssss" localSheetId="42">[16]Sheet1!#REF!</definedName>
    <definedName name="ssss" localSheetId="65">[16]Sheet1!#REF!</definedName>
    <definedName name="ssss" localSheetId="25">[16]Sheet1!#REF!</definedName>
    <definedName name="ssss" localSheetId="23">[16]Sheet1!#REF!</definedName>
    <definedName name="ssss">[17]Sheet1!#REF!</definedName>
    <definedName name="staircasetimerswitch" localSheetId="30">#REF!</definedName>
    <definedName name="staircasetimerswitch" localSheetId="29">#REF!</definedName>
    <definedName name="staircasetimerswitch" localSheetId="35">#REF!</definedName>
    <definedName name="staircasetimerswitch" localSheetId="34">#REF!</definedName>
    <definedName name="staircasetimerswitch" localSheetId="66">#REF!</definedName>
    <definedName name="staircasetimerswitch" localSheetId="22">#REF!</definedName>
    <definedName name="staircasetimerswitch" localSheetId="24">#REF!</definedName>
    <definedName name="staircasetimerswitch" localSheetId="39">#REF!</definedName>
    <definedName name="staircasetimerswitch" localSheetId="40">#REF!</definedName>
    <definedName name="staircasetimerswitch" localSheetId="53">#REF!</definedName>
    <definedName name="staircasetimerswitch" localSheetId="54">#REF!</definedName>
    <definedName name="staircasetimerswitch" localSheetId="5">#REF!</definedName>
    <definedName name="staircasetimerswitch" localSheetId="3">#REF!</definedName>
    <definedName name="staircasetimerswitch" localSheetId="48">#REF!</definedName>
    <definedName name="staircasetimerswitch" localSheetId="47">#REF!</definedName>
    <definedName name="staircasetimerswitch" localSheetId="52">#REF!</definedName>
    <definedName name="staircasetimerswitch" localSheetId="58">#REF!</definedName>
    <definedName name="staircasetimerswitch" localSheetId="59">#REF!</definedName>
    <definedName name="staircasetimerswitch" localSheetId="8">#REF!</definedName>
    <definedName name="staircasetimerswitch" localSheetId="17">#REF!</definedName>
    <definedName name="staircasetimerswitch" localSheetId="18">#REF!</definedName>
    <definedName name="staircasetimerswitch" localSheetId="63">#REF!</definedName>
    <definedName name="staircasetimerswitch" localSheetId="13">#REF!</definedName>
    <definedName name="staircasetimerswitch" localSheetId="12">#REF!</definedName>
    <definedName name="staircasetimerswitch" localSheetId="41">#REF!</definedName>
    <definedName name="staircasetimerswitch" localSheetId="42">#REF!</definedName>
    <definedName name="staircasetimerswitch" localSheetId="65">#REF!</definedName>
    <definedName name="staircasetimerswitch" localSheetId="25">#REF!</definedName>
    <definedName name="staircasetimerswitch" localSheetId="23">#REF!</definedName>
    <definedName name="staircasetimerswitch">#REF!</definedName>
    <definedName name="Steel_reinforcement_dia.6mm" localSheetId="30">'[2]Break Down  '!#REF!</definedName>
    <definedName name="Steel_reinforcement_dia.6mm" localSheetId="29">'[2]Break Down  '!#REF!</definedName>
    <definedName name="Steel_reinforcement_dia.6mm" localSheetId="35">'[2]Break Down  '!#REF!</definedName>
    <definedName name="Steel_reinforcement_dia.6mm" localSheetId="34">'[2]Break Down  '!#REF!</definedName>
    <definedName name="Steel_reinforcement_dia.6mm" localSheetId="66">'[1]Break Down  '!#REF!</definedName>
    <definedName name="Steel_reinforcement_dia.6mm" localSheetId="22">'[2]Break Down  '!#REF!</definedName>
    <definedName name="Steel_reinforcement_dia.6mm" localSheetId="24">'[2]Break Down  '!#REF!</definedName>
    <definedName name="Steel_reinforcement_dia.6mm" localSheetId="39">'[2]Break Down  '!#REF!</definedName>
    <definedName name="Steel_reinforcement_dia.6mm" localSheetId="40">'[2]Break Down  '!#REF!</definedName>
    <definedName name="Steel_reinforcement_dia.6mm" localSheetId="53">'[2]Break Down  '!#REF!</definedName>
    <definedName name="Steel_reinforcement_dia.6mm" localSheetId="54">'[2]Break Down  '!#REF!</definedName>
    <definedName name="Steel_reinforcement_dia.6mm" localSheetId="5">'[1]Break Down  '!#REF!</definedName>
    <definedName name="Steel_reinforcement_dia.6mm" localSheetId="3">'[2]Break Down  '!#REF!</definedName>
    <definedName name="Steel_reinforcement_dia.6mm" localSheetId="4">'[2]Break Down  '!#REF!</definedName>
    <definedName name="Steel_reinforcement_dia.6mm" localSheetId="48">'[2]Break Down  '!#REF!</definedName>
    <definedName name="Steel_reinforcement_dia.6mm" localSheetId="47">'[2]Break Down  '!#REF!</definedName>
    <definedName name="Steel_reinforcement_dia.6mm" localSheetId="52">'[1]Break Down  '!#REF!</definedName>
    <definedName name="Steel_reinforcement_dia.6mm" localSheetId="58">'[2]Break Down  '!#REF!</definedName>
    <definedName name="Steel_reinforcement_dia.6mm" localSheetId="59">'[2]Break Down  '!#REF!</definedName>
    <definedName name="Steel_reinforcement_dia.6mm" localSheetId="8">'[2]Break Down  '!#REF!</definedName>
    <definedName name="Steel_reinforcement_dia.6mm" localSheetId="17">'[2]Break Down  '!#REF!</definedName>
    <definedName name="Steel_reinforcement_dia.6mm" localSheetId="18">'[2]Break Down  '!#REF!</definedName>
    <definedName name="Steel_reinforcement_dia.6mm" localSheetId="63">'[2]Break Down  '!#REF!</definedName>
    <definedName name="Steel_reinforcement_dia.6mm" localSheetId="13">'[2]Break Down  '!#REF!</definedName>
    <definedName name="Steel_reinforcement_dia.6mm" localSheetId="12">'[2]Break Down  '!#REF!</definedName>
    <definedName name="Steel_reinforcement_dia.6mm" localSheetId="41">'[2]Break Down  '!#REF!</definedName>
    <definedName name="Steel_reinforcement_dia.6mm" localSheetId="42">'[2]Break Down  '!#REF!</definedName>
    <definedName name="Steel_reinforcement_dia.6mm" localSheetId="65">'[2]Break Down  '!#REF!</definedName>
    <definedName name="Steel_reinforcement_dia.6mm" localSheetId="25">'[2]Break Down  '!#REF!</definedName>
    <definedName name="Steel_reinforcement_dia.6mm" localSheetId="23">'[2]Break Down  '!#REF!</definedName>
    <definedName name="Steel_reinforcement_dia.6mm">'[1]Break Down  '!#REF!</definedName>
    <definedName name="steelmast20" localSheetId="30">#REF!</definedName>
    <definedName name="steelmast20" localSheetId="29">#REF!</definedName>
    <definedName name="steelmast20" localSheetId="35">#REF!</definedName>
    <definedName name="steelmast20" localSheetId="34">#REF!</definedName>
    <definedName name="steelmast20" localSheetId="66">#REF!</definedName>
    <definedName name="steelmast20" localSheetId="22">#REF!</definedName>
    <definedName name="steelmast20" localSheetId="24">#REF!</definedName>
    <definedName name="steelmast20" localSheetId="39">#REF!</definedName>
    <definedName name="steelmast20" localSheetId="40">#REF!</definedName>
    <definedName name="steelmast20" localSheetId="53">#REF!</definedName>
    <definedName name="steelmast20" localSheetId="54">#REF!</definedName>
    <definedName name="steelmast20" localSheetId="5">#REF!</definedName>
    <definedName name="steelmast20" localSheetId="3">#REF!</definedName>
    <definedName name="steelmast20" localSheetId="48">#REF!</definedName>
    <definedName name="steelmast20" localSheetId="47">#REF!</definedName>
    <definedName name="steelmast20" localSheetId="52">#REF!</definedName>
    <definedName name="steelmast20" localSheetId="58">#REF!</definedName>
    <definedName name="steelmast20" localSheetId="59">#REF!</definedName>
    <definedName name="steelmast20" localSheetId="8">#REF!</definedName>
    <definedName name="steelmast20" localSheetId="17">#REF!</definedName>
    <definedName name="steelmast20" localSheetId="18">#REF!</definedName>
    <definedName name="steelmast20" localSheetId="63">#REF!</definedName>
    <definedName name="steelmast20" localSheetId="13">#REF!</definedName>
    <definedName name="steelmast20" localSheetId="12">#REF!</definedName>
    <definedName name="steelmast20" localSheetId="41">#REF!</definedName>
    <definedName name="steelmast20" localSheetId="42">#REF!</definedName>
    <definedName name="steelmast20" localSheetId="65">#REF!</definedName>
    <definedName name="steelmast20" localSheetId="25">#REF!</definedName>
    <definedName name="steelmast20" localSheetId="23">#REF!</definedName>
    <definedName name="steelmast20">#REF!</definedName>
    <definedName name="steelpole12" localSheetId="30">#REF!</definedName>
    <definedName name="steelpole12" localSheetId="29">#REF!</definedName>
    <definedName name="steelpole12" localSheetId="35">#REF!</definedName>
    <definedName name="steelpole12" localSheetId="34">#REF!</definedName>
    <definedName name="steelpole12" localSheetId="66">#REF!</definedName>
    <definedName name="steelpole12" localSheetId="22">#REF!</definedName>
    <definedName name="steelpole12" localSheetId="24">#REF!</definedName>
    <definedName name="steelpole12" localSheetId="39">#REF!</definedName>
    <definedName name="steelpole12" localSheetId="40">#REF!</definedName>
    <definedName name="steelpole12" localSheetId="53">#REF!</definedName>
    <definedName name="steelpole12" localSheetId="54">#REF!</definedName>
    <definedName name="steelpole12" localSheetId="5">#REF!</definedName>
    <definedName name="steelpole12" localSheetId="3">#REF!</definedName>
    <definedName name="steelpole12" localSheetId="48">#REF!</definedName>
    <definedName name="steelpole12" localSheetId="47">#REF!</definedName>
    <definedName name="steelpole12" localSheetId="52">#REF!</definedName>
    <definedName name="steelpole12" localSheetId="58">#REF!</definedName>
    <definedName name="steelpole12" localSheetId="59">#REF!</definedName>
    <definedName name="steelpole12" localSheetId="8">#REF!</definedName>
    <definedName name="steelpole12" localSheetId="17">#REF!</definedName>
    <definedName name="steelpole12" localSheetId="18">#REF!</definedName>
    <definedName name="steelpole12" localSheetId="63">#REF!</definedName>
    <definedName name="steelpole12" localSheetId="13">#REF!</definedName>
    <definedName name="steelpole12" localSheetId="12">#REF!</definedName>
    <definedName name="steelpole12" localSheetId="41">#REF!</definedName>
    <definedName name="steelpole12" localSheetId="42">#REF!</definedName>
    <definedName name="steelpole12" localSheetId="65">#REF!</definedName>
    <definedName name="steelpole12" localSheetId="25">#REF!</definedName>
    <definedName name="steelpole12" localSheetId="23">#REF!</definedName>
    <definedName name="steelpole12">#REF!</definedName>
    <definedName name="steelpole3" localSheetId="30">#REF!</definedName>
    <definedName name="steelpole3" localSheetId="29">#REF!</definedName>
    <definedName name="steelpole3" localSheetId="35">#REF!</definedName>
    <definedName name="steelpole3" localSheetId="34">#REF!</definedName>
    <definedName name="steelpole3" localSheetId="66">#REF!</definedName>
    <definedName name="steelpole3" localSheetId="22">#REF!</definedName>
    <definedName name="steelpole3" localSheetId="24">#REF!</definedName>
    <definedName name="steelpole3" localSheetId="39">#REF!</definedName>
    <definedName name="steelpole3" localSheetId="40">#REF!</definedName>
    <definedName name="steelpole3" localSheetId="53">#REF!</definedName>
    <definedName name="steelpole3" localSheetId="54">#REF!</definedName>
    <definedName name="steelpole3" localSheetId="5">#REF!</definedName>
    <definedName name="steelpole3" localSheetId="3">#REF!</definedName>
    <definedName name="steelpole3" localSheetId="48">#REF!</definedName>
    <definedName name="steelpole3" localSheetId="47">#REF!</definedName>
    <definedName name="steelpole3" localSheetId="52">#REF!</definedName>
    <definedName name="steelpole3" localSheetId="58">#REF!</definedName>
    <definedName name="steelpole3" localSheetId="59">#REF!</definedName>
    <definedName name="steelpole3" localSheetId="8">#REF!</definedName>
    <definedName name="steelpole3" localSheetId="17">#REF!</definedName>
    <definedName name="steelpole3" localSheetId="18">#REF!</definedName>
    <definedName name="steelpole3" localSheetId="63">#REF!</definedName>
    <definedName name="steelpole3" localSheetId="13">#REF!</definedName>
    <definedName name="steelpole3" localSheetId="12">#REF!</definedName>
    <definedName name="steelpole3" localSheetId="41">#REF!</definedName>
    <definedName name="steelpole3" localSheetId="42">#REF!</definedName>
    <definedName name="steelpole3" localSheetId="65">#REF!</definedName>
    <definedName name="steelpole3" localSheetId="25">#REF!</definedName>
    <definedName name="steelpole3" localSheetId="23">#REF!</definedName>
    <definedName name="steelpole3">#REF!</definedName>
    <definedName name="steelpole6" localSheetId="30">#REF!</definedName>
    <definedName name="steelpole6" localSheetId="29">#REF!</definedName>
    <definedName name="steelpole6" localSheetId="35">#REF!</definedName>
    <definedName name="steelpole6" localSheetId="34">#REF!</definedName>
    <definedName name="steelpole6" localSheetId="66">#REF!</definedName>
    <definedName name="steelpole6" localSheetId="22">#REF!</definedName>
    <definedName name="steelpole6" localSheetId="24">#REF!</definedName>
    <definedName name="steelpole6" localSheetId="39">#REF!</definedName>
    <definedName name="steelpole6" localSheetId="40">#REF!</definedName>
    <definedName name="steelpole6" localSheetId="53">#REF!</definedName>
    <definedName name="steelpole6" localSheetId="54">#REF!</definedName>
    <definedName name="steelpole6" localSheetId="5">#REF!</definedName>
    <definedName name="steelpole6" localSheetId="3">#REF!</definedName>
    <definedName name="steelpole6" localSheetId="48">#REF!</definedName>
    <definedName name="steelpole6" localSheetId="47">#REF!</definedName>
    <definedName name="steelpole6" localSheetId="52">#REF!</definedName>
    <definedName name="steelpole6" localSheetId="58">#REF!</definedName>
    <definedName name="steelpole6" localSheetId="59">#REF!</definedName>
    <definedName name="steelpole6" localSheetId="8">#REF!</definedName>
    <definedName name="steelpole6" localSheetId="17">#REF!</definedName>
    <definedName name="steelpole6" localSheetId="18">#REF!</definedName>
    <definedName name="steelpole6" localSheetId="63">#REF!</definedName>
    <definedName name="steelpole6" localSheetId="13">#REF!</definedName>
    <definedName name="steelpole6" localSheetId="12">#REF!</definedName>
    <definedName name="steelpole6" localSheetId="41">#REF!</definedName>
    <definedName name="steelpole6" localSheetId="42">#REF!</definedName>
    <definedName name="steelpole6" localSheetId="65">#REF!</definedName>
    <definedName name="steelpole6" localSheetId="25">#REF!</definedName>
    <definedName name="steelpole6" localSheetId="23">#REF!</definedName>
    <definedName name="steelpole6">#REF!</definedName>
    <definedName name="steelpole9" localSheetId="30">#REF!</definedName>
    <definedName name="steelpole9" localSheetId="29">#REF!</definedName>
    <definedName name="steelpole9" localSheetId="35">#REF!</definedName>
    <definedName name="steelpole9" localSheetId="34">#REF!</definedName>
    <definedName name="steelpole9" localSheetId="66">#REF!</definedName>
    <definedName name="steelpole9" localSheetId="22">#REF!</definedName>
    <definedName name="steelpole9" localSheetId="24">#REF!</definedName>
    <definedName name="steelpole9" localSheetId="39">#REF!</definedName>
    <definedName name="steelpole9" localSheetId="40">#REF!</definedName>
    <definedName name="steelpole9" localSheetId="53">#REF!</definedName>
    <definedName name="steelpole9" localSheetId="54">#REF!</definedName>
    <definedName name="steelpole9" localSheetId="5">#REF!</definedName>
    <definedName name="steelpole9" localSheetId="3">#REF!</definedName>
    <definedName name="steelpole9" localSheetId="48">#REF!</definedName>
    <definedName name="steelpole9" localSheetId="47">#REF!</definedName>
    <definedName name="steelpole9" localSheetId="52">#REF!</definedName>
    <definedName name="steelpole9" localSheetId="58">#REF!</definedName>
    <definedName name="steelpole9" localSheetId="59">#REF!</definedName>
    <definedName name="steelpole9" localSheetId="8">#REF!</definedName>
    <definedName name="steelpole9" localSheetId="17">#REF!</definedName>
    <definedName name="steelpole9" localSheetId="18">#REF!</definedName>
    <definedName name="steelpole9" localSheetId="63">#REF!</definedName>
    <definedName name="steelpole9" localSheetId="13">#REF!</definedName>
    <definedName name="steelpole9" localSheetId="12">#REF!</definedName>
    <definedName name="steelpole9" localSheetId="41">#REF!</definedName>
    <definedName name="steelpole9" localSheetId="42">#REF!</definedName>
    <definedName name="steelpole9" localSheetId="65">#REF!</definedName>
    <definedName name="steelpole9" localSheetId="25">#REF!</definedName>
    <definedName name="steelpole9" localSheetId="23">#REF!</definedName>
    <definedName name="steelpole9">#REF!</definedName>
    <definedName name="sub" localSheetId="30">#REF!</definedName>
    <definedName name="sub" localSheetId="29">#REF!</definedName>
    <definedName name="sub" localSheetId="35">#REF!</definedName>
    <definedName name="sub" localSheetId="34">#REF!</definedName>
    <definedName name="sub" localSheetId="66">#REF!</definedName>
    <definedName name="sub" localSheetId="22">#REF!</definedName>
    <definedName name="sub" localSheetId="24">#REF!</definedName>
    <definedName name="sub" localSheetId="39">#REF!</definedName>
    <definedName name="sub" localSheetId="40">#REF!</definedName>
    <definedName name="sub" localSheetId="53">#REF!</definedName>
    <definedName name="sub" localSheetId="54">#REF!</definedName>
    <definedName name="sub" localSheetId="5">#REF!</definedName>
    <definedName name="sub" localSheetId="3">#REF!</definedName>
    <definedName name="sub" localSheetId="48">#REF!</definedName>
    <definedName name="sub" localSheetId="47">#REF!</definedName>
    <definedName name="sub" localSheetId="52">#REF!</definedName>
    <definedName name="sub" localSheetId="58">#REF!</definedName>
    <definedName name="sub" localSheetId="59">#REF!</definedName>
    <definedName name="sub" localSheetId="8">#REF!</definedName>
    <definedName name="sub" localSheetId="17">#REF!</definedName>
    <definedName name="sub" localSheetId="18">#REF!</definedName>
    <definedName name="sub" localSheetId="63">#REF!</definedName>
    <definedName name="sub" localSheetId="13">#REF!</definedName>
    <definedName name="sub" localSheetId="12">#REF!</definedName>
    <definedName name="sub" localSheetId="41">#REF!</definedName>
    <definedName name="sub" localSheetId="42">#REF!</definedName>
    <definedName name="sub" localSheetId="65">#REF!</definedName>
    <definedName name="sub" localSheetId="25">#REF!</definedName>
    <definedName name="sub" localSheetId="23">#REF!</definedName>
    <definedName name="sub">#REF!</definedName>
    <definedName name="supper" localSheetId="30">#REF!</definedName>
    <definedName name="supper" localSheetId="29">#REF!</definedName>
    <definedName name="supper" localSheetId="35">#REF!</definedName>
    <definedName name="supper" localSheetId="34">#REF!</definedName>
    <definedName name="supper" localSheetId="66">#REF!</definedName>
    <definedName name="supper" localSheetId="22">#REF!</definedName>
    <definedName name="supper" localSheetId="24">#REF!</definedName>
    <definedName name="supper" localSheetId="39">#REF!</definedName>
    <definedName name="supper" localSheetId="40">#REF!</definedName>
    <definedName name="supper" localSheetId="53">#REF!</definedName>
    <definedName name="supper" localSheetId="54">#REF!</definedName>
    <definedName name="supper" localSheetId="5">#REF!</definedName>
    <definedName name="supper" localSheetId="3">#REF!</definedName>
    <definedName name="supper" localSheetId="48">#REF!</definedName>
    <definedName name="supper" localSheetId="47">#REF!</definedName>
    <definedName name="supper" localSheetId="52">#REF!</definedName>
    <definedName name="supper" localSheetId="58">#REF!</definedName>
    <definedName name="supper" localSheetId="59">#REF!</definedName>
    <definedName name="supper" localSheetId="8">#REF!</definedName>
    <definedName name="supper" localSheetId="17">#REF!</definedName>
    <definedName name="supper" localSheetId="18">#REF!</definedName>
    <definedName name="supper" localSheetId="63">#REF!</definedName>
    <definedName name="supper" localSheetId="13">#REF!</definedName>
    <definedName name="supper" localSheetId="12">#REF!</definedName>
    <definedName name="supper" localSheetId="41">#REF!</definedName>
    <definedName name="supper" localSheetId="42">#REF!</definedName>
    <definedName name="supper" localSheetId="65">#REF!</definedName>
    <definedName name="supper" localSheetId="25">#REF!</definedName>
    <definedName name="supper" localSheetId="23">#REF!</definedName>
    <definedName name="supper">#REF!</definedName>
    <definedName name="surfacepanel12acb" localSheetId="30">#REF!</definedName>
    <definedName name="surfacepanel12acb" localSheetId="29">#REF!</definedName>
    <definedName name="surfacepanel12acb" localSheetId="35">#REF!</definedName>
    <definedName name="surfacepanel12acb" localSheetId="34">#REF!</definedName>
    <definedName name="surfacepanel12acb" localSheetId="66">#REF!</definedName>
    <definedName name="surfacepanel12acb" localSheetId="22">#REF!</definedName>
    <definedName name="surfacepanel12acb" localSheetId="24">#REF!</definedName>
    <definedName name="surfacepanel12acb" localSheetId="39">#REF!</definedName>
    <definedName name="surfacepanel12acb" localSheetId="40">#REF!</definedName>
    <definedName name="surfacepanel12acb" localSheetId="53">#REF!</definedName>
    <definedName name="surfacepanel12acb" localSheetId="54">#REF!</definedName>
    <definedName name="surfacepanel12acb" localSheetId="5">#REF!</definedName>
    <definedName name="surfacepanel12acb" localSheetId="3">#REF!</definedName>
    <definedName name="surfacepanel12acb" localSheetId="48">#REF!</definedName>
    <definedName name="surfacepanel12acb" localSheetId="47">#REF!</definedName>
    <definedName name="surfacepanel12acb" localSheetId="52">#REF!</definedName>
    <definedName name="surfacepanel12acb" localSheetId="58">#REF!</definedName>
    <definedName name="surfacepanel12acb" localSheetId="59">#REF!</definedName>
    <definedName name="surfacepanel12acb" localSheetId="8">#REF!</definedName>
    <definedName name="surfacepanel12acb" localSheetId="17">#REF!</definedName>
    <definedName name="surfacepanel12acb" localSheetId="18">#REF!</definedName>
    <definedName name="surfacepanel12acb" localSheetId="63">#REF!</definedName>
    <definedName name="surfacepanel12acb" localSheetId="13">#REF!</definedName>
    <definedName name="surfacepanel12acb" localSheetId="12">#REF!</definedName>
    <definedName name="surfacepanel12acb" localSheetId="41">#REF!</definedName>
    <definedName name="surfacepanel12acb" localSheetId="42">#REF!</definedName>
    <definedName name="surfacepanel12acb" localSheetId="65">#REF!</definedName>
    <definedName name="surfacepanel12acb" localSheetId="25">#REF!</definedName>
    <definedName name="surfacepanel12acb" localSheetId="23">#REF!</definedName>
    <definedName name="surfacepanel12acb">#REF!</definedName>
    <definedName name="surfacepanel24acb" localSheetId="30">#REF!</definedName>
    <definedName name="surfacepanel24acb" localSheetId="29">#REF!</definedName>
    <definedName name="surfacepanel24acb" localSheetId="35">#REF!</definedName>
    <definedName name="surfacepanel24acb" localSheetId="34">#REF!</definedName>
    <definedName name="surfacepanel24acb" localSheetId="66">#REF!</definedName>
    <definedName name="surfacepanel24acb" localSheetId="22">#REF!</definedName>
    <definedName name="surfacepanel24acb" localSheetId="24">#REF!</definedName>
    <definedName name="surfacepanel24acb" localSheetId="39">#REF!</definedName>
    <definedName name="surfacepanel24acb" localSheetId="40">#REF!</definedName>
    <definedName name="surfacepanel24acb" localSheetId="53">#REF!</definedName>
    <definedName name="surfacepanel24acb" localSheetId="54">#REF!</definedName>
    <definedName name="surfacepanel24acb" localSheetId="5">#REF!</definedName>
    <definedName name="surfacepanel24acb" localSheetId="3">#REF!</definedName>
    <definedName name="surfacepanel24acb" localSheetId="48">#REF!</definedName>
    <definedName name="surfacepanel24acb" localSheetId="47">#REF!</definedName>
    <definedName name="surfacepanel24acb" localSheetId="52">#REF!</definedName>
    <definedName name="surfacepanel24acb" localSheetId="58">#REF!</definedName>
    <definedName name="surfacepanel24acb" localSheetId="59">#REF!</definedName>
    <definedName name="surfacepanel24acb" localSheetId="8">#REF!</definedName>
    <definedName name="surfacepanel24acb" localSheetId="17">#REF!</definedName>
    <definedName name="surfacepanel24acb" localSheetId="18">#REF!</definedName>
    <definedName name="surfacepanel24acb" localSheetId="63">#REF!</definedName>
    <definedName name="surfacepanel24acb" localSheetId="13">#REF!</definedName>
    <definedName name="surfacepanel24acb" localSheetId="12">#REF!</definedName>
    <definedName name="surfacepanel24acb" localSheetId="41">#REF!</definedName>
    <definedName name="surfacepanel24acb" localSheetId="42">#REF!</definedName>
    <definedName name="surfacepanel24acb" localSheetId="65">#REF!</definedName>
    <definedName name="surfacepanel24acb" localSheetId="25">#REF!</definedName>
    <definedName name="surfacepanel24acb" localSheetId="23">#REF!</definedName>
    <definedName name="surfacepanel24acb">#REF!</definedName>
    <definedName name="surfacepanel36acb" localSheetId="30">#REF!</definedName>
    <definedName name="surfacepanel36acb" localSheetId="29">#REF!</definedName>
    <definedName name="surfacepanel36acb" localSheetId="35">#REF!</definedName>
    <definedName name="surfacepanel36acb" localSheetId="34">#REF!</definedName>
    <definedName name="surfacepanel36acb" localSheetId="66">#REF!</definedName>
    <definedName name="surfacepanel36acb" localSheetId="22">#REF!</definedName>
    <definedName name="surfacepanel36acb" localSheetId="24">#REF!</definedName>
    <definedName name="surfacepanel36acb" localSheetId="39">#REF!</definedName>
    <definedName name="surfacepanel36acb" localSheetId="40">#REF!</definedName>
    <definedName name="surfacepanel36acb" localSheetId="53">#REF!</definedName>
    <definedName name="surfacepanel36acb" localSheetId="54">#REF!</definedName>
    <definedName name="surfacepanel36acb" localSheetId="5">#REF!</definedName>
    <definedName name="surfacepanel36acb" localSheetId="3">#REF!</definedName>
    <definedName name="surfacepanel36acb" localSheetId="48">#REF!</definedName>
    <definedName name="surfacepanel36acb" localSheetId="47">#REF!</definedName>
    <definedName name="surfacepanel36acb" localSheetId="52">#REF!</definedName>
    <definedName name="surfacepanel36acb" localSheetId="58">#REF!</definedName>
    <definedName name="surfacepanel36acb" localSheetId="59">#REF!</definedName>
    <definedName name="surfacepanel36acb" localSheetId="8">#REF!</definedName>
    <definedName name="surfacepanel36acb" localSheetId="17">#REF!</definedName>
    <definedName name="surfacepanel36acb" localSheetId="18">#REF!</definedName>
    <definedName name="surfacepanel36acb" localSheetId="63">#REF!</definedName>
    <definedName name="surfacepanel36acb" localSheetId="13">#REF!</definedName>
    <definedName name="surfacepanel36acb" localSheetId="12">#REF!</definedName>
    <definedName name="surfacepanel36acb" localSheetId="41">#REF!</definedName>
    <definedName name="surfacepanel36acb" localSheetId="42">#REF!</definedName>
    <definedName name="surfacepanel36acb" localSheetId="65">#REF!</definedName>
    <definedName name="surfacepanel36acb" localSheetId="25">#REF!</definedName>
    <definedName name="surfacepanel36acb" localSheetId="23">#REF!</definedName>
    <definedName name="surfacepanel36acb">#REF!</definedName>
    <definedName name="surfacepanel8acb" localSheetId="30">#REF!</definedName>
    <definedName name="surfacepanel8acb" localSheetId="29">#REF!</definedName>
    <definedName name="surfacepanel8acb" localSheetId="35">#REF!</definedName>
    <definedName name="surfacepanel8acb" localSheetId="34">#REF!</definedName>
    <definedName name="surfacepanel8acb" localSheetId="66">#REF!</definedName>
    <definedName name="surfacepanel8acb" localSheetId="22">#REF!</definedName>
    <definedName name="surfacepanel8acb" localSheetId="24">#REF!</definedName>
    <definedName name="surfacepanel8acb" localSheetId="39">#REF!</definedName>
    <definedName name="surfacepanel8acb" localSheetId="40">#REF!</definedName>
    <definedName name="surfacepanel8acb" localSheetId="53">#REF!</definedName>
    <definedName name="surfacepanel8acb" localSheetId="54">#REF!</definedName>
    <definedName name="surfacepanel8acb" localSheetId="5">#REF!</definedName>
    <definedName name="surfacepanel8acb" localSheetId="3">#REF!</definedName>
    <definedName name="surfacepanel8acb" localSheetId="48">#REF!</definedName>
    <definedName name="surfacepanel8acb" localSheetId="47">#REF!</definedName>
    <definedName name="surfacepanel8acb" localSheetId="52">#REF!</definedName>
    <definedName name="surfacepanel8acb" localSheetId="58">#REF!</definedName>
    <definedName name="surfacepanel8acb" localSheetId="59">#REF!</definedName>
    <definedName name="surfacepanel8acb" localSheetId="8">#REF!</definedName>
    <definedName name="surfacepanel8acb" localSheetId="17">#REF!</definedName>
    <definedName name="surfacepanel8acb" localSheetId="18">#REF!</definedName>
    <definedName name="surfacepanel8acb" localSheetId="63">#REF!</definedName>
    <definedName name="surfacepanel8acb" localSheetId="13">#REF!</definedName>
    <definedName name="surfacepanel8acb" localSheetId="12">#REF!</definedName>
    <definedName name="surfacepanel8acb" localSheetId="41">#REF!</definedName>
    <definedName name="surfacepanel8acb" localSheetId="42">#REF!</definedName>
    <definedName name="surfacepanel8acb" localSheetId="65">#REF!</definedName>
    <definedName name="surfacepanel8acb" localSheetId="25">#REF!</definedName>
    <definedName name="surfacepanel8acb" localSheetId="23">#REF!</definedName>
    <definedName name="surfacepanel8acb">#REF!</definedName>
    <definedName name="surgearrester_40" localSheetId="30">#REF!</definedName>
    <definedName name="surgearrester_40" localSheetId="29">#REF!</definedName>
    <definedName name="surgearrester_40" localSheetId="35">#REF!</definedName>
    <definedName name="surgearrester_40" localSheetId="34">#REF!</definedName>
    <definedName name="surgearrester_40" localSheetId="66">#REF!</definedName>
    <definedName name="surgearrester_40" localSheetId="22">#REF!</definedName>
    <definedName name="surgearrester_40" localSheetId="24">#REF!</definedName>
    <definedName name="surgearrester_40" localSheetId="39">#REF!</definedName>
    <definedName name="surgearrester_40" localSheetId="40">#REF!</definedName>
    <definedName name="surgearrester_40" localSheetId="53">#REF!</definedName>
    <definedName name="surgearrester_40" localSheetId="54">#REF!</definedName>
    <definedName name="surgearrester_40" localSheetId="5">#REF!</definedName>
    <definedName name="surgearrester_40" localSheetId="3">#REF!</definedName>
    <definedName name="surgearrester_40" localSheetId="48">#REF!</definedName>
    <definedName name="surgearrester_40" localSheetId="47">#REF!</definedName>
    <definedName name="surgearrester_40" localSheetId="52">#REF!</definedName>
    <definedName name="surgearrester_40" localSheetId="58">#REF!</definedName>
    <definedName name="surgearrester_40" localSheetId="59">#REF!</definedName>
    <definedName name="surgearrester_40" localSheetId="8">#REF!</definedName>
    <definedName name="surgearrester_40" localSheetId="17">#REF!</definedName>
    <definedName name="surgearrester_40" localSheetId="18">#REF!</definedName>
    <definedName name="surgearrester_40" localSheetId="63">#REF!</definedName>
    <definedName name="surgearrester_40" localSheetId="13">#REF!</definedName>
    <definedName name="surgearrester_40" localSheetId="12">#REF!</definedName>
    <definedName name="surgearrester_40" localSheetId="41">#REF!</definedName>
    <definedName name="surgearrester_40" localSheetId="42">#REF!</definedName>
    <definedName name="surgearrester_40" localSheetId="65">#REF!</definedName>
    <definedName name="surgearrester_40" localSheetId="25">#REF!</definedName>
    <definedName name="surgearrester_40" localSheetId="23">#REF!</definedName>
    <definedName name="surgearrester_40">#REF!</definedName>
    <definedName name="surgearrester_70" localSheetId="30">#REF!</definedName>
    <definedName name="surgearrester_70" localSheetId="29">#REF!</definedName>
    <definedName name="surgearrester_70" localSheetId="35">#REF!</definedName>
    <definedName name="surgearrester_70" localSheetId="34">#REF!</definedName>
    <definedName name="surgearrester_70" localSheetId="66">#REF!</definedName>
    <definedName name="surgearrester_70" localSheetId="22">#REF!</definedName>
    <definedName name="surgearrester_70" localSheetId="24">#REF!</definedName>
    <definedName name="surgearrester_70" localSheetId="39">#REF!</definedName>
    <definedName name="surgearrester_70" localSheetId="40">#REF!</definedName>
    <definedName name="surgearrester_70" localSheetId="53">#REF!</definedName>
    <definedName name="surgearrester_70" localSheetId="54">#REF!</definedName>
    <definedName name="surgearrester_70" localSheetId="5">#REF!</definedName>
    <definedName name="surgearrester_70" localSheetId="3">#REF!</definedName>
    <definedName name="surgearrester_70" localSheetId="48">#REF!</definedName>
    <definedName name="surgearrester_70" localSheetId="47">#REF!</definedName>
    <definedName name="surgearrester_70" localSheetId="52">#REF!</definedName>
    <definedName name="surgearrester_70" localSheetId="58">#REF!</definedName>
    <definedName name="surgearrester_70" localSheetId="59">#REF!</definedName>
    <definedName name="surgearrester_70" localSheetId="8">#REF!</definedName>
    <definedName name="surgearrester_70" localSheetId="17">#REF!</definedName>
    <definedName name="surgearrester_70" localSheetId="18">#REF!</definedName>
    <definedName name="surgearrester_70" localSheetId="63">#REF!</definedName>
    <definedName name="surgearrester_70" localSheetId="13">#REF!</definedName>
    <definedName name="surgearrester_70" localSheetId="12">#REF!</definedName>
    <definedName name="surgearrester_70" localSheetId="41">#REF!</definedName>
    <definedName name="surgearrester_70" localSheetId="42">#REF!</definedName>
    <definedName name="surgearrester_70" localSheetId="65">#REF!</definedName>
    <definedName name="surgearrester_70" localSheetId="25">#REF!</definedName>
    <definedName name="surgearrester_70" localSheetId="23">#REF!</definedName>
    <definedName name="surgearrester_70">#REF!</definedName>
    <definedName name="suuu" localSheetId="30">'[2]Break Down  '!#REF!</definedName>
    <definedName name="suuu" localSheetId="29">'[2]Break Down  '!#REF!</definedName>
    <definedName name="suuu" localSheetId="35">'[2]Break Down  '!#REF!</definedName>
    <definedName name="suuu" localSheetId="34">'[2]Break Down  '!#REF!</definedName>
    <definedName name="suuu" localSheetId="66">'[1]Break Down  '!#REF!</definedName>
    <definedName name="suuu" localSheetId="22">'[2]Break Down  '!#REF!</definedName>
    <definedName name="suuu" localSheetId="24">'[2]Break Down  '!#REF!</definedName>
    <definedName name="suuu" localSheetId="39">'[2]Break Down  '!#REF!</definedName>
    <definedName name="suuu" localSheetId="40">'[2]Break Down  '!#REF!</definedName>
    <definedName name="suuu" localSheetId="53">'[2]Break Down  '!#REF!</definedName>
    <definedName name="suuu" localSheetId="54">'[2]Break Down  '!#REF!</definedName>
    <definedName name="suuu" localSheetId="5">'[1]Break Down  '!#REF!</definedName>
    <definedName name="suuu" localSheetId="3">'[2]Break Down  '!#REF!</definedName>
    <definedName name="suuu" localSheetId="4">'[2]Break Down  '!#REF!</definedName>
    <definedName name="suuu" localSheetId="48">'[2]Break Down  '!#REF!</definedName>
    <definedName name="suuu" localSheetId="47">'[2]Break Down  '!#REF!</definedName>
    <definedName name="suuu" localSheetId="52">'[1]Break Down  '!#REF!</definedName>
    <definedName name="suuu" localSheetId="58">'[2]Break Down  '!#REF!</definedName>
    <definedName name="suuu" localSheetId="59">'[2]Break Down  '!#REF!</definedName>
    <definedName name="suuu" localSheetId="8">'[2]Break Down  '!#REF!</definedName>
    <definedName name="suuu" localSheetId="17">'[2]Break Down  '!#REF!</definedName>
    <definedName name="suuu" localSheetId="18">'[2]Break Down  '!#REF!</definedName>
    <definedName name="suuu" localSheetId="63">'[2]Break Down  '!#REF!</definedName>
    <definedName name="suuu" localSheetId="13">'[2]Break Down  '!#REF!</definedName>
    <definedName name="suuu" localSheetId="12">'[2]Break Down  '!#REF!</definedName>
    <definedName name="suuu" localSheetId="41">'[2]Break Down  '!#REF!</definedName>
    <definedName name="suuu" localSheetId="42">'[2]Break Down  '!#REF!</definedName>
    <definedName name="suuu" localSheetId="65">'[2]Break Down  '!#REF!</definedName>
    <definedName name="suuu" localSheetId="25">'[2]Break Down  '!#REF!</definedName>
    <definedName name="suuu" localSheetId="23">'[2]Break Down  '!#REF!</definedName>
    <definedName name="suuu">'[1]Break Down  '!#REF!</definedName>
    <definedName name="Switch" localSheetId="30">'[2]Break Down  '!#REF!</definedName>
    <definedName name="Switch" localSheetId="29">'[2]Break Down  '!#REF!</definedName>
    <definedName name="Switch" localSheetId="35">'[2]Break Down  '!#REF!</definedName>
    <definedName name="Switch" localSheetId="34">'[2]Break Down  '!#REF!</definedName>
    <definedName name="Switch" localSheetId="66">'[1]Break Down  '!#REF!</definedName>
    <definedName name="Switch" localSheetId="22">'[2]Break Down  '!#REF!</definedName>
    <definedName name="Switch" localSheetId="24">'[2]Break Down  '!#REF!</definedName>
    <definedName name="Switch" localSheetId="39">'[2]Break Down  '!#REF!</definedName>
    <definedName name="Switch" localSheetId="40">'[2]Break Down  '!#REF!</definedName>
    <definedName name="Switch" localSheetId="53">'[2]Break Down  '!#REF!</definedName>
    <definedName name="Switch" localSheetId="54">'[2]Break Down  '!#REF!</definedName>
    <definedName name="Switch" localSheetId="5">'[1]Break Down  '!#REF!</definedName>
    <definedName name="Switch" localSheetId="3">'[2]Break Down  '!#REF!</definedName>
    <definedName name="Switch" localSheetId="4">'[2]Break Down  '!#REF!</definedName>
    <definedName name="Switch" localSheetId="48">'[2]Break Down  '!#REF!</definedName>
    <definedName name="Switch" localSheetId="47">'[2]Break Down  '!#REF!</definedName>
    <definedName name="Switch" localSheetId="52">'[1]Break Down  '!#REF!</definedName>
    <definedName name="Switch" localSheetId="58">'[2]Break Down  '!#REF!</definedName>
    <definedName name="Switch" localSheetId="59">'[2]Break Down  '!#REF!</definedName>
    <definedName name="Switch" localSheetId="8">'[2]Break Down  '!#REF!</definedName>
    <definedName name="Switch" localSheetId="17">'[2]Break Down  '!#REF!</definedName>
    <definedName name="Switch" localSheetId="18">'[2]Break Down  '!#REF!</definedName>
    <definedName name="Switch" localSheetId="63">'[2]Break Down  '!#REF!</definedName>
    <definedName name="Switch" localSheetId="13">'[2]Break Down  '!#REF!</definedName>
    <definedName name="Switch" localSheetId="12">'[2]Break Down  '!#REF!</definedName>
    <definedName name="Switch" localSheetId="41">'[2]Break Down  '!#REF!</definedName>
    <definedName name="Switch" localSheetId="42">'[2]Break Down  '!#REF!</definedName>
    <definedName name="Switch" localSheetId="65">'[2]Break Down  '!#REF!</definedName>
    <definedName name="Switch" localSheetId="25">'[2]Break Down  '!#REF!</definedName>
    <definedName name="Switch" localSheetId="23">'[2]Break Down  '!#REF!</definedName>
    <definedName name="Switch">'[1]Break Down  '!#REF!</definedName>
    <definedName name="tcs058136il" localSheetId="30">#REF!</definedName>
    <definedName name="tcs058136il" localSheetId="29">#REF!</definedName>
    <definedName name="tcs058136il" localSheetId="35">#REF!</definedName>
    <definedName name="tcs058136il" localSheetId="34">#REF!</definedName>
    <definedName name="tcs058136il" localSheetId="66">#REF!</definedName>
    <definedName name="tcs058136il" localSheetId="22">#REF!</definedName>
    <definedName name="tcs058136il" localSheetId="24">#REF!</definedName>
    <definedName name="tcs058136il" localSheetId="39">#REF!</definedName>
    <definedName name="tcs058136il" localSheetId="40">#REF!</definedName>
    <definedName name="tcs058136il" localSheetId="53">#REF!</definedName>
    <definedName name="tcs058136il" localSheetId="54">#REF!</definedName>
    <definedName name="tcs058136il" localSheetId="5">#REF!</definedName>
    <definedName name="tcs058136il" localSheetId="3">#REF!</definedName>
    <definedName name="tcs058136il" localSheetId="48">#REF!</definedName>
    <definedName name="tcs058136il" localSheetId="47">#REF!</definedName>
    <definedName name="tcs058136il" localSheetId="52">#REF!</definedName>
    <definedName name="tcs058136il" localSheetId="58">#REF!</definedName>
    <definedName name="tcs058136il" localSheetId="59">#REF!</definedName>
    <definedName name="tcs058136il" localSheetId="8">#REF!</definedName>
    <definedName name="tcs058136il" localSheetId="17">#REF!</definedName>
    <definedName name="tcs058136il" localSheetId="18">#REF!</definedName>
    <definedName name="tcs058136il" localSheetId="63">#REF!</definedName>
    <definedName name="tcs058136il" localSheetId="13">#REF!</definedName>
    <definedName name="tcs058136il" localSheetId="12">#REF!</definedName>
    <definedName name="tcs058136il" localSheetId="41">#REF!</definedName>
    <definedName name="tcs058136il" localSheetId="42">#REF!</definedName>
    <definedName name="tcs058136il" localSheetId="65">#REF!</definedName>
    <definedName name="tcs058136il" localSheetId="25">#REF!</definedName>
    <definedName name="tcs058136il" localSheetId="23">#REF!</definedName>
    <definedName name="tcs058136il">#REF!</definedName>
    <definedName name="tcs058136io" localSheetId="30">#REF!</definedName>
    <definedName name="tcs058136io" localSheetId="29">#REF!</definedName>
    <definedName name="tcs058136io" localSheetId="35">#REF!</definedName>
    <definedName name="tcs058136io" localSheetId="34">#REF!</definedName>
    <definedName name="tcs058136io" localSheetId="66">#REF!</definedName>
    <definedName name="tcs058136io" localSheetId="22">#REF!</definedName>
    <definedName name="tcs058136io" localSheetId="24">#REF!</definedName>
    <definedName name="tcs058136io" localSheetId="39">#REF!</definedName>
    <definedName name="tcs058136io" localSheetId="40">#REF!</definedName>
    <definedName name="tcs058136io" localSheetId="53">#REF!</definedName>
    <definedName name="tcs058136io" localSheetId="54">#REF!</definedName>
    <definedName name="tcs058136io" localSheetId="5">#REF!</definedName>
    <definedName name="tcs058136io" localSheetId="3">#REF!</definedName>
    <definedName name="tcs058136io" localSheetId="48">#REF!</definedName>
    <definedName name="tcs058136io" localSheetId="47">#REF!</definedName>
    <definedName name="tcs058136io" localSheetId="52">#REF!</definedName>
    <definedName name="tcs058136io" localSheetId="58">#REF!</definedName>
    <definedName name="tcs058136io" localSheetId="59">#REF!</definedName>
    <definedName name="tcs058136io" localSheetId="8">#REF!</definedName>
    <definedName name="tcs058136io" localSheetId="17">#REF!</definedName>
    <definedName name="tcs058136io" localSheetId="18">#REF!</definedName>
    <definedName name="tcs058136io" localSheetId="63">#REF!</definedName>
    <definedName name="tcs058136io" localSheetId="13">#REF!</definedName>
    <definedName name="tcs058136io" localSheetId="12">#REF!</definedName>
    <definedName name="tcs058136io" localSheetId="41">#REF!</definedName>
    <definedName name="tcs058136io" localSheetId="42">#REF!</definedName>
    <definedName name="tcs058136io" localSheetId="65">#REF!</definedName>
    <definedName name="tcs058136io" localSheetId="25">#REF!</definedName>
    <definedName name="tcs058136io" localSheetId="23">#REF!</definedName>
    <definedName name="tcs058136io">#REF!</definedName>
    <definedName name="tcs058136ip" localSheetId="30">#REF!</definedName>
    <definedName name="tcs058136ip" localSheetId="29">#REF!</definedName>
    <definedName name="tcs058136ip" localSheetId="35">#REF!</definedName>
    <definedName name="tcs058136ip" localSheetId="34">#REF!</definedName>
    <definedName name="tcs058136ip" localSheetId="66">#REF!</definedName>
    <definedName name="tcs058136ip" localSheetId="22">#REF!</definedName>
    <definedName name="tcs058136ip" localSheetId="24">#REF!</definedName>
    <definedName name="tcs058136ip" localSheetId="39">#REF!</definedName>
    <definedName name="tcs058136ip" localSheetId="40">#REF!</definedName>
    <definedName name="tcs058136ip" localSheetId="53">#REF!</definedName>
    <definedName name="tcs058136ip" localSheetId="54">#REF!</definedName>
    <definedName name="tcs058136ip" localSheetId="5">#REF!</definedName>
    <definedName name="tcs058136ip" localSheetId="3">#REF!</definedName>
    <definedName name="tcs058136ip" localSheetId="48">#REF!</definedName>
    <definedName name="tcs058136ip" localSheetId="47">#REF!</definedName>
    <definedName name="tcs058136ip" localSheetId="52">#REF!</definedName>
    <definedName name="tcs058136ip" localSheetId="58">#REF!</definedName>
    <definedName name="tcs058136ip" localSheetId="59">#REF!</definedName>
    <definedName name="tcs058136ip" localSheetId="8">#REF!</definedName>
    <definedName name="tcs058136ip" localSheetId="17">#REF!</definedName>
    <definedName name="tcs058136ip" localSheetId="18">#REF!</definedName>
    <definedName name="tcs058136ip" localSheetId="63">#REF!</definedName>
    <definedName name="tcs058136ip" localSheetId="13">#REF!</definedName>
    <definedName name="tcs058136ip" localSheetId="12">#REF!</definedName>
    <definedName name="tcs058136ip" localSheetId="41">#REF!</definedName>
    <definedName name="tcs058136ip" localSheetId="42">#REF!</definedName>
    <definedName name="tcs058136ip" localSheetId="65">#REF!</definedName>
    <definedName name="tcs058136ip" localSheetId="25">#REF!</definedName>
    <definedName name="tcs058136ip" localSheetId="23">#REF!</definedName>
    <definedName name="tcs058136ip">#REF!</definedName>
    <definedName name="tcs058236dl" localSheetId="30">#REF!</definedName>
    <definedName name="tcs058236dl" localSheetId="29">#REF!</definedName>
    <definedName name="tcs058236dl" localSheetId="35">#REF!</definedName>
    <definedName name="tcs058236dl" localSheetId="34">#REF!</definedName>
    <definedName name="tcs058236dl" localSheetId="66">#REF!</definedName>
    <definedName name="tcs058236dl" localSheetId="22">#REF!</definedName>
    <definedName name="tcs058236dl" localSheetId="24">#REF!</definedName>
    <definedName name="tcs058236dl" localSheetId="39">#REF!</definedName>
    <definedName name="tcs058236dl" localSheetId="40">#REF!</definedName>
    <definedName name="tcs058236dl" localSheetId="53">#REF!</definedName>
    <definedName name="tcs058236dl" localSheetId="54">#REF!</definedName>
    <definedName name="tcs058236dl" localSheetId="5">#REF!</definedName>
    <definedName name="tcs058236dl" localSheetId="3">#REF!</definedName>
    <definedName name="tcs058236dl" localSheetId="48">#REF!</definedName>
    <definedName name="tcs058236dl" localSheetId="47">#REF!</definedName>
    <definedName name="tcs058236dl" localSheetId="52">#REF!</definedName>
    <definedName name="tcs058236dl" localSheetId="58">#REF!</definedName>
    <definedName name="tcs058236dl" localSheetId="59">#REF!</definedName>
    <definedName name="tcs058236dl" localSheetId="8">#REF!</definedName>
    <definedName name="tcs058236dl" localSheetId="17">#REF!</definedName>
    <definedName name="tcs058236dl" localSheetId="18">#REF!</definedName>
    <definedName name="tcs058236dl" localSheetId="63">#REF!</definedName>
    <definedName name="tcs058236dl" localSheetId="13">#REF!</definedName>
    <definedName name="tcs058236dl" localSheetId="12">#REF!</definedName>
    <definedName name="tcs058236dl" localSheetId="41">#REF!</definedName>
    <definedName name="tcs058236dl" localSheetId="42">#REF!</definedName>
    <definedName name="tcs058236dl" localSheetId="65">#REF!</definedName>
    <definedName name="tcs058236dl" localSheetId="25">#REF!</definedName>
    <definedName name="tcs058236dl" localSheetId="23">#REF!</definedName>
    <definedName name="tcs058236dl">#REF!</definedName>
    <definedName name="tcs058236do" localSheetId="30">#REF!</definedName>
    <definedName name="tcs058236do" localSheetId="29">#REF!</definedName>
    <definedName name="tcs058236do" localSheetId="35">#REF!</definedName>
    <definedName name="tcs058236do" localSheetId="34">#REF!</definedName>
    <definedName name="tcs058236do" localSheetId="66">#REF!</definedName>
    <definedName name="tcs058236do" localSheetId="22">#REF!</definedName>
    <definedName name="tcs058236do" localSheetId="24">#REF!</definedName>
    <definedName name="tcs058236do" localSheetId="39">#REF!</definedName>
    <definedName name="tcs058236do" localSheetId="40">#REF!</definedName>
    <definedName name="tcs058236do" localSheetId="53">#REF!</definedName>
    <definedName name="tcs058236do" localSheetId="54">#REF!</definedName>
    <definedName name="tcs058236do" localSheetId="5">#REF!</definedName>
    <definedName name="tcs058236do" localSheetId="3">#REF!</definedName>
    <definedName name="tcs058236do" localSheetId="48">#REF!</definedName>
    <definedName name="tcs058236do" localSheetId="47">#REF!</definedName>
    <definedName name="tcs058236do" localSheetId="52">#REF!</definedName>
    <definedName name="tcs058236do" localSheetId="58">#REF!</definedName>
    <definedName name="tcs058236do" localSheetId="59">#REF!</definedName>
    <definedName name="tcs058236do" localSheetId="8">#REF!</definedName>
    <definedName name="tcs058236do" localSheetId="17">#REF!</definedName>
    <definedName name="tcs058236do" localSheetId="18">#REF!</definedName>
    <definedName name="tcs058236do" localSheetId="63">#REF!</definedName>
    <definedName name="tcs058236do" localSheetId="13">#REF!</definedName>
    <definedName name="tcs058236do" localSheetId="12">#REF!</definedName>
    <definedName name="tcs058236do" localSheetId="41">#REF!</definedName>
    <definedName name="tcs058236do" localSheetId="42">#REF!</definedName>
    <definedName name="tcs058236do" localSheetId="65">#REF!</definedName>
    <definedName name="tcs058236do" localSheetId="25">#REF!</definedName>
    <definedName name="tcs058236do" localSheetId="23">#REF!</definedName>
    <definedName name="tcs058236do">#REF!</definedName>
    <definedName name="tcs058236dp" localSheetId="30">#REF!</definedName>
    <definedName name="tcs058236dp" localSheetId="29">#REF!</definedName>
    <definedName name="tcs058236dp" localSheetId="35">#REF!</definedName>
    <definedName name="tcs058236dp" localSheetId="34">#REF!</definedName>
    <definedName name="tcs058236dp" localSheetId="66">#REF!</definedName>
    <definedName name="tcs058236dp" localSheetId="22">#REF!</definedName>
    <definedName name="tcs058236dp" localSheetId="24">#REF!</definedName>
    <definedName name="tcs058236dp" localSheetId="39">#REF!</definedName>
    <definedName name="tcs058236dp" localSheetId="40">#REF!</definedName>
    <definedName name="tcs058236dp" localSheetId="53">#REF!</definedName>
    <definedName name="tcs058236dp" localSheetId="54">#REF!</definedName>
    <definedName name="tcs058236dp" localSheetId="5">#REF!</definedName>
    <definedName name="tcs058236dp" localSheetId="3">#REF!</definedName>
    <definedName name="tcs058236dp" localSheetId="48">#REF!</definedName>
    <definedName name="tcs058236dp" localSheetId="47">#REF!</definedName>
    <definedName name="tcs058236dp" localSheetId="52">#REF!</definedName>
    <definedName name="tcs058236dp" localSheetId="58">#REF!</definedName>
    <definedName name="tcs058236dp" localSheetId="59">#REF!</definedName>
    <definedName name="tcs058236dp" localSheetId="8">#REF!</definedName>
    <definedName name="tcs058236dp" localSheetId="17">#REF!</definedName>
    <definedName name="tcs058236dp" localSheetId="18">#REF!</definedName>
    <definedName name="tcs058236dp" localSheetId="63">#REF!</definedName>
    <definedName name="tcs058236dp" localSheetId="13">#REF!</definedName>
    <definedName name="tcs058236dp" localSheetId="12">#REF!</definedName>
    <definedName name="tcs058236dp" localSheetId="41">#REF!</definedName>
    <definedName name="tcs058236dp" localSheetId="42">#REF!</definedName>
    <definedName name="tcs058236dp" localSheetId="65">#REF!</definedName>
    <definedName name="tcs058236dp" localSheetId="25">#REF!</definedName>
    <definedName name="tcs058236dp" localSheetId="23">#REF!</definedName>
    <definedName name="tcs058236dp">#REF!</definedName>
    <definedName name="TECHN">#N/A</definedName>
    <definedName name="tel" localSheetId="30">#REF!</definedName>
    <definedName name="tel" localSheetId="29">#REF!</definedName>
    <definedName name="tel" localSheetId="35">#REF!</definedName>
    <definedName name="tel" localSheetId="34">#REF!</definedName>
    <definedName name="tel" localSheetId="66">#REF!</definedName>
    <definedName name="tel" localSheetId="22">#REF!</definedName>
    <definedName name="tel" localSheetId="24">#REF!</definedName>
    <definedName name="tel" localSheetId="39">#REF!</definedName>
    <definedName name="tel" localSheetId="40">#REF!</definedName>
    <definedName name="tel" localSheetId="53">#REF!</definedName>
    <definedName name="tel" localSheetId="54">#REF!</definedName>
    <definedName name="tel" localSheetId="5">#REF!</definedName>
    <definedName name="tel" localSheetId="3">#REF!</definedName>
    <definedName name="tel" localSheetId="48">#REF!</definedName>
    <definedName name="tel" localSheetId="47">#REF!</definedName>
    <definedName name="tel" localSheetId="52">#REF!</definedName>
    <definedName name="tel" localSheetId="58">#REF!</definedName>
    <definedName name="tel" localSheetId="59">#REF!</definedName>
    <definedName name="tel" localSheetId="8">#REF!</definedName>
    <definedName name="tel" localSheetId="17">#REF!</definedName>
    <definedName name="tel" localSheetId="18">#REF!</definedName>
    <definedName name="tel" localSheetId="63">#REF!</definedName>
    <definedName name="tel" localSheetId="13">#REF!</definedName>
    <definedName name="tel" localSheetId="12">#REF!</definedName>
    <definedName name="tel" localSheetId="41">#REF!</definedName>
    <definedName name="tel" localSheetId="42">#REF!</definedName>
    <definedName name="tel" localSheetId="65">#REF!</definedName>
    <definedName name="tel" localSheetId="25">#REF!</definedName>
    <definedName name="tel" localSheetId="23">#REF!</definedName>
    <definedName name="tel">#REF!</definedName>
    <definedName name="Telephone_outlets" localSheetId="30">'[2]Break Down  '!#REF!</definedName>
    <definedName name="Telephone_outlets" localSheetId="29">'[2]Break Down  '!#REF!</definedName>
    <definedName name="Telephone_outlets" localSheetId="35">'[2]Break Down  '!#REF!</definedName>
    <definedName name="Telephone_outlets" localSheetId="34">'[2]Break Down  '!#REF!</definedName>
    <definedName name="Telephone_outlets" localSheetId="66">'[1]Break Down  '!#REF!</definedName>
    <definedName name="Telephone_outlets" localSheetId="22">'[2]Break Down  '!#REF!</definedName>
    <definedName name="Telephone_outlets" localSheetId="24">'[2]Break Down  '!#REF!</definedName>
    <definedName name="Telephone_outlets" localSheetId="39">'[2]Break Down  '!#REF!</definedName>
    <definedName name="Telephone_outlets" localSheetId="40">'[2]Break Down  '!#REF!</definedName>
    <definedName name="Telephone_outlets" localSheetId="53">'[2]Break Down  '!#REF!</definedName>
    <definedName name="Telephone_outlets" localSheetId="54">'[2]Break Down  '!#REF!</definedName>
    <definedName name="Telephone_outlets" localSheetId="5">'[1]Break Down  '!#REF!</definedName>
    <definedName name="Telephone_outlets" localSheetId="3">'[2]Break Down  '!#REF!</definedName>
    <definedName name="Telephone_outlets" localSheetId="4">'[2]Break Down  '!#REF!</definedName>
    <definedName name="Telephone_outlets" localSheetId="48">'[2]Break Down  '!#REF!</definedName>
    <definedName name="Telephone_outlets" localSheetId="47">'[2]Break Down  '!#REF!</definedName>
    <definedName name="Telephone_outlets" localSheetId="52">'[1]Break Down  '!#REF!</definedName>
    <definedName name="Telephone_outlets" localSheetId="58">'[2]Break Down  '!#REF!</definedName>
    <definedName name="Telephone_outlets" localSheetId="59">'[2]Break Down  '!#REF!</definedName>
    <definedName name="Telephone_outlets" localSheetId="8">'[2]Break Down  '!#REF!</definedName>
    <definedName name="Telephone_outlets" localSheetId="17">'[2]Break Down  '!#REF!</definedName>
    <definedName name="Telephone_outlets" localSheetId="18">'[2]Break Down  '!#REF!</definedName>
    <definedName name="Telephone_outlets" localSheetId="63">'[2]Break Down  '!#REF!</definedName>
    <definedName name="Telephone_outlets" localSheetId="13">'[2]Break Down  '!#REF!</definedName>
    <definedName name="Telephone_outlets" localSheetId="12">'[2]Break Down  '!#REF!</definedName>
    <definedName name="Telephone_outlets" localSheetId="41">'[2]Break Down  '!#REF!</definedName>
    <definedName name="Telephone_outlets" localSheetId="42">'[2]Break Down  '!#REF!</definedName>
    <definedName name="Telephone_outlets" localSheetId="65">'[2]Break Down  '!#REF!</definedName>
    <definedName name="Telephone_outlets" localSheetId="25">'[2]Break Down  '!#REF!</definedName>
    <definedName name="Telephone_outlets" localSheetId="23">'[2]Break Down  '!#REF!</definedName>
    <definedName name="Telephone_outlets">'[1]Break Down  '!#REF!</definedName>
    <definedName name="telephonepoint" localSheetId="30">#REF!</definedName>
    <definedName name="telephonepoint" localSheetId="29">#REF!</definedName>
    <definedName name="telephonepoint" localSheetId="35">#REF!</definedName>
    <definedName name="telephonepoint" localSheetId="34">#REF!</definedName>
    <definedName name="telephonepoint" localSheetId="66">#REF!</definedName>
    <definedName name="telephonepoint" localSheetId="22">#REF!</definedName>
    <definedName name="telephonepoint" localSheetId="24">#REF!</definedName>
    <definedName name="telephonepoint" localSheetId="39">#REF!</definedName>
    <definedName name="telephonepoint" localSheetId="40">#REF!</definedName>
    <definedName name="telephonepoint" localSheetId="53">#REF!</definedName>
    <definedName name="telephonepoint" localSheetId="54">#REF!</definedName>
    <definedName name="telephonepoint" localSheetId="5">#REF!</definedName>
    <definedName name="telephonepoint" localSheetId="3">#REF!</definedName>
    <definedName name="telephonepoint" localSheetId="48">#REF!</definedName>
    <definedName name="telephonepoint" localSheetId="47">#REF!</definedName>
    <definedName name="telephonepoint" localSheetId="52">#REF!</definedName>
    <definedName name="telephonepoint" localSheetId="58">#REF!</definedName>
    <definedName name="telephonepoint" localSheetId="59">#REF!</definedName>
    <definedName name="telephonepoint" localSheetId="8">#REF!</definedName>
    <definedName name="telephonepoint" localSheetId="17">#REF!</definedName>
    <definedName name="telephonepoint" localSheetId="18">#REF!</definedName>
    <definedName name="telephonepoint" localSheetId="63">#REF!</definedName>
    <definedName name="telephonepoint" localSheetId="13">#REF!</definedName>
    <definedName name="telephonepoint" localSheetId="12">#REF!</definedName>
    <definedName name="telephonepoint" localSheetId="41">#REF!</definedName>
    <definedName name="telephonepoint" localSheetId="42">#REF!</definedName>
    <definedName name="telephonepoint" localSheetId="65">#REF!</definedName>
    <definedName name="telephonepoint" localSheetId="25">#REF!</definedName>
    <definedName name="telephonepoint" localSheetId="23">#REF!</definedName>
    <definedName name="telephonepoint">#REF!</definedName>
    <definedName name="Terrazzo_tread_34x3cm" localSheetId="30">'[2]Break Down  '!#REF!</definedName>
    <definedName name="Terrazzo_tread_34x3cm" localSheetId="29">'[2]Break Down  '!#REF!</definedName>
    <definedName name="Terrazzo_tread_34x3cm" localSheetId="35">'[2]Break Down  '!#REF!</definedName>
    <definedName name="Terrazzo_tread_34x3cm" localSheetId="34">'[2]Break Down  '!#REF!</definedName>
    <definedName name="Terrazzo_tread_34x3cm" localSheetId="66">'[1]Break Down  '!#REF!</definedName>
    <definedName name="Terrazzo_tread_34x3cm" localSheetId="22">'[2]Break Down  '!#REF!</definedName>
    <definedName name="Terrazzo_tread_34x3cm" localSheetId="24">'[2]Break Down  '!#REF!</definedName>
    <definedName name="Terrazzo_tread_34x3cm" localSheetId="39">'[2]Break Down  '!#REF!</definedName>
    <definedName name="Terrazzo_tread_34x3cm" localSheetId="40">'[2]Break Down  '!#REF!</definedName>
    <definedName name="Terrazzo_tread_34x3cm" localSheetId="53">'[2]Break Down  '!#REF!</definedName>
    <definedName name="Terrazzo_tread_34x3cm" localSheetId="54">'[2]Break Down  '!#REF!</definedName>
    <definedName name="Terrazzo_tread_34x3cm" localSheetId="5">'[1]Break Down  '!#REF!</definedName>
    <definedName name="Terrazzo_tread_34x3cm" localSheetId="3">'[2]Break Down  '!#REF!</definedName>
    <definedName name="Terrazzo_tread_34x3cm" localSheetId="4">'[2]Break Down  '!#REF!</definedName>
    <definedName name="Terrazzo_tread_34x3cm" localSheetId="48">'[2]Break Down  '!#REF!</definedName>
    <definedName name="Terrazzo_tread_34x3cm" localSheetId="47">'[2]Break Down  '!#REF!</definedName>
    <definedName name="Terrazzo_tread_34x3cm" localSheetId="52">'[1]Break Down  '!#REF!</definedName>
    <definedName name="Terrazzo_tread_34x3cm" localSheetId="58">'[2]Break Down  '!#REF!</definedName>
    <definedName name="Terrazzo_tread_34x3cm" localSheetId="59">'[2]Break Down  '!#REF!</definedName>
    <definedName name="Terrazzo_tread_34x3cm" localSheetId="8">'[2]Break Down  '!#REF!</definedName>
    <definedName name="Terrazzo_tread_34x3cm" localSheetId="17">'[2]Break Down  '!#REF!</definedName>
    <definedName name="Terrazzo_tread_34x3cm" localSheetId="18">'[2]Break Down  '!#REF!</definedName>
    <definedName name="Terrazzo_tread_34x3cm" localSheetId="63">'[2]Break Down  '!#REF!</definedName>
    <definedName name="Terrazzo_tread_34x3cm" localSheetId="13">'[2]Break Down  '!#REF!</definedName>
    <definedName name="Terrazzo_tread_34x3cm" localSheetId="12">'[2]Break Down  '!#REF!</definedName>
    <definedName name="Terrazzo_tread_34x3cm" localSheetId="41">'[2]Break Down  '!#REF!</definedName>
    <definedName name="Terrazzo_tread_34x3cm" localSheetId="42">'[2]Break Down  '!#REF!</definedName>
    <definedName name="Terrazzo_tread_34x3cm" localSheetId="65">'[2]Break Down  '!#REF!</definedName>
    <definedName name="Terrazzo_tread_34x3cm" localSheetId="25">'[2]Break Down  '!#REF!</definedName>
    <definedName name="Terrazzo_tread_34x3cm" localSheetId="23">'[2]Break Down  '!#REF!</definedName>
    <definedName name="Terrazzo_tread_34x3cm">'[1]Break Down  '!#REF!</definedName>
    <definedName name="testclamp25x3" localSheetId="30">#REF!</definedName>
    <definedName name="testclamp25x3" localSheetId="29">#REF!</definedName>
    <definedName name="testclamp25x3" localSheetId="35">#REF!</definedName>
    <definedName name="testclamp25x3" localSheetId="34">#REF!</definedName>
    <definedName name="testclamp25x3" localSheetId="66">#REF!</definedName>
    <definedName name="testclamp25x3" localSheetId="22">#REF!</definedName>
    <definedName name="testclamp25x3" localSheetId="24">#REF!</definedName>
    <definedName name="testclamp25x3" localSheetId="39">#REF!</definedName>
    <definedName name="testclamp25x3" localSheetId="40">#REF!</definedName>
    <definedName name="testclamp25x3" localSheetId="53">#REF!</definedName>
    <definedName name="testclamp25x3" localSheetId="54">#REF!</definedName>
    <definedName name="testclamp25x3" localSheetId="5">#REF!</definedName>
    <definedName name="testclamp25x3" localSheetId="3">#REF!</definedName>
    <definedName name="testclamp25x3" localSheetId="48">#REF!</definedName>
    <definedName name="testclamp25x3" localSheetId="47">#REF!</definedName>
    <definedName name="testclamp25x3" localSheetId="52">#REF!</definedName>
    <definedName name="testclamp25x3" localSheetId="58">#REF!</definedName>
    <definedName name="testclamp25x3" localSheetId="59">#REF!</definedName>
    <definedName name="testclamp25x3" localSheetId="8">#REF!</definedName>
    <definedName name="testclamp25x3" localSheetId="17">#REF!</definedName>
    <definedName name="testclamp25x3" localSheetId="18">#REF!</definedName>
    <definedName name="testclamp25x3" localSheetId="63">#REF!</definedName>
    <definedName name="testclamp25x3" localSheetId="13">#REF!</definedName>
    <definedName name="testclamp25x3" localSheetId="12">#REF!</definedName>
    <definedName name="testclamp25x3" localSheetId="41">#REF!</definedName>
    <definedName name="testclamp25x3" localSheetId="42">#REF!</definedName>
    <definedName name="testclamp25x3" localSheetId="65">#REF!</definedName>
    <definedName name="testclamp25x3" localSheetId="25">#REF!</definedName>
    <definedName name="testclamp25x3" localSheetId="23">#REF!</definedName>
    <definedName name="testclamp25x3">#REF!</definedName>
    <definedName name="testclamp5070" localSheetId="30">#REF!</definedName>
    <definedName name="testclamp5070" localSheetId="29">#REF!</definedName>
    <definedName name="testclamp5070" localSheetId="35">#REF!</definedName>
    <definedName name="testclamp5070" localSheetId="34">#REF!</definedName>
    <definedName name="testclamp5070" localSheetId="66">#REF!</definedName>
    <definedName name="testclamp5070" localSheetId="22">#REF!</definedName>
    <definedName name="testclamp5070" localSheetId="24">#REF!</definedName>
    <definedName name="testclamp5070" localSheetId="39">#REF!</definedName>
    <definedName name="testclamp5070" localSheetId="40">#REF!</definedName>
    <definedName name="testclamp5070" localSheetId="53">#REF!</definedName>
    <definedName name="testclamp5070" localSheetId="54">#REF!</definedName>
    <definedName name="testclamp5070" localSheetId="5">#REF!</definedName>
    <definedName name="testclamp5070" localSheetId="3">#REF!</definedName>
    <definedName name="testclamp5070" localSheetId="48">#REF!</definedName>
    <definedName name="testclamp5070" localSheetId="47">#REF!</definedName>
    <definedName name="testclamp5070" localSheetId="52">#REF!</definedName>
    <definedName name="testclamp5070" localSheetId="58">#REF!</definedName>
    <definedName name="testclamp5070" localSheetId="59">#REF!</definedName>
    <definedName name="testclamp5070" localSheetId="8">#REF!</definedName>
    <definedName name="testclamp5070" localSheetId="17">#REF!</definedName>
    <definedName name="testclamp5070" localSheetId="18">#REF!</definedName>
    <definedName name="testclamp5070" localSheetId="63">#REF!</definedName>
    <definedName name="testclamp5070" localSheetId="13">#REF!</definedName>
    <definedName name="testclamp5070" localSheetId="12">#REF!</definedName>
    <definedName name="testclamp5070" localSheetId="41">#REF!</definedName>
    <definedName name="testclamp5070" localSheetId="42">#REF!</definedName>
    <definedName name="testclamp5070" localSheetId="65">#REF!</definedName>
    <definedName name="testclamp5070" localSheetId="25">#REF!</definedName>
    <definedName name="testclamp5070" localSheetId="23">#REF!</definedName>
    <definedName name="testclamp5070">#REF!</definedName>
    <definedName name="timerswitch" localSheetId="30">#REF!</definedName>
    <definedName name="timerswitch" localSheetId="29">#REF!</definedName>
    <definedName name="timerswitch" localSheetId="35">#REF!</definedName>
    <definedName name="timerswitch" localSheetId="34">#REF!</definedName>
    <definedName name="timerswitch" localSheetId="66">#REF!</definedName>
    <definedName name="timerswitch" localSheetId="22">#REF!</definedName>
    <definedName name="timerswitch" localSheetId="24">#REF!</definedName>
    <definedName name="timerswitch" localSheetId="39">#REF!</definedName>
    <definedName name="timerswitch" localSheetId="40">#REF!</definedName>
    <definedName name="timerswitch" localSheetId="53">#REF!</definedName>
    <definedName name="timerswitch" localSheetId="54">#REF!</definedName>
    <definedName name="timerswitch" localSheetId="5">#REF!</definedName>
    <definedName name="timerswitch" localSheetId="3">#REF!</definedName>
    <definedName name="timerswitch" localSheetId="48">#REF!</definedName>
    <definedName name="timerswitch" localSheetId="47">#REF!</definedName>
    <definedName name="timerswitch" localSheetId="52">#REF!</definedName>
    <definedName name="timerswitch" localSheetId="58">#REF!</definedName>
    <definedName name="timerswitch" localSheetId="59">#REF!</definedName>
    <definedName name="timerswitch" localSheetId="8">#REF!</definedName>
    <definedName name="timerswitch" localSheetId="17">#REF!</definedName>
    <definedName name="timerswitch" localSheetId="18">#REF!</definedName>
    <definedName name="timerswitch" localSheetId="63">#REF!</definedName>
    <definedName name="timerswitch" localSheetId="13">#REF!</definedName>
    <definedName name="timerswitch" localSheetId="12">#REF!</definedName>
    <definedName name="timerswitch" localSheetId="41">#REF!</definedName>
    <definedName name="timerswitch" localSheetId="42">#REF!</definedName>
    <definedName name="timerswitch" localSheetId="65">#REF!</definedName>
    <definedName name="timerswitch" localSheetId="25">#REF!</definedName>
    <definedName name="timerswitch" localSheetId="23">#REF!</definedName>
    <definedName name="timerswitch">#REF!</definedName>
    <definedName name="tms136gdl140" localSheetId="30">#REF!</definedName>
    <definedName name="tms136gdl140" localSheetId="29">#REF!</definedName>
    <definedName name="tms136gdl140" localSheetId="35">#REF!</definedName>
    <definedName name="tms136gdl140" localSheetId="34">#REF!</definedName>
    <definedName name="tms136gdl140" localSheetId="66">#REF!</definedName>
    <definedName name="tms136gdl140" localSheetId="22">#REF!</definedName>
    <definedName name="tms136gdl140" localSheetId="24">#REF!</definedName>
    <definedName name="tms136gdl140" localSheetId="39">#REF!</definedName>
    <definedName name="tms136gdl140" localSheetId="40">#REF!</definedName>
    <definedName name="tms136gdl140" localSheetId="53">#REF!</definedName>
    <definedName name="tms136gdl140" localSheetId="54">#REF!</definedName>
    <definedName name="tms136gdl140" localSheetId="5">#REF!</definedName>
    <definedName name="tms136gdl140" localSheetId="3">#REF!</definedName>
    <definedName name="tms136gdl140" localSheetId="48">#REF!</definedName>
    <definedName name="tms136gdl140" localSheetId="47">#REF!</definedName>
    <definedName name="tms136gdl140" localSheetId="52">#REF!</definedName>
    <definedName name="tms136gdl140" localSheetId="58">#REF!</definedName>
    <definedName name="tms136gdl140" localSheetId="59">#REF!</definedName>
    <definedName name="tms136gdl140" localSheetId="8">#REF!</definedName>
    <definedName name="tms136gdl140" localSheetId="17">#REF!</definedName>
    <definedName name="tms136gdl140" localSheetId="18">#REF!</definedName>
    <definedName name="tms136gdl140" localSheetId="63">#REF!</definedName>
    <definedName name="tms136gdl140" localSheetId="13">#REF!</definedName>
    <definedName name="tms136gdl140" localSheetId="12">#REF!</definedName>
    <definedName name="tms136gdl140" localSheetId="41">#REF!</definedName>
    <definedName name="tms136gdl140" localSheetId="42">#REF!</definedName>
    <definedName name="tms136gdl140" localSheetId="65">#REF!</definedName>
    <definedName name="tms136gdl140" localSheetId="25">#REF!</definedName>
    <definedName name="tms136gdl140" localSheetId="23">#REF!</definedName>
    <definedName name="tms136gdl140">#REF!</definedName>
    <definedName name="tms136gkd140" localSheetId="30">#REF!</definedName>
    <definedName name="tms136gkd140" localSheetId="29">#REF!</definedName>
    <definedName name="tms136gkd140" localSheetId="35">#REF!</definedName>
    <definedName name="tms136gkd140" localSheetId="34">#REF!</definedName>
    <definedName name="tms136gkd140" localSheetId="66">#REF!</definedName>
    <definedName name="tms136gkd140" localSheetId="22">#REF!</definedName>
    <definedName name="tms136gkd140" localSheetId="24">#REF!</definedName>
    <definedName name="tms136gkd140" localSheetId="39">#REF!</definedName>
    <definedName name="tms136gkd140" localSheetId="40">#REF!</definedName>
    <definedName name="tms136gkd140" localSheetId="53">#REF!</definedName>
    <definedName name="tms136gkd140" localSheetId="54">#REF!</definedName>
    <definedName name="tms136gkd140" localSheetId="5">#REF!</definedName>
    <definedName name="tms136gkd140" localSheetId="3">#REF!</definedName>
    <definedName name="tms136gkd140" localSheetId="48">#REF!</definedName>
    <definedName name="tms136gkd140" localSheetId="47">#REF!</definedName>
    <definedName name="tms136gkd140" localSheetId="52">#REF!</definedName>
    <definedName name="tms136gkd140" localSheetId="58">#REF!</definedName>
    <definedName name="tms136gkd140" localSheetId="59">#REF!</definedName>
    <definedName name="tms136gkd140" localSheetId="8">#REF!</definedName>
    <definedName name="tms136gkd140" localSheetId="17">#REF!</definedName>
    <definedName name="tms136gkd140" localSheetId="18">#REF!</definedName>
    <definedName name="tms136gkd140" localSheetId="63">#REF!</definedName>
    <definedName name="tms136gkd140" localSheetId="13">#REF!</definedName>
    <definedName name="tms136gkd140" localSheetId="12">#REF!</definedName>
    <definedName name="tms136gkd140" localSheetId="41">#REF!</definedName>
    <definedName name="tms136gkd140" localSheetId="42">#REF!</definedName>
    <definedName name="tms136gkd140" localSheetId="65">#REF!</definedName>
    <definedName name="tms136gkd140" localSheetId="25">#REF!</definedName>
    <definedName name="tms136gkd140" localSheetId="23">#REF!</definedName>
    <definedName name="tms136gkd140">#REF!</definedName>
    <definedName name="tms236gkh240" localSheetId="30">#REF!</definedName>
    <definedName name="tms236gkh240" localSheetId="29">#REF!</definedName>
    <definedName name="tms236gkh240" localSheetId="35">#REF!</definedName>
    <definedName name="tms236gkh240" localSheetId="34">#REF!</definedName>
    <definedName name="tms236gkh240" localSheetId="66">#REF!</definedName>
    <definedName name="tms236gkh240" localSheetId="22">#REF!</definedName>
    <definedName name="tms236gkh240" localSheetId="24">#REF!</definedName>
    <definedName name="tms236gkh240" localSheetId="39">#REF!</definedName>
    <definedName name="tms236gkh240" localSheetId="40">#REF!</definedName>
    <definedName name="tms236gkh240" localSheetId="53">#REF!</definedName>
    <definedName name="tms236gkh240" localSheetId="54">#REF!</definedName>
    <definedName name="tms236gkh240" localSheetId="5">#REF!</definedName>
    <definedName name="tms236gkh240" localSheetId="3">#REF!</definedName>
    <definedName name="tms236gkh240" localSheetId="48">#REF!</definedName>
    <definedName name="tms236gkh240" localSheetId="47">#REF!</definedName>
    <definedName name="tms236gkh240" localSheetId="52">#REF!</definedName>
    <definedName name="tms236gkh240" localSheetId="58">#REF!</definedName>
    <definedName name="tms236gkh240" localSheetId="59">#REF!</definedName>
    <definedName name="tms236gkh240" localSheetId="8">#REF!</definedName>
    <definedName name="tms236gkh240" localSheetId="17">#REF!</definedName>
    <definedName name="tms236gkh240" localSheetId="18">#REF!</definedName>
    <definedName name="tms236gkh240" localSheetId="63">#REF!</definedName>
    <definedName name="tms236gkh240" localSheetId="13">#REF!</definedName>
    <definedName name="tms236gkh240" localSheetId="12">#REF!</definedName>
    <definedName name="tms236gkh240" localSheetId="41">#REF!</definedName>
    <definedName name="tms236gkh240" localSheetId="42">#REF!</definedName>
    <definedName name="tms236gkh240" localSheetId="65">#REF!</definedName>
    <definedName name="tms236gkh240" localSheetId="25">#REF!</definedName>
    <definedName name="tms236gkh240" localSheetId="23">#REF!</definedName>
    <definedName name="tms236gkh240">#REF!</definedName>
    <definedName name="Toilet_paper_holder_with_metal_roller_5x15x2.5" localSheetId="30">'[2]Break Down  '!#REF!</definedName>
    <definedName name="Toilet_paper_holder_with_metal_roller_5x15x2.5" localSheetId="29">'[2]Break Down  '!#REF!</definedName>
    <definedName name="Toilet_paper_holder_with_metal_roller_5x15x2.5" localSheetId="35">'[2]Break Down  '!#REF!</definedName>
    <definedName name="Toilet_paper_holder_with_metal_roller_5x15x2.5" localSheetId="34">'[2]Break Down  '!#REF!</definedName>
    <definedName name="Toilet_paper_holder_with_metal_roller_5x15x2.5" localSheetId="66">'[1]Break Down  '!#REF!</definedName>
    <definedName name="Toilet_paper_holder_with_metal_roller_5x15x2.5" localSheetId="22">'[2]Break Down  '!#REF!</definedName>
    <definedName name="Toilet_paper_holder_with_metal_roller_5x15x2.5" localSheetId="24">'[2]Break Down  '!#REF!</definedName>
    <definedName name="Toilet_paper_holder_with_metal_roller_5x15x2.5" localSheetId="39">'[2]Break Down  '!#REF!</definedName>
    <definedName name="Toilet_paper_holder_with_metal_roller_5x15x2.5" localSheetId="40">'[2]Break Down  '!#REF!</definedName>
    <definedName name="Toilet_paper_holder_with_metal_roller_5x15x2.5" localSheetId="53">'[2]Break Down  '!#REF!</definedName>
    <definedName name="Toilet_paper_holder_with_metal_roller_5x15x2.5" localSheetId="54">'[2]Break Down  '!#REF!</definedName>
    <definedName name="Toilet_paper_holder_with_metal_roller_5x15x2.5" localSheetId="5">'[1]Break Down  '!#REF!</definedName>
    <definedName name="Toilet_paper_holder_with_metal_roller_5x15x2.5" localSheetId="3">'[2]Break Down  '!#REF!</definedName>
    <definedName name="Toilet_paper_holder_with_metal_roller_5x15x2.5" localSheetId="4">'[2]Break Down  '!#REF!</definedName>
    <definedName name="Toilet_paper_holder_with_metal_roller_5x15x2.5" localSheetId="48">'[2]Break Down  '!#REF!</definedName>
    <definedName name="Toilet_paper_holder_with_metal_roller_5x15x2.5" localSheetId="47">'[2]Break Down  '!#REF!</definedName>
    <definedName name="Toilet_paper_holder_with_metal_roller_5x15x2.5" localSheetId="52">'[1]Break Down  '!#REF!</definedName>
    <definedName name="Toilet_paper_holder_with_metal_roller_5x15x2.5" localSheetId="58">'[2]Break Down  '!#REF!</definedName>
    <definedName name="Toilet_paper_holder_with_metal_roller_5x15x2.5" localSheetId="59">'[2]Break Down  '!#REF!</definedName>
    <definedName name="Toilet_paper_holder_with_metal_roller_5x15x2.5" localSheetId="8">'[2]Break Down  '!#REF!</definedName>
    <definedName name="Toilet_paper_holder_with_metal_roller_5x15x2.5" localSheetId="17">'[2]Break Down  '!#REF!</definedName>
    <definedName name="Toilet_paper_holder_with_metal_roller_5x15x2.5" localSheetId="18">'[2]Break Down  '!#REF!</definedName>
    <definedName name="Toilet_paper_holder_with_metal_roller_5x15x2.5" localSheetId="63">'[2]Break Down  '!#REF!</definedName>
    <definedName name="Toilet_paper_holder_with_metal_roller_5x15x2.5" localSheetId="13">'[2]Break Down  '!#REF!</definedName>
    <definedName name="Toilet_paper_holder_with_metal_roller_5x15x2.5" localSheetId="12">'[2]Break Down  '!#REF!</definedName>
    <definedName name="Toilet_paper_holder_with_metal_roller_5x15x2.5" localSheetId="41">'[2]Break Down  '!#REF!</definedName>
    <definedName name="Toilet_paper_holder_with_metal_roller_5x15x2.5" localSheetId="42">'[2]Break Down  '!#REF!</definedName>
    <definedName name="Toilet_paper_holder_with_metal_roller_5x15x2.5" localSheetId="65">'[2]Break Down  '!#REF!</definedName>
    <definedName name="Toilet_paper_holder_with_metal_roller_5x15x2.5" localSheetId="25">'[2]Break Down  '!#REF!</definedName>
    <definedName name="Toilet_paper_holder_with_metal_roller_5x15x2.5" localSheetId="23">'[2]Break Down  '!#REF!</definedName>
    <definedName name="Toilet_paper_holder_with_metal_roller_5x15x2.5">'[1]Break Down  '!#REF!</definedName>
    <definedName name="TR">#N/A</definedName>
    <definedName name="tv" localSheetId="30">#REF!</definedName>
    <definedName name="tv" localSheetId="29">#REF!</definedName>
    <definedName name="tv" localSheetId="35">#REF!</definedName>
    <definedName name="tv" localSheetId="34">#REF!</definedName>
    <definedName name="tv" localSheetId="66">#REF!</definedName>
    <definedName name="tv" localSheetId="22">#REF!</definedName>
    <definedName name="tv" localSheetId="24">#REF!</definedName>
    <definedName name="tv" localSheetId="39">#REF!</definedName>
    <definedName name="tv" localSheetId="40">#REF!</definedName>
    <definedName name="tv" localSheetId="53">#REF!</definedName>
    <definedName name="tv" localSheetId="54">#REF!</definedName>
    <definedName name="tv" localSheetId="5">#REF!</definedName>
    <definedName name="tv" localSheetId="3">#REF!</definedName>
    <definedName name="tv" localSheetId="48">#REF!</definedName>
    <definedName name="tv" localSheetId="47">#REF!</definedName>
    <definedName name="tv" localSheetId="52">#REF!</definedName>
    <definedName name="tv" localSheetId="58">#REF!</definedName>
    <definedName name="tv" localSheetId="59">#REF!</definedName>
    <definedName name="tv" localSheetId="8">#REF!</definedName>
    <definedName name="tv" localSheetId="17">#REF!</definedName>
    <definedName name="tv" localSheetId="18">#REF!</definedName>
    <definedName name="tv" localSheetId="63">#REF!</definedName>
    <definedName name="tv" localSheetId="13">#REF!</definedName>
    <definedName name="tv" localSheetId="12">#REF!</definedName>
    <definedName name="tv" localSheetId="41">#REF!</definedName>
    <definedName name="tv" localSheetId="42">#REF!</definedName>
    <definedName name="tv" localSheetId="65">#REF!</definedName>
    <definedName name="tv" localSheetId="25">#REF!</definedName>
    <definedName name="tv" localSheetId="23">#REF!</definedName>
    <definedName name="tv">#REF!</definedName>
    <definedName name="tvaerial10element" localSheetId="30">#REF!</definedName>
    <definedName name="tvaerial10element" localSheetId="29">#REF!</definedName>
    <definedName name="tvaerial10element" localSheetId="35">#REF!</definedName>
    <definedName name="tvaerial10element" localSheetId="34">#REF!</definedName>
    <definedName name="tvaerial10element" localSheetId="66">#REF!</definedName>
    <definedName name="tvaerial10element" localSheetId="22">#REF!</definedName>
    <definedName name="tvaerial10element" localSheetId="24">#REF!</definedName>
    <definedName name="tvaerial10element" localSheetId="39">#REF!</definedName>
    <definedName name="tvaerial10element" localSheetId="40">#REF!</definedName>
    <definedName name="tvaerial10element" localSheetId="53">#REF!</definedName>
    <definedName name="tvaerial10element" localSheetId="54">#REF!</definedName>
    <definedName name="tvaerial10element" localSheetId="5">#REF!</definedName>
    <definedName name="tvaerial10element" localSheetId="3">#REF!</definedName>
    <definedName name="tvaerial10element" localSheetId="48">#REF!</definedName>
    <definedName name="tvaerial10element" localSheetId="47">#REF!</definedName>
    <definedName name="tvaerial10element" localSheetId="52">#REF!</definedName>
    <definedName name="tvaerial10element" localSheetId="58">#REF!</definedName>
    <definedName name="tvaerial10element" localSheetId="59">#REF!</definedName>
    <definedName name="tvaerial10element" localSheetId="8">#REF!</definedName>
    <definedName name="tvaerial10element" localSheetId="17">#REF!</definedName>
    <definedName name="tvaerial10element" localSheetId="18">#REF!</definedName>
    <definedName name="tvaerial10element" localSheetId="63">#REF!</definedName>
    <definedName name="tvaerial10element" localSheetId="13">#REF!</definedName>
    <definedName name="tvaerial10element" localSheetId="12">#REF!</definedName>
    <definedName name="tvaerial10element" localSheetId="41">#REF!</definedName>
    <definedName name="tvaerial10element" localSheetId="42">#REF!</definedName>
    <definedName name="tvaerial10element" localSheetId="65">#REF!</definedName>
    <definedName name="tvaerial10element" localSheetId="25">#REF!</definedName>
    <definedName name="tvaerial10element" localSheetId="23">#REF!</definedName>
    <definedName name="tvaerial10element">#REF!</definedName>
    <definedName name="tvoutletloopthrough" localSheetId="30">#REF!</definedName>
    <definedName name="tvoutletloopthrough" localSheetId="29">#REF!</definedName>
    <definedName name="tvoutletloopthrough" localSheetId="35">#REF!</definedName>
    <definedName name="tvoutletloopthrough" localSheetId="34">#REF!</definedName>
    <definedName name="tvoutletloopthrough" localSheetId="66">#REF!</definedName>
    <definedName name="tvoutletloopthrough" localSheetId="22">#REF!</definedName>
    <definedName name="tvoutletloopthrough" localSheetId="24">#REF!</definedName>
    <definedName name="tvoutletloopthrough" localSheetId="39">#REF!</definedName>
    <definedName name="tvoutletloopthrough" localSheetId="40">#REF!</definedName>
    <definedName name="tvoutletloopthrough" localSheetId="53">#REF!</definedName>
    <definedName name="tvoutletloopthrough" localSheetId="54">#REF!</definedName>
    <definedName name="tvoutletloopthrough" localSheetId="5">#REF!</definedName>
    <definedName name="tvoutletloopthrough" localSheetId="3">#REF!</definedName>
    <definedName name="tvoutletloopthrough" localSheetId="48">#REF!</definedName>
    <definedName name="tvoutletloopthrough" localSheetId="47">#REF!</definedName>
    <definedName name="tvoutletloopthrough" localSheetId="52">#REF!</definedName>
    <definedName name="tvoutletloopthrough" localSheetId="58">#REF!</definedName>
    <definedName name="tvoutletloopthrough" localSheetId="59">#REF!</definedName>
    <definedName name="tvoutletloopthrough" localSheetId="8">#REF!</definedName>
    <definedName name="tvoutletloopthrough" localSheetId="17">#REF!</definedName>
    <definedName name="tvoutletloopthrough" localSheetId="18">#REF!</definedName>
    <definedName name="tvoutletloopthrough" localSheetId="63">#REF!</definedName>
    <definedName name="tvoutletloopthrough" localSheetId="13">#REF!</definedName>
    <definedName name="tvoutletloopthrough" localSheetId="12">#REF!</definedName>
    <definedName name="tvoutletloopthrough" localSheetId="41">#REF!</definedName>
    <definedName name="tvoutletloopthrough" localSheetId="42">#REF!</definedName>
    <definedName name="tvoutletloopthrough" localSheetId="65">#REF!</definedName>
    <definedName name="tvoutletloopthrough" localSheetId="25">#REF!</definedName>
    <definedName name="tvoutletloopthrough" localSheetId="23">#REF!</definedName>
    <definedName name="tvoutletloopthrough">#REF!</definedName>
    <definedName name="tvoutletterminal" localSheetId="30">#REF!</definedName>
    <definedName name="tvoutletterminal" localSheetId="29">#REF!</definedName>
    <definedName name="tvoutletterminal" localSheetId="35">#REF!</definedName>
    <definedName name="tvoutletterminal" localSheetId="34">#REF!</definedName>
    <definedName name="tvoutletterminal" localSheetId="66">#REF!</definedName>
    <definedName name="tvoutletterminal" localSheetId="22">#REF!</definedName>
    <definedName name="tvoutletterminal" localSheetId="24">#REF!</definedName>
    <definedName name="tvoutletterminal" localSheetId="39">#REF!</definedName>
    <definedName name="tvoutletterminal" localSheetId="40">#REF!</definedName>
    <definedName name="tvoutletterminal" localSheetId="53">#REF!</definedName>
    <definedName name="tvoutletterminal" localSheetId="54">#REF!</definedName>
    <definedName name="tvoutletterminal" localSheetId="5">#REF!</definedName>
    <definedName name="tvoutletterminal" localSheetId="3">#REF!</definedName>
    <definedName name="tvoutletterminal" localSheetId="48">#REF!</definedName>
    <definedName name="tvoutletterminal" localSheetId="47">#REF!</definedName>
    <definedName name="tvoutletterminal" localSheetId="52">#REF!</definedName>
    <definedName name="tvoutletterminal" localSheetId="58">#REF!</definedName>
    <definedName name="tvoutletterminal" localSheetId="59">#REF!</definedName>
    <definedName name="tvoutletterminal" localSheetId="8">#REF!</definedName>
    <definedName name="tvoutletterminal" localSheetId="17">#REF!</definedName>
    <definedName name="tvoutletterminal" localSheetId="18">#REF!</definedName>
    <definedName name="tvoutletterminal" localSheetId="63">#REF!</definedName>
    <definedName name="tvoutletterminal" localSheetId="13">#REF!</definedName>
    <definedName name="tvoutletterminal" localSheetId="12">#REF!</definedName>
    <definedName name="tvoutletterminal" localSheetId="41">#REF!</definedName>
    <definedName name="tvoutletterminal" localSheetId="42">#REF!</definedName>
    <definedName name="tvoutletterminal" localSheetId="65">#REF!</definedName>
    <definedName name="tvoutletterminal" localSheetId="25">#REF!</definedName>
    <definedName name="tvoutletterminal" localSheetId="23">#REF!</definedName>
    <definedName name="tvoutletterminal">#REF!</definedName>
    <definedName name="tvpoint" localSheetId="30">#REF!</definedName>
    <definedName name="tvpoint" localSheetId="29">#REF!</definedName>
    <definedName name="tvpoint" localSheetId="35">#REF!</definedName>
    <definedName name="tvpoint" localSheetId="34">#REF!</definedName>
    <definedName name="tvpoint" localSheetId="66">#REF!</definedName>
    <definedName name="tvpoint" localSheetId="22">#REF!</definedName>
    <definedName name="tvpoint" localSheetId="24">#REF!</definedName>
    <definedName name="tvpoint" localSheetId="39">#REF!</definedName>
    <definedName name="tvpoint" localSheetId="40">#REF!</definedName>
    <definedName name="tvpoint" localSheetId="53">#REF!</definedName>
    <definedName name="tvpoint" localSheetId="54">#REF!</definedName>
    <definedName name="tvpoint" localSheetId="5">#REF!</definedName>
    <definedName name="tvpoint" localSheetId="3">#REF!</definedName>
    <definedName name="tvpoint" localSheetId="48">#REF!</definedName>
    <definedName name="tvpoint" localSheetId="47">#REF!</definedName>
    <definedName name="tvpoint" localSheetId="52">#REF!</definedName>
    <definedName name="tvpoint" localSheetId="58">#REF!</definedName>
    <definedName name="tvpoint" localSheetId="59">#REF!</definedName>
    <definedName name="tvpoint" localSheetId="8">#REF!</definedName>
    <definedName name="tvpoint" localSheetId="17">#REF!</definedName>
    <definedName name="tvpoint" localSheetId="18">#REF!</definedName>
    <definedName name="tvpoint" localSheetId="63">#REF!</definedName>
    <definedName name="tvpoint" localSheetId="13">#REF!</definedName>
    <definedName name="tvpoint" localSheetId="12">#REF!</definedName>
    <definedName name="tvpoint" localSheetId="41">#REF!</definedName>
    <definedName name="tvpoint" localSheetId="42">#REF!</definedName>
    <definedName name="tvpoint" localSheetId="65">#REF!</definedName>
    <definedName name="tvpoint" localSheetId="25">#REF!</definedName>
    <definedName name="tvpoint" localSheetId="23">#REF!</definedName>
    <definedName name="tvpoint">#REF!</definedName>
    <definedName name="twowayswitch" localSheetId="30">#REF!</definedName>
    <definedName name="twowayswitch" localSheetId="29">#REF!</definedName>
    <definedName name="twowayswitch" localSheetId="35">#REF!</definedName>
    <definedName name="twowayswitch" localSheetId="34">#REF!</definedName>
    <definedName name="twowayswitch" localSheetId="66">#REF!</definedName>
    <definedName name="twowayswitch" localSheetId="22">#REF!</definedName>
    <definedName name="twowayswitch" localSheetId="24">#REF!</definedName>
    <definedName name="twowayswitch" localSheetId="39">#REF!</definedName>
    <definedName name="twowayswitch" localSheetId="40">#REF!</definedName>
    <definedName name="twowayswitch" localSheetId="53">#REF!</definedName>
    <definedName name="twowayswitch" localSheetId="54">#REF!</definedName>
    <definedName name="twowayswitch" localSheetId="5">#REF!</definedName>
    <definedName name="twowayswitch" localSheetId="3">#REF!</definedName>
    <definedName name="twowayswitch" localSheetId="48">#REF!</definedName>
    <definedName name="twowayswitch" localSheetId="47">#REF!</definedName>
    <definedName name="twowayswitch" localSheetId="52">#REF!</definedName>
    <definedName name="twowayswitch" localSheetId="58">#REF!</definedName>
    <definedName name="twowayswitch" localSheetId="59">#REF!</definedName>
    <definedName name="twowayswitch" localSheetId="8">#REF!</definedName>
    <definedName name="twowayswitch" localSheetId="17">#REF!</definedName>
    <definedName name="twowayswitch" localSheetId="18">#REF!</definedName>
    <definedName name="twowayswitch" localSheetId="63">#REF!</definedName>
    <definedName name="twowayswitch" localSheetId="13">#REF!</definedName>
    <definedName name="twowayswitch" localSheetId="12">#REF!</definedName>
    <definedName name="twowayswitch" localSheetId="41">#REF!</definedName>
    <definedName name="twowayswitch" localSheetId="42">#REF!</definedName>
    <definedName name="twowayswitch" localSheetId="65">#REF!</definedName>
    <definedName name="twowayswitch" localSheetId="25">#REF!</definedName>
    <definedName name="twowayswitch" localSheetId="23">#REF!</definedName>
    <definedName name="twowayswitch">#REF!</definedName>
    <definedName name="vibrationdetector" localSheetId="30">#REF!</definedName>
    <definedName name="vibrationdetector" localSheetId="29">#REF!</definedName>
    <definedName name="vibrationdetector" localSheetId="35">#REF!</definedName>
    <definedName name="vibrationdetector" localSheetId="34">#REF!</definedName>
    <definedName name="vibrationdetector" localSheetId="66">#REF!</definedName>
    <definedName name="vibrationdetector" localSheetId="22">#REF!</definedName>
    <definedName name="vibrationdetector" localSheetId="24">#REF!</definedName>
    <definedName name="vibrationdetector" localSheetId="39">#REF!</definedName>
    <definedName name="vibrationdetector" localSheetId="40">#REF!</definedName>
    <definedName name="vibrationdetector" localSheetId="53">#REF!</definedName>
    <definedName name="vibrationdetector" localSheetId="54">#REF!</definedName>
    <definedName name="vibrationdetector" localSheetId="5">#REF!</definedName>
    <definedName name="vibrationdetector" localSheetId="3">#REF!</definedName>
    <definedName name="vibrationdetector" localSheetId="48">#REF!</definedName>
    <definedName name="vibrationdetector" localSheetId="47">#REF!</definedName>
    <definedName name="vibrationdetector" localSheetId="52">#REF!</definedName>
    <definedName name="vibrationdetector" localSheetId="58">#REF!</definedName>
    <definedName name="vibrationdetector" localSheetId="59">#REF!</definedName>
    <definedName name="vibrationdetector" localSheetId="8">#REF!</definedName>
    <definedName name="vibrationdetector" localSheetId="17">#REF!</definedName>
    <definedName name="vibrationdetector" localSheetId="18">#REF!</definedName>
    <definedName name="vibrationdetector" localSheetId="63">#REF!</definedName>
    <definedName name="vibrationdetector" localSheetId="13">#REF!</definedName>
    <definedName name="vibrationdetector" localSheetId="12">#REF!</definedName>
    <definedName name="vibrationdetector" localSheetId="41">#REF!</definedName>
    <definedName name="vibrationdetector" localSheetId="42">#REF!</definedName>
    <definedName name="vibrationdetector" localSheetId="65">#REF!</definedName>
    <definedName name="vibrationdetector" localSheetId="25">#REF!</definedName>
    <definedName name="vibrationdetector" localSheetId="23">#REF!</definedName>
    <definedName name="vibrationdetector">#REF!</definedName>
    <definedName name="W" localSheetId="30">#REF!</definedName>
    <definedName name="W" localSheetId="29">#REF!</definedName>
    <definedName name="W" localSheetId="35">#REF!</definedName>
    <definedName name="W" localSheetId="34">#REF!</definedName>
    <definedName name="W" localSheetId="66">#REF!</definedName>
    <definedName name="W" localSheetId="22">#REF!</definedName>
    <definedName name="W" localSheetId="24">#REF!</definedName>
    <definedName name="W" localSheetId="39">#REF!</definedName>
    <definedName name="W" localSheetId="40">#REF!</definedName>
    <definedName name="W" localSheetId="53">#REF!</definedName>
    <definedName name="W" localSheetId="54">#REF!</definedName>
    <definedName name="W" localSheetId="5">#REF!</definedName>
    <definedName name="W" localSheetId="3">#REF!</definedName>
    <definedName name="W" localSheetId="48">#REF!</definedName>
    <definedName name="W" localSheetId="47">#REF!</definedName>
    <definedName name="W" localSheetId="52">#REF!</definedName>
    <definedName name="W" localSheetId="58">#REF!</definedName>
    <definedName name="W" localSheetId="59">#REF!</definedName>
    <definedName name="W" localSheetId="8">#REF!</definedName>
    <definedName name="W" localSheetId="17">#REF!</definedName>
    <definedName name="W" localSheetId="18">#REF!</definedName>
    <definedName name="W" localSheetId="63">#REF!</definedName>
    <definedName name="W" localSheetId="13">#REF!</definedName>
    <definedName name="W" localSheetId="12">#REF!</definedName>
    <definedName name="W" localSheetId="41">#REF!</definedName>
    <definedName name="W" localSheetId="42">#REF!</definedName>
    <definedName name="W" localSheetId="65">#REF!</definedName>
    <definedName name="W" localSheetId="25">#REF!</definedName>
    <definedName name="W" localSheetId="23">#REF!</definedName>
    <definedName name="W">#REF!</definedName>
    <definedName name="W.C_with_low_flush_cister" localSheetId="30">'[2]Break Down  '!#REF!</definedName>
    <definedName name="W.C_with_low_flush_cister" localSheetId="29">'[2]Break Down  '!#REF!</definedName>
    <definedName name="W.C_with_low_flush_cister" localSheetId="35">'[2]Break Down  '!#REF!</definedName>
    <definedName name="W.C_with_low_flush_cister" localSheetId="34">'[2]Break Down  '!#REF!</definedName>
    <definedName name="W.C_with_low_flush_cister" localSheetId="66">'[1]Break Down  '!#REF!</definedName>
    <definedName name="W.C_with_low_flush_cister" localSheetId="22">'[2]Break Down  '!#REF!</definedName>
    <definedName name="W.C_with_low_flush_cister" localSheetId="24">'[2]Break Down  '!#REF!</definedName>
    <definedName name="W.C_with_low_flush_cister" localSheetId="39">'[2]Break Down  '!#REF!</definedName>
    <definedName name="W.C_with_low_flush_cister" localSheetId="40">'[2]Break Down  '!#REF!</definedName>
    <definedName name="W.C_with_low_flush_cister" localSheetId="53">'[2]Break Down  '!#REF!</definedName>
    <definedName name="W.C_with_low_flush_cister" localSheetId="54">'[2]Break Down  '!#REF!</definedName>
    <definedName name="W.C_with_low_flush_cister" localSheetId="5">'[1]Break Down  '!#REF!</definedName>
    <definedName name="W.C_with_low_flush_cister" localSheetId="3">'[2]Break Down  '!#REF!</definedName>
    <definedName name="W.C_with_low_flush_cister" localSheetId="4">'[2]Break Down  '!#REF!</definedName>
    <definedName name="W.C_with_low_flush_cister" localSheetId="48">'[2]Break Down  '!#REF!</definedName>
    <definedName name="W.C_with_low_flush_cister" localSheetId="47">'[2]Break Down  '!#REF!</definedName>
    <definedName name="W.C_with_low_flush_cister" localSheetId="52">'[1]Break Down  '!#REF!</definedName>
    <definedName name="W.C_with_low_flush_cister" localSheetId="58">'[2]Break Down  '!#REF!</definedName>
    <definedName name="W.C_with_low_flush_cister" localSheetId="59">'[2]Break Down  '!#REF!</definedName>
    <definedName name="W.C_with_low_flush_cister" localSheetId="8">'[2]Break Down  '!#REF!</definedName>
    <definedName name="W.C_with_low_flush_cister" localSheetId="17">'[2]Break Down  '!#REF!</definedName>
    <definedName name="W.C_with_low_flush_cister" localSheetId="18">'[2]Break Down  '!#REF!</definedName>
    <definedName name="W.C_with_low_flush_cister" localSheetId="63">'[2]Break Down  '!#REF!</definedName>
    <definedName name="W.C_with_low_flush_cister" localSheetId="13">'[2]Break Down  '!#REF!</definedName>
    <definedName name="W.C_with_low_flush_cister" localSheetId="12">'[2]Break Down  '!#REF!</definedName>
    <definedName name="W.C_with_low_flush_cister" localSheetId="41">'[2]Break Down  '!#REF!</definedName>
    <definedName name="W.C_with_low_flush_cister" localSheetId="42">'[2]Break Down  '!#REF!</definedName>
    <definedName name="W.C_with_low_flush_cister" localSheetId="65">'[2]Break Down  '!#REF!</definedName>
    <definedName name="W.C_with_low_flush_cister" localSheetId="25">'[2]Break Down  '!#REF!</definedName>
    <definedName name="W.C_with_low_flush_cister" localSheetId="23">'[2]Break Down  '!#REF!</definedName>
    <definedName name="W.C_with_low_flush_cister">'[1]Break Down  '!#REF!</definedName>
    <definedName name="wallglobe" localSheetId="30">#REF!</definedName>
    <definedName name="wallglobe" localSheetId="29">#REF!</definedName>
    <definedName name="wallglobe" localSheetId="35">#REF!</definedName>
    <definedName name="wallglobe" localSheetId="34">#REF!</definedName>
    <definedName name="wallglobe" localSheetId="66">#REF!</definedName>
    <definedName name="wallglobe" localSheetId="22">#REF!</definedName>
    <definedName name="wallglobe" localSheetId="24">#REF!</definedName>
    <definedName name="wallglobe" localSheetId="39">#REF!</definedName>
    <definedName name="wallglobe" localSheetId="40">#REF!</definedName>
    <definedName name="wallglobe" localSheetId="53">#REF!</definedName>
    <definedName name="wallglobe" localSheetId="54">#REF!</definedName>
    <definedName name="wallglobe" localSheetId="5">#REF!</definedName>
    <definedName name="wallglobe" localSheetId="3">#REF!</definedName>
    <definedName name="wallglobe" localSheetId="48">#REF!</definedName>
    <definedName name="wallglobe" localSheetId="47">#REF!</definedName>
    <definedName name="wallglobe" localSheetId="52">#REF!</definedName>
    <definedName name="wallglobe" localSheetId="58">#REF!</definedName>
    <definedName name="wallglobe" localSheetId="59">#REF!</definedName>
    <definedName name="wallglobe" localSheetId="8">#REF!</definedName>
    <definedName name="wallglobe" localSheetId="17">#REF!</definedName>
    <definedName name="wallglobe" localSheetId="18">#REF!</definedName>
    <definedName name="wallglobe" localSheetId="63">#REF!</definedName>
    <definedName name="wallglobe" localSheetId="13">#REF!</definedName>
    <definedName name="wallglobe" localSheetId="12">#REF!</definedName>
    <definedName name="wallglobe" localSheetId="41">#REF!</definedName>
    <definedName name="wallglobe" localSheetId="42">#REF!</definedName>
    <definedName name="wallglobe" localSheetId="65">#REF!</definedName>
    <definedName name="wallglobe" localSheetId="25">#REF!</definedName>
    <definedName name="wallglobe" localSheetId="23">#REF!</definedName>
    <definedName name="wallglobe">#REF!</definedName>
    <definedName name="Wash_down_water_closet_with_low_flush_cister" localSheetId="30">'[2]Break Down  '!#REF!</definedName>
    <definedName name="Wash_down_water_closet_with_low_flush_cister" localSheetId="29">'[2]Break Down  '!#REF!</definedName>
    <definedName name="Wash_down_water_closet_with_low_flush_cister" localSheetId="35">'[2]Break Down  '!#REF!</definedName>
    <definedName name="Wash_down_water_closet_with_low_flush_cister" localSheetId="34">'[2]Break Down  '!#REF!</definedName>
    <definedName name="Wash_down_water_closet_with_low_flush_cister" localSheetId="66">'[1]Break Down  '!#REF!</definedName>
    <definedName name="Wash_down_water_closet_with_low_flush_cister" localSheetId="22">'[2]Break Down  '!#REF!</definedName>
    <definedName name="Wash_down_water_closet_with_low_flush_cister" localSheetId="24">'[2]Break Down  '!#REF!</definedName>
    <definedName name="Wash_down_water_closet_with_low_flush_cister" localSheetId="39">'[2]Break Down  '!#REF!</definedName>
    <definedName name="Wash_down_water_closet_with_low_flush_cister" localSheetId="40">'[2]Break Down  '!#REF!</definedName>
    <definedName name="Wash_down_water_closet_with_low_flush_cister" localSheetId="53">'[2]Break Down  '!#REF!</definedName>
    <definedName name="Wash_down_water_closet_with_low_flush_cister" localSheetId="54">'[2]Break Down  '!#REF!</definedName>
    <definedName name="Wash_down_water_closet_with_low_flush_cister" localSheetId="5">'[1]Break Down  '!#REF!</definedName>
    <definedName name="Wash_down_water_closet_with_low_flush_cister" localSheetId="3">'[2]Break Down  '!#REF!</definedName>
    <definedName name="Wash_down_water_closet_with_low_flush_cister" localSheetId="4">'[2]Break Down  '!#REF!</definedName>
    <definedName name="Wash_down_water_closet_with_low_flush_cister" localSheetId="48">'[2]Break Down  '!#REF!</definedName>
    <definedName name="Wash_down_water_closet_with_low_flush_cister" localSheetId="47">'[2]Break Down  '!#REF!</definedName>
    <definedName name="Wash_down_water_closet_with_low_flush_cister" localSheetId="52">'[1]Break Down  '!#REF!</definedName>
    <definedName name="Wash_down_water_closet_with_low_flush_cister" localSheetId="58">'[2]Break Down  '!#REF!</definedName>
    <definedName name="Wash_down_water_closet_with_low_flush_cister" localSheetId="59">'[2]Break Down  '!#REF!</definedName>
    <definedName name="Wash_down_water_closet_with_low_flush_cister" localSheetId="8">'[2]Break Down  '!#REF!</definedName>
    <definedName name="Wash_down_water_closet_with_low_flush_cister" localSheetId="17">'[2]Break Down  '!#REF!</definedName>
    <definedName name="Wash_down_water_closet_with_low_flush_cister" localSheetId="18">'[2]Break Down  '!#REF!</definedName>
    <definedName name="Wash_down_water_closet_with_low_flush_cister" localSheetId="63">'[2]Break Down  '!#REF!</definedName>
    <definedName name="Wash_down_water_closet_with_low_flush_cister" localSheetId="13">'[2]Break Down  '!#REF!</definedName>
    <definedName name="Wash_down_water_closet_with_low_flush_cister" localSheetId="12">'[2]Break Down  '!#REF!</definedName>
    <definedName name="Wash_down_water_closet_with_low_flush_cister" localSheetId="41">'[2]Break Down  '!#REF!</definedName>
    <definedName name="Wash_down_water_closet_with_low_flush_cister" localSheetId="42">'[2]Break Down  '!#REF!</definedName>
    <definedName name="Wash_down_water_closet_with_low_flush_cister" localSheetId="65">'[2]Break Down  '!#REF!</definedName>
    <definedName name="Wash_down_water_closet_with_low_flush_cister" localSheetId="25">'[2]Break Down  '!#REF!</definedName>
    <definedName name="Wash_down_water_closet_with_low_flush_cister" localSheetId="23">'[2]Break Down  '!#REF!</definedName>
    <definedName name="Wash_down_water_closet_with_low_flush_cister">'[1]Break Down  '!#REF!</definedName>
    <definedName name="we" localSheetId="30">[6]Sheet4!$B$6</definedName>
    <definedName name="we" localSheetId="29">[6]Sheet4!$B$6</definedName>
    <definedName name="we" localSheetId="35">[6]Sheet4!$B$6</definedName>
    <definedName name="we" localSheetId="34">[6]Sheet4!$B$6</definedName>
    <definedName name="we" localSheetId="22">[6]Sheet4!$B$6</definedName>
    <definedName name="we" localSheetId="24">[6]Sheet4!$B$6</definedName>
    <definedName name="we" localSheetId="39">[6]Sheet4!$B$6</definedName>
    <definedName name="we" localSheetId="40">[6]Sheet4!$B$6</definedName>
    <definedName name="we" localSheetId="53">[6]Sheet4!$B$6</definedName>
    <definedName name="we" localSheetId="54">[6]Sheet4!$B$6</definedName>
    <definedName name="we" localSheetId="3">[6]Sheet4!$B$6</definedName>
    <definedName name="we" localSheetId="4">[6]Sheet4!$B$6</definedName>
    <definedName name="we" localSheetId="48">[6]Sheet4!$B$6</definedName>
    <definedName name="we" localSheetId="47">[6]Sheet4!$B$6</definedName>
    <definedName name="we" localSheetId="58">[6]Sheet4!$B$6</definedName>
    <definedName name="we" localSheetId="59">[6]Sheet4!$B$6</definedName>
    <definedName name="we" localSheetId="8">[6]Sheet4!$B$6</definedName>
    <definedName name="we" localSheetId="17">[6]Sheet4!$B$6</definedName>
    <definedName name="we" localSheetId="18">[6]Sheet4!$B$6</definedName>
    <definedName name="we" localSheetId="63">[6]Sheet4!$B$6</definedName>
    <definedName name="we" localSheetId="13">[6]Sheet4!$B$6</definedName>
    <definedName name="we" localSheetId="12">[6]Sheet4!$B$6</definedName>
    <definedName name="we" localSheetId="41">[6]Sheet4!$B$6</definedName>
    <definedName name="we" localSheetId="42">[6]Sheet4!$B$6</definedName>
    <definedName name="we" localSheetId="65">[6]Sheet4!$B$6</definedName>
    <definedName name="we" localSheetId="25">[6]Sheet4!$B$6</definedName>
    <definedName name="we" localSheetId="23">[6]Sheet4!$B$6</definedName>
    <definedName name="we">[7]Sheet4!$B$6</definedName>
    <definedName name="wee" localSheetId="30">[10]Sheet1!$B$3</definedName>
    <definedName name="wee" localSheetId="29">[10]Sheet1!$B$3</definedName>
    <definedName name="wee" localSheetId="35">[10]Sheet1!$B$3</definedName>
    <definedName name="wee" localSheetId="34">[10]Sheet1!$B$3</definedName>
    <definedName name="wee" localSheetId="22">[10]Sheet1!$B$3</definedName>
    <definedName name="wee" localSheetId="24">[10]Sheet1!$B$3</definedName>
    <definedName name="wee" localSheetId="39">[10]Sheet1!$B$3</definedName>
    <definedName name="wee" localSheetId="40">[10]Sheet1!$B$3</definedName>
    <definedName name="wee" localSheetId="53">[10]Sheet1!$B$3</definedName>
    <definedName name="wee" localSheetId="54">[10]Sheet1!$B$3</definedName>
    <definedName name="wee" localSheetId="3">[10]Sheet1!$B$3</definedName>
    <definedName name="wee" localSheetId="4">[10]Sheet1!$B$3</definedName>
    <definedName name="wee" localSheetId="48">[10]Sheet1!$B$3</definedName>
    <definedName name="wee" localSheetId="47">[10]Sheet1!$B$3</definedName>
    <definedName name="wee" localSheetId="58">[10]Sheet1!$B$3</definedName>
    <definedName name="wee" localSheetId="59">[10]Sheet1!$B$3</definedName>
    <definedName name="wee" localSheetId="8">[10]Sheet1!$B$3</definedName>
    <definedName name="wee" localSheetId="17">[10]Sheet1!$B$3</definedName>
    <definedName name="wee" localSheetId="18">[10]Sheet1!$B$3</definedName>
    <definedName name="wee" localSheetId="63">[10]Sheet1!$B$3</definedName>
    <definedName name="wee" localSheetId="13">[10]Sheet1!$B$3</definedName>
    <definedName name="wee" localSheetId="12">[10]Sheet1!$B$3</definedName>
    <definedName name="wee" localSheetId="41">[10]Sheet1!$B$3</definedName>
    <definedName name="wee" localSheetId="42">[10]Sheet1!$B$3</definedName>
    <definedName name="wee" localSheetId="65">[10]Sheet1!$B$3</definedName>
    <definedName name="wee" localSheetId="25">[10]Sheet1!$B$3</definedName>
    <definedName name="wee" localSheetId="23">[10]Sheet1!$B$3</definedName>
    <definedName name="wee">[11]Sheet1!$B$3</definedName>
    <definedName name="Week" localSheetId="30">[18]Sheet2!$B$3</definedName>
    <definedName name="Week" localSheetId="29">[18]Sheet2!$B$3</definedName>
    <definedName name="Week" localSheetId="35">[18]Sheet2!$B$3</definedName>
    <definedName name="Week" localSheetId="34">[18]Sheet2!$B$3</definedName>
    <definedName name="Week" localSheetId="22">[18]Sheet2!$B$3</definedName>
    <definedName name="Week" localSheetId="24">[18]Sheet2!$B$3</definedName>
    <definedName name="Week" localSheetId="39">[18]Sheet2!$B$3</definedName>
    <definedName name="Week" localSheetId="40">[18]Sheet2!$B$3</definedName>
    <definedName name="Week" localSheetId="53">[18]Sheet2!$B$3</definedName>
    <definedName name="Week" localSheetId="54">[18]Sheet2!$B$3</definedName>
    <definedName name="Week" localSheetId="3">[18]Sheet2!$B$3</definedName>
    <definedName name="Week" localSheetId="4">[18]Sheet2!$B$3</definedName>
    <definedName name="Week" localSheetId="48">[18]Sheet2!$B$3</definedName>
    <definedName name="Week" localSheetId="47">[18]Sheet2!$B$3</definedName>
    <definedName name="Week" localSheetId="58">[18]Sheet2!$B$3</definedName>
    <definedName name="Week" localSheetId="59">[18]Sheet2!$B$3</definedName>
    <definedName name="Week" localSheetId="8">[18]Sheet2!$B$3</definedName>
    <definedName name="Week" localSheetId="17">[18]Sheet2!$B$3</definedName>
    <definedName name="Week" localSheetId="18">[18]Sheet2!$B$3</definedName>
    <definedName name="Week" localSheetId="63">[18]Sheet2!$B$3</definedName>
    <definedName name="Week" localSheetId="13">[18]Sheet2!$B$3</definedName>
    <definedName name="Week" localSheetId="12">[18]Sheet2!$B$3</definedName>
    <definedName name="Week" localSheetId="41">[18]Sheet2!$B$3</definedName>
    <definedName name="Week" localSheetId="42">[18]Sheet2!$B$3</definedName>
    <definedName name="Week" localSheetId="65">[18]Sheet2!$B$3</definedName>
    <definedName name="Week" localSheetId="25">[18]Sheet2!$B$3</definedName>
    <definedName name="Week" localSheetId="23">[18]Sheet2!$B$3</definedName>
    <definedName name="Week">[19]Sheet2!$B$3</definedName>
    <definedName name="wek" localSheetId="30">[4]Sheet4!$B$3</definedName>
    <definedName name="wek" localSheetId="29">[4]Sheet4!$B$3</definedName>
    <definedName name="wek" localSheetId="35">[4]Sheet4!$B$3</definedName>
    <definedName name="wek" localSheetId="34">[4]Sheet4!$B$3</definedName>
    <definedName name="wek" localSheetId="22">[4]Sheet4!$B$3</definedName>
    <definedName name="wek" localSheetId="24">[4]Sheet4!$B$3</definedName>
    <definedName name="wek" localSheetId="39">[4]Sheet4!$B$3</definedName>
    <definedName name="wek" localSheetId="40">[4]Sheet4!$B$3</definedName>
    <definedName name="wek" localSheetId="53">[4]Sheet4!$B$3</definedName>
    <definedName name="wek" localSheetId="54">[4]Sheet4!$B$3</definedName>
    <definedName name="wek" localSheetId="3">[4]Sheet4!$B$3</definedName>
    <definedName name="wek" localSheetId="4">[4]Sheet4!$B$3</definedName>
    <definedName name="wek" localSheetId="48">[4]Sheet4!$B$3</definedName>
    <definedName name="wek" localSheetId="47">[4]Sheet4!$B$3</definedName>
    <definedName name="wek" localSheetId="58">[4]Sheet4!$B$3</definedName>
    <definedName name="wek" localSheetId="59">[4]Sheet4!$B$3</definedName>
    <definedName name="wek" localSheetId="8">[4]Sheet4!$B$3</definedName>
    <definedName name="wek" localSheetId="17">[4]Sheet4!$B$3</definedName>
    <definedName name="wek" localSheetId="18">[4]Sheet4!$B$3</definedName>
    <definedName name="wek" localSheetId="63">[4]Sheet4!$B$3</definedName>
    <definedName name="wek" localSheetId="13">[4]Sheet4!$B$3</definedName>
    <definedName name="wek" localSheetId="12">[4]Sheet4!$B$3</definedName>
    <definedName name="wek" localSheetId="41">[4]Sheet4!$B$3</definedName>
    <definedName name="wek" localSheetId="42">[4]Sheet4!$B$3</definedName>
    <definedName name="wek" localSheetId="65">[4]Sheet4!$B$3</definedName>
    <definedName name="wek" localSheetId="25">[4]Sheet4!$B$3</definedName>
    <definedName name="wek" localSheetId="23">[4]Sheet4!$B$3</definedName>
    <definedName name="wek">[5]Sheet4!$B$3</definedName>
    <definedName name="WORK">[20]wa!$C$16:$I$17</definedName>
    <definedName name="WORK1">[20]wa!$C$16:$I$17</definedName>
    <definedName name="ye" localSheetId="30">[21]Sheet2!$B$2</definedName>
    <definedName name="ye" localSheetId="29">[21]Sheet2!$B$2</definedName>
    <definedName name="ye" localSheetId="35">[21]Sheet2!$B$2</definedName>
    <definedName name="ye" localSheetId="34">[21]Sheet2!$B$2</definedName>
    <definedName name="ye" localSheetId="22">[21]Sheet2!$B$2</definedName>
    <definedName name="ye" localSheetId="24">[21]Sheet2!$B$2</definedName>
    <definedName name="ye" localSheetId="39">[21]Sheet2!$B$2</definedName>
    <definedName name="ye" localSheetId="40">[21]Sheet2!$B$2</definedName>
    <definedName name="ye" localSheetId="53">[21]Sheet2!$B$2</definedName>
    <definedName name="ye" localSheetId="54">[21]Sheet2!$B$2</definedName>
    <definedName name="ye" localSheetId="3">[21]Sheet2!$B$2</definedName>
    <definedName name="ye" localSheetId="4">[21]Sheet2!$B$2</definedName>
    <definedName name="ye" localSheetId="48">[21]Sheet2!$B$2</definedName>
    <definedName name="ye" localSheetId="47">[21]Sheet2!$B$2</definedName>
    <definedName name="ye" localSheetId="58">[21]Sheet2!$B$2</definedName>
    <definedName name="ye" localSheetId="59">[21]Sheet2!$B$2</definedName>
    <definedName name="ye" localSheetId="8">[21]Sheet2!$B$2</definedName>
    <definedName name="ye" localSheetId="17">[21]Sheet2!$B$2</definedName>
    <definedName name="ye" localSheetId="18">[21]Sheet2!$B$2</definedName>
    <definedName name="ye" localSheetId="63">[21]Sheet2!$B$2</definedName>
    <definedName name="ye" localSheetId="13">[21]Sheet2!$B$2</definedName>
    <definedName name="ye" localSheetId="12">[21]Sheet2!$B$2</definedName>
    <definedName name="ye" localSheetId="41">[21]Sheet2!$B$2</definedName>
    <definedName name="ye" localSheetId="42">[21]Sheet2!$B$2</definedName>
    <definedName name="ye" localSheetId="65">[21]Sheet2!$B$2</definedName>
    <definedName name="ye" localSheetId="25">[21]Sheet2!$B$2</definedName>
    <definedName name="ye" localSheetId="23">[21]Sheet2!$B$2</definedName>
    <definedName name="ye">[22]Sheet2!$B$2</definedName>
    <definedName name="ytfiy" localSheetId="30">'[1]Break Down  '!#REF!</definedName>
    <definedName name="ytfiy" localSheetId="29">'[1]Break Down  '!#REF!</definedName>
    <definedName name="ytfiy" localSheetId="35">'[1]Break Down  '!#REF!</definedName>
    <definedName name="ytfiy" localSheetId="34">'[1]Break Down  '!#REF!</definedName>
    <definedName name="ytfiy" localSheetId="66">'[1]Break Down  '!#REF!</definedName>
    <definedName name="ytfiy" localSheetId="22">'[1]Break Down  '!#REF!</definedName>
    <definedName name="ytfiy" localSheetId="24">'[1]Break Down  '!#REF!</definedName>
    <definedName name="ytfiy" localSheetId="39">'[1]Break Down  '!#REF!</definedName>
    <definedName name="ytfiy" localSheetId="40">'[1]Break Down  '!#REF!</definedName>
    <definedName name="ytfiy" localSheetId="53">'[1]Break Down  '!#REF!</definedName>
    <definedName name="ytfiy" localSheetId="54">'[1]Break Down  '!#REF!</definedName>
    <definedName name="ytfiy" localSheetId="5">'[1]Break Down  '!#REF!</definedName>
    <definedName name="ytfiy" localSheetId="3">'[1]Break Down  '!#REF!</definedName>
    <definedName name="ytfiy" localSheetId="48">'[1]Break Down  '!#REF!</definedName>
    <definedName name="ytfiy" localSheetId="47">'[1]Break Down  '!#REF!</definedName>
    <definedName name="ytfiy" localSheetId="52">'[1]Break Down  '!#REF!</definedName>
    <definedName name="ytfiy" localSheetId="58">'[1]Break Down  '!#REF!</definedName>
    <definedName name="ytfiy" localSheetId="59">'[1]Break Down  '!#REF!</definedName>
    <definedName name="ytfiy" localSheetId="8">'[1]Break Down  '!#REF!</definedName>
    <definedName name="ytfiy" localSheetId="17">'[1]Break Down  '!#REF!</definedName>
    <definedName name="ytfiy" localSheetId="18">'[1]Break Down  '!#REF!</definedName>
    <definedName name="ytfiy" localSheetId="63">'[1]Break Down  '!#REF!</definedName>
    <definedName name="ytfiy" localSheetId="13">'[1]Break Down  '!#REF!</definedName>
    <definedName name="ytfiy" localSheetId="12">'[1]Break Down  '!#REF!</definedName>
    <definedName name="ytfiy" localSheetId="41">'[1]Break Down  '!#REF!</definedName>
    <definedName name="ytfiy" localSheetId="42">'[1]Break Down  '!#REF!</definedName>
    <definedName name="ytfiy" localSheetId="65">'[1]Break Down  '!#REF!</definedName>
    <definedName name="ytfiy" localSheetId="25">'[1]Break Down  '!#REF!</definedName>
    <definedName name="ytfiy" localSheetId="23">'[1]Break Down  '!#REF!</definedName>
    <definedName name="ytfiy">'[1]Break Down  '!#REF!</definedName>
    <definedName name="z" localSheetId="30">#REF!</definedName>
    <definedName name="z" localSheetId="29">#REF!</definedName>
    <definedName name="z" localSheetId="35">#REF!</definedName>
    <definedName name="z" localSheetId="34">#REF!</definedName>
    <definedName name="z" localSheetId="66">#REF!</definedName>
    <definedName name="z" localSheetId="22">#REF!</definedName>
    <definedName name="z" localSheetId="24">#REF!</definedName>
    <definedName name="z" localSheetId="39">#REF!</definedName>
    <definedName name="z" localSheetId="40">#REF!</definedName>
    <definedName name="z" localSheetId="53">#REF!</definedName>
    <definedName name="z" localSheetId="54">#REF!</definedName>
    <definedName name="z" localSheetId="5">#REF!</definedName>
    <definedName name="z" localSheetId="3">#REF!</definedName>
    <definedName name="z" localSheetId="48">#REF!</definedName>
    <definedName name="z" localSheetId="47">#REF!</definedName>
    <definedName name="z" localSheetId="52">#REF!</definedName>
    <definedName name="z" localSheetId="58">#REF!</definedName>
    <definedName name="z" localSheetId="59">#REF!</definedName>
    <definedName name="z" localSheetId="8">#REF!</definedName>
    <definedName name="z" localSheetId="17">#REF!</definedName>
    <definedName name="z" localSheetId="18">#REF!</definedName>
    <definedName name="z" localSheetId="63">#REF!</definedName>
    <definedName name="z" localSheetId="13">#REF!</definedName>
    <definedName name="z" localSheetId="12">#REF!</definedName>
    <definedName name="z" localSheetId="41">#REF!</definedName>
    <definedName name="z" localSheetId="42">#REF!</definedName>
    <definedName name="z" localSheetId="65">#REF!</definedName>
    <definedName name="z" localSheetId="25">#REF!</definedName>
    <definedName name="z" localSheetId="23">#REF!</definedName>
    <definedName name="z">#REF!</definedName>
  </definedNames>
  <calcPr calcId="145621"/>
</workbook>
</file>

<file path=xl/calcChain.xml><?xml version="1.0" encoding="utf-8"?>
<calcChain xmlns="http://schemas.openxmlformats.org/spreadsheetml/2006/main">
  <c r="E60" i="96" l="1"/>
  <c r="H31" i="61" l="1"/>
  <c r="H30" i="61"/>
  <c r="H24" i="61"/>
  <c r="H20" i="61"/>
  <c r="H19" i="61"/>
  <c r="H17" i="61"/>
  <c r="H14" i="61"/>
  <c r="H9" i="61"/>
  <c r="E12" i="123" l="1"/>
  <c r="C30" i="123" s="1"/>
  <c r="D31" i="123" s="1"/>
  <c r="E19" i="123"/>
  <c r="D33" i="123" s="1"/>
  <c r="H92" i="123"/>
  <c r="D92" i="123"/>
  <c r="H91" i="123"/>
  <c r="D91" i="123"/>
  <c r="H90" i="123"/>
  <c r="D90" i="123"/>
  <c r="H89" i="123"/>
  <c r="I93" i="123" s="1"/>
  <c r="D89" i="123"/>
  <c r="H88" i="123"/>
  <c r="D88" i="123"/>
  <c r="D87" i="123"/>
  <c r="D86" i="123"/>
  <c r="D85" i="123"/>
  <c r="D84" i="123"/>
  <c r="D83" i="123"/>
  <c r="E93" i="123" s="1"/>
  <c r="D82" i="123"/>
  <c r="D81" i="123"/>
  <c r="H80" i="123"/>
  <c r="H79" i="123"/>
  <c r="H78" i="123"/>
  <c r="I81" i="123" s="1"/>
  <c r="H73" i="123"/>
  <c r="H71" i="123"/>
  <c r="H69" i="123"/>
  <c r="H67" i="123"/>
  <c r="H51" i="123"/>
  <c r="H47" i="123"/>
  <c r="H43" i="123"/>
  <c r="H39" i="123"/>
  <c r="H32" i="123"/>
  <c r="I33" i="123" s="1"/>
  <c r="D26" i="123"/>
  <c r="E27" i="123" s="1"/>
  <c r="H20" i="123"/>
  <c r="H19" i="123"/>
  <c r="H18" i="123"/>
  <c r="D18" i="123"/>
  <c r="H17" i="123"/>
  <c r="D11" i="123"/>
  <c r="H10" i="123"/>
  <c r="I11" i="123" s="1"/>
  <c r="D47" i="123" l="1"/>
  <c r="I21" i="123"/>
  <c r="I50" i="123"/>
  <c r="D45" i="123"/>
  <c r="D35" i="123"/>
  <c r="D49" i="123"/>
  <c r="E50" i="123" l="1"/>
  <c r="E42" i="123"/>
  <c r="H47" i="96" l="1"/>
  <c r="I47" i="96" s="1"/>
  <c r="H46" i="96"/>
  <c r="H45" i="96"/>
  <c r="I45" i="96" s="1"/>
  <c r="D84" i="126"/>
  <c r="H42" i="96" s="1"/>
  <c r="I42" i="96" s="1"/>
  <c r="H41" i="96"/>
  <c r="I41" i="96" s="1"/>
  <c r="H28" i="96"/>
  <c r="I28" i="96" s="1"/>
  <c r="H26" i="96"/>
  <c r="I26" i="96" s="1"/>
  <c r="G35" i="96"/>
  <c r="G36" i="96"/>
  <c r="G38" i="96"/>
  <c r="G39" i="96"/>
  <c r="G40" i="96"/>
  <c r="G41" i="96"/>
  <c r="G42" i="96"/>
  <c r="G43" i="96"/>
  <c r="I46" i="96"/>
  <c r="G27" i="96"/>
  <c r="G28" i="96"/>
  <c r="G29" i="96"/>
  <c r="G30" i="96"/>
  <c r="G31" i="96"/>
  <c r="G32" i="96"/>
  <c r="G33" i="96"/>
  <c r="G34" i="96"/>
  <c r="G45" i="96"/>
  <c r="G46" i="96"/>
  <c r="G47" i="96"/>
  <c r="G26" i="96"/>
  <c r="G14" i="127"/>
  <c r="H14" i="127"/>
  <c r="I14" i="127"/>
  <c r="J14" i="127"/>
  <c r="K14" i="127"/>
  <c r="G15" i="127"/>
  <c r="H15" i="127"/>
  <c r="I15" i="127"/>
  <c r="J15" i="127"/>
  <c r="K15" i="127"/>
  <c r="G16" i="127"/>
  <c r="H16" i="127"/>
  <c r="I16" i="127"/>
  <c r="J16" i="127"/>
  <c r="K16" i="127"/>
  <c r="K26" i="127"/>
  <c r="J26" i="127"/>
  <c r="I26" i="127"/>
  <c r="H26" i="127"/>
  <c r="G26" i="127"/>
  <c r="K25" i="127"/>
  <c r="J25" i="127"/>
  <c r="I25" i="127"/>
  <c r="H25" i="127"/>
  <c r="G25" i="127"/>
  <c r="K24" i="127"/>
  <c r="J24" i="127"/>
  <c r="I24" i="127"/>
  <c r="H24" i="127"/>
  <c r="G24" i="127"/>
  <c r="K23" i="127"/>
  <c r="J23" i="127"/>
  <c r="I23" i="127"/>
  <c r="H23" i="127"/>
  <c r="G23" i="127"/>
  <c r="K22" i="127"/>
  <c r="J22" i="127"/>
  <c r="I22" i="127"/>
  <c r="H22" i="127"/>
  <c r="G22" i="127"/>
  <c r="K21" i="127"/>
  <c r="J21" i="127"/>
  <c r="I21" i="127"/>
  <c r="H21" i="127"/>
  <c r="G21" i="127"/>
  <c r="K20" i="127"/>
  <c r="J20" i="127"/>
  <c r="I20" i="127"/>
  <c r="H20" i="127"/>
  <c r="G20" i="127"/>
  <c r="K19" i="127"/>
  <c r="J19" i="127"/>
  <c r="I19" i="127"/>
  <c r="H19" i="127"/>
  <c r="G19" i="127"/>
  <c r="K18" i="127"/>
  <c r="J18" i="127"/>
  <c r="I18" i="127"/>
  <c r="H18" i="127"/>
  <c r="G18" i="127"/>
  <c r="K17" i="127"/>
  <c r="J17" i="127"/>
  <c r="I17" i="127"/>
  <c r="H17" i="127"/>
  <c r="G17" i="127"/>
  <c r="K13" i="127"/>
  <c r="J13" i="127"/>
  <c r="I13" i="127"/>
  <c r="H13" i="127"/>
  <c r="G13" i="127"/>
  <c r="K12" i="127"/>
  <c r="J12" i="127"/>
  <c r="I12" i="127"/>
  <c r="H12" i="127"/>
  <c r="G12" i="127"/>
  <c r="K11" i="127"/>
  <c r="J11" i="127"/>
  <c r="I11" i="127"/>
  <c r="H11" i="127"/>
  <c r="G11" i="127"/>
  <c r="K10" i="127"/>
  <c r="J10" i="127"/>
  <c r="I10" i="127"/>
  <c r="H10" i="127"/>
  <c r="G10" i="127"/>
  <c r="K9" i="127"/>
  <c r="J9" i="127"/>
  <c r="I9" i="127"/>
  <c r="H9" i="127"/>
  <c r="G9" i="127"/>
  <c r="K8" i="127"/>
  <c r="J8" i="127"/>
  <c r="I8" i="127"/>
  <c r="H8" i="127"/>
  <c r="G8" i="127"/>
  <c r="D89" i="126"/>
  <c r="H43" i="96" s="1"/>
  <c r="I43" i="96" s="1"/>
  <c r="D79" i="126"/>
  <c r="D74" i="126"/>
  <c r="H40" i="96" s="1"/>
  <c r="I40" i="96" s="1"/>
  <c r="D67" i="126"/>
  <c r="H61" i="126"/>
  <c r="H58" i="126"/>
  <c r="H55" i="126"/>
  <c r="H52" i="126"/>
  <c r="D69" i="126" s="1"/>
  <c r="H39" i="96" s="1"/>
  <c r="I39" i="96" s="1"/>
  <c r="H48" i="126"/>
  <c r="H38" i="96" s="1"/>
  <c r="I38" i="96" s="1"/>
  <c r="H42" i="126"/>
  <c r="H36" i="96" s="1"/>
  <c r="I36" i="96" s="1"/>
  <c r="H36" i="126"/>
  <c r="H35" i="96" s="1"/>
  <c r="I35" i="96" s="1"/>
  <c r="H30" i="126"/>
  <c r="H34" i="96" s="1"/>
  <c r="I34" i="96" s="1"/>
  <c r="H24" i="126"/>
  <c r="H33" i="96" s="1"/>
  <c r="I33" i="96" s="1"/>
  <c r="H18" i="126"/>
  <c r="H32" i="96" s="1"/>
  <c r="I32" i="96" s="1"/>
  <c r="H12" i="126"/>
  <c r="H31" i="96" s="1"/>
  <c r="I31" i="96" s="1"/>
  <c r="D61" i="126"/>
  <c r="D58" i="126"/>
  <c r="D63" i="126" s="1"/>
  <c r="H30" i="96" s="1"/>
  <c r="I30" i="96" s="1"/>
  <c r="D38" i="126"/>
  <c r="C50" i="126" s="1"/>
  <c r="D51" i="126" s="1"/>
  <c r="D32" i="126"/>
  <c r="D44" i="126" s="1"/>
  <c r="G11" i="96"/>
  <c r="I181" i="96"/>
  <c r="I180" i="96"/>
  <c r="I179" i="96"/>
  <c r="I178" i="96"/>
  <c r="I173" i="96"/>
  <c r="I170" i="96"/>
  <c r="I169" i="96"/>
  <c r="I168" i="96"/>
  <c r="I167" i="96"/>
  <c r="I166" i="96"/>
  <c r="I163" i="96"/>
  <c r="I158" i="96"/>
  <c r="I156" i="96"/>
  <c r="I155" i="96"/>
  <c r="I154" i="96"/>
  <c r="I153" i="96"/>
  <c r="I147" i="96"/>
  <c r="I140" i="96"/>
  <c r="I139" i="96"/>
  <c r="I138" i="96"/>
  <c r="I137" i="96"/>
  <c r="I136" i="96"/>
  <c r="I135" i="96"/>
  <c r="I134" i="96"/>
  <c r="I133" i="96"/>
  <c r="I132" i="96"/>
  <c r="I131" i="96"/>
  <c r="I130" i="96"/>
  <c r="I129" i="96"/>
  <c r="I128" i="96"/>
  <c r="I127" i="96"/>
  <c r="I119" i="96"/>
  <c r="I118" i="96"/>
  <c r="I117" i="96"/>
  <c r="I116" i="96"/>
  <c r="I115" i="96"/>
  <c r="I114" i="96"/>
  <c r="I113" i="96"/>
  <c r="I105" i="96"/>
  <c r="I101" i="96"/>
  <c r="I84" i="96"/>
  <c r="I83" i="96"/>
  <c r="I81" i="96"/>
  <c r="I79" i="96"/>
  <c r="I78" i="96"/>
  <c r="I77" i="96"/>
  <c r="I76" i="96"/>
  <c r="I74" i="96"/>
  <c r="I66" i="96"/>
  <c r="I65" i="96"/>
  <c r="I64" i="96"/>
  <c r="I63" i="96"/>
  <c r="I62" i="96"/>
  <c r="I61" i="96"/>
  <c r="I57" i="96"/>
  <c r="I9" i="96"/>
  <c r="I12" i="96"/>
  <c r="I13" i="96"/>
  <c r="I14" i="96"/>
  <c r="I15" i="96"/>
  <c r="I16" i="96"/>
  <c r="I18" i="96"/>
  <c r="I19" i="96"/>
  <c r="I20" i="96"/>
  <c r="I21" i="96"/>
  <c r="D23" i="126"/>
  <c r="D19" i="126"/>
  <c r="D15" i="126"/>
  <c r="D11" i="126"/>
  <c r="H27" i="96" l="1"/>
  <c r="I27" i="96" s="1"/>
  <c r="H28" i="127"/>
  <c r="H30" i="127" s="1"/>
  <c r="J28" i="127"/>
  <c r="J30" i="127" s="1"/>
  <c r="I28" i="127"/>
  <c r="I30" i="127" s="1"/>
  <c r="G28" i="127"/>
  <c r="G30" i="127" s="1"/>
  <c r="K28" i="127"/>
  <c r="K30" i="127" s="1"/>
  <c r="D25" i="126"/>
  <c r="H11" i="96" s="1"/>
  <c r="I11" i="96" s="1"/>
  <c r="C47" i="126"/>
  <c r="D48" i="126" s="1"/>
  <c r="D53" i="126" s="1"/>
  <c r="H29" i="96" s="1"/>
  <c r="I29" i="96" s="1"/>
  <c r="H75" i="126" l="1"/>
  <c r="H72" i="126"/>
  <c r="H69" i="126"/>
  <c r="I1" i="126"/>
  <c r="H77" i="126" l="1"/>
  <c r="C35" i="125"/>
  <c r="D36" i="125"/>
  <c r="H68" i="96" s="1"/>
  <c r="I68" i="96" s="1"/>
  <c r="D32" i="125"/>
  <c r="H67" i="96" s="1"/>
  <c r="I67" i="96" s="1"/>
  <c r="C324" i="85" l="1"/>
  <c r="D324" i="85" s="1"/>
  <c r="C322" i="85"/>
  <c r="D322" i="85" s="1"/>
  <c r="C320" i="85"/>
  <c r="D320" i="85" s="1"/>
  <c r="C318" i="85"/>
  <c r="C317" i="85"/>
  <c r="D318" i="85" s="1"/>
  <c r="C315" i="85"/>
  <c r="C314" i="85"/>
  <c r="D315" i="85" s="1"/>
  <c r="C312" i="85"/>
  <c r="D312" i="85" s="1"/>
  <c r="C311" i="85"/>
  <c r="F101" i="54"/>
  <c r="F102" i="54"/>
  <c r="F100" i="54"/>
  <c r="C481" i="78"/>
  <c r="C478" i="78"/>
  <c r="C491" i="78"/>
  <c r="C488" i="78"/>
  <c r="C485" i="78"/>
  <c r="C482" i="78"/>
  <c r="C479" i="78"/>
  <c r="C476" i="78"/>
  <c r="C475" i="78"/>
  <c r="H77" i="119"/>
  <c r="C475" i="79"/>
  <c r="C472" i="79"/>
  <c r="D476" i="79"/>
  <c r="C476" i="79"/>
  <c r="C473" i="79"/>
  <c r="D473" i="79" s="1"/>
  <c r="C470" i="79"/>
  <c r="C469" i="79"/>
  <c r="D470" i="79" s="1"/>
  <c r="C466" i="79"/>
  <c r="C467" i="79"/>
  <c r="C464" i="79"/>
  <c r="C463" i="79"/>
  <c r="H274" i="125"/>
  <c r="H276" i="125" s="1"/>
  <c r="H177" i="96" s="1"/>
  <c r="I177" i="96" s="1"/>
  <c r="H250" i="125"/>
  <c r="H268" i="125"/>
  <c r="H270" i="125" s="1"/>
  <c r="H176" i="96" s="1"/>
  <c r="I176" i="96" s="1"/>
  <c r="G261" i="125"/>
  <c r="H262" i="125" s="1"/>
  <c r="H264" i="125" s="1"/>
  <c r="H175" i="96" s="1"/>
  <c r="I175" i="96" s="1"/>
  <c r="D34" i="124"/>
  <c r="D18" i="124"/>
  <c r="D96" i="122"/>
  <c r="D93" i="122"/>
  <c r="H34" i="122"/>
  <c r="H36" i="122" s="1"/>
  <c r="H10" i="122"/>
  <c r="D57" i="122"/>
  <c r="D50" i="122"/>
  <c r="D46" i="122"/>
  <c r="D39" i="122"/>
  <c r="G21" i="99"/>
  <c r="G20" i="99"/>
  <c r="H22" i="99" s="1"/>
  <c r="D326" i="85" l="1"/>
  <c r="D52" i="122"/>
  <c r="D98" i="122"/>
  <c r="H37" i="112" l="1"/>
  <c r="D36" i="112"/>
  <c r="D40" i="112"/>
  <c r="D44" i="112"/>
  <c r="D48" i="112"/>
  <c r="D52" i="112"/>
  <c r="D56" i="112"/>
  <c r="D60" i="112"/>
  <c r="D64" i="112"/>
  <c r="D68" i="112"/>
  <c r="H53" i="112"/>
  <c r="H57" i="112"/>
  <c r="H61" i="112"/>
  <c r="H65" i="112"/>
  <c r="H49" i="112"/>
  <c r="H45" i="112"/>
  <c r="H41" i="112"/>
  <c r="H33" i="112"/>
  <c r="H29" i="112"/>
  <c r="H25" i="112"/>
  <c r="H21" i="112"/>
  <c r="H17" i="112"/>
  <c r="H13" i="112"/>
  <c r="H9" i="112"/>
  <c r="D32" i="112"/>
  <c r="D28" i="112"/>
  <c r="D24" i="112"/>
  <c r="G13" i="67" l="1"/>
  <c r="F96" i="62"/>
  <c r="F97" i="62"/>
  <c r="F95" i="62"/>
  <c r="F97" i="57"/>
  <c r="F98" i="57"/>
  <c r="F96" i="57"/>
  <c r="I19" i="54"/>
  <c r="I22" i="54"/>
  <c r="I23" i="54"/>
  <c r="I28" i="54"/>
  <c r="G147" i="96"/>
  <c r="G146" i="96"/>
  <c r="G145" i="96"/>
  <c r="G144" i="96"/>
  <c r="K148" i="96"/>
  <c r="K69" i="96"/>
  <c r="G112" i="96"/>
  <c r="G148" i="96" l="1"/>
  <c r="G67" i="96" l="1"/>
  <c r="G68" i="96"/>
  <c r="G66" i="96" l="1"/>
  <c r="G65" i="96"/>
  <c r="G64" i="96"/>
  <c r="G63" i="96"/>
  <c r="G62" i="96"/>
  <c r="G60" i="96"/>
  <c r="G59" i="96"/>
  <c r="G58" i="96"/>
  <c r="G57" i="96"/>
  <c r="H171" i="96" l="1"/>
  <c r="I171" i="96" s="1"/>
  <c r="D260" i="125"/>
  <c r="H144" i="96" s="1"/>
  <c r="I144" i="96" s="1"/>
  <c r="D265" i="125"/>
  <c r="H145" i="96" s="1"/>
  <c r="I145" i="96" s="1"/>
  <c r="D250" i="125"/>
  <c r="H125" i="96" s="1"/>
  <c r="I125" i="96" s="1"/>
  <c r="D245" i="125"/>
  <c r="H124" i="96" s="1"/>
  <c r="I124" i="96" s="1"/>
  <c r="H237" i="125"/>
  <c r="H123" i="96" s="1"/>
  <c r="I123" i="96" s="1"/>
  <c r="D239" i="125"/>
  <c r="H102" i="96" s="1"/>
  <c r="I102" i="96" s="1"/>
  <c r="H208" i="125"/>
  <c r="H103" i="96" s="1"/>
  <c r="I103" i="96" s="1"/>
  <c r="D209" i="125"/>
  <c r="D206" i="125"/>
  <c r="D203" i="125"/>
  <c r="D200" i="125"/>
  <c r="D185" i="125"/>
  <c r="D197" i="125"/>
  <c r="H177" i="125"/>
  <c r="D194" i="125"/>
  <c r="H173" i="125"/>
  <c r="D191" i="125"/>
  <c r="H169" i="125"/>
  <c r="H165" i="125"/>
  <c r="H161" i="125"/>
  <c r="H157" i="125"/>
  <c r="D176" i="125"/>
  <c r="D172" i="125"/>
  <c r="D168" i="125"/>
  <c r="F144" i="125"/>
  <c r="H146" i="125" s="1"/>
  <c r="F140" i="125"/>
  <c r="H142" i="125" s="1"/>
  <c r="B158" i="125"/>
  <c r="D160" i="125" s="1"/>
  <c r="H138" i="125"/>
  <c r="D156" i="125"/>
  <c r="H134" i="125"/>
  <c r="D152" i="125"/>
  <c r="H130" i="125"/>
  <c r="D148" i="125"/>
  <c r="H126" i="125"/>
  <c r="D144" i="125"/>
  <c r="D180" i="125"/>
  <c r="D140" i="125"/>
  <c r="D136" i="125"/>
  <c r="H108" i="125"/>
  <c r="D132" i="125"/>
  <c r="H104" i="125"/>
  <c r="D128" i="125"/>
  <c r="H100" i="125"/>
  <c r="H96" i="125"/>
  <c r="H120" i="125"/>
  <c r="G91" i="125"/>
  <c r="H92" i="125" s="1"/>
  <c r="G87" i="125"/>
  <c r="H88" i="125" s="1"/>
  <c r="F114" i="125"/>
  <c r="H116" i="125" s="1"/>
  <c r="H112" i="125"/>
  <c r="D84" i="125"/>
  <c r="D82" i="125"/>
  <c r="D77" i="125"/>
  <c r="C73" i="125"/>
  <c r="D74" i="125" s="1"/>
  <c r="D71" i="125"/>
  <c r="D68" i="125"/>
  <c r="D120" i="125"/>
  <c r="H89" i="96" s="1"/>
  <c r="I89" i="96" s="1"/>
  <c r="D114" i="125"/>
  <c r="H88" i="96" s="1"/>
  <c r="I88" i="96" s="1"/>
  <c r="D109" i="125"/>
  <c r="H87" i="96" s="1"/>
  <c r="I87" i="96" s="1"/>
  <c r="D104" i="125"/>
  <c r="D96" i="125"/>
  <c r="D99" i="125" l="1"/>
  <c r="H86" i="96" s="1"/>
  <c r="I86" i="96" s="1"/>
  <c r="H85" i="96"/>
  <c r="I85" i="96" s="1"/>
  <c r="D254" i="125"/>
  <c r="H126" i="96" s="1"/>
  <c r="I126" i="96" s="1"/>
  <c r="D162" i="125"/>
  <c r="H96" i="96" s="1"/>
  <c r="I96" i="96" s="1"/>
  <c r="D269" i="125"/>
  <c r="H146" i="96" s="1"/>
  <c r="D187" i="125"/>
  <c r="H99" i="96" s="1"/>
  <c r="I99" i="96" s="1"/>
  <c r="D211" i="125"/>
  <c r="H100" i="96" s="1"/>
  <c r="I100" i="96" s="1"/>
  <c r="H148" i="125"/>
  <c r="H97" i="96" s="1"/>
  <c r="I97" i="96" s="1"/>
  <c r="H122" i="125"/>
  <c r="D88" i="125"/>
  <c r="H82" i="96" s="1"/>
  <c r="I82" i="96" s="1"/>
  <c r="D79" i="125"/>
  <c r="H80" i="96" s="1"/>
  <c r="I80" i="96" s="1"/>
  <c r="H59" i="125"/>
  <c r="H56" i="125"/>
  <c r="H53" i="125"/>
  <c r="H50" i="125"/>
  <c r="H47" i="125"/>
  <c r="H44" i="125"/>
  <c r="H41" i="125"/>
  <c r="H38" i="125"/>
  <c r="H35" i="125"/>
  <c r="H32" i="125"/>
  <c r="D299" i="125"/>
  <c r="H161" i="96" s="1"/>
  <c r="I161" i="96" s="1"/>
  <c r="D294" i="125"/>
  <c r="H160" i="96" s="1"/>
  <c r="I160" i="96" s="1"/>
  <c r="D288" i="125"/>
  <c r="H159" i="96" s="1"/>
  <c r="I159" i="96" s="1"/>
  <c r="H258" i="125"/>
  <c r="H174" i="96" s="1"/>
  <c r="I174" i="96" s="1"/>
  <c r="D282" i="125"/>
  <c r="H157" i="96" s="1"/>
  <c r="I157" i="96" s="1"/>
  <c r="H254" i="125"/>
  <c r="H172" i="96" s="1"/>
  <c r="I172" i="96" s="1"/>
  <c r="H245" i="125"/>
  <c r="H162" i="96" s="1"/>
  <c r="I162" i="96" s="1"/>
  <c r="D277" i="125"/>
  <c r="H152" i="96" s="1"/>
  <c r="I152" i="96" s="1"/>
  <c r="H69" i="125"/>
  <c r="H90" i="96" s="1"/>
  <c r="I90" i="96" s="1"/>
  <c r="D60" i="125"/>
  <c r="D57" i="125"/>
  <c r="H21" i="125"/>
  <c r="H17" i="125"/>
  <c r="D53" i="125"/>
  <c r="H13" i="125"/>
  <c r="D49" i="125"/>
  <c r="H9" i="125"/>
  <c r="D45" i="125"/>
  <c r="D63" i="125"/>
  <c r="H79" i="125"/>
  <c r="D27" i="125"/>
  <c r="H59" i="96" s="1"/>
  <c r="I59" i="96" s="1"/>
  <c r="H76" i="125"/>
  <c r="H73" i="125"/>
  <c r="D24" i="125"/>
  <c r="H58" i="96" s="1"/>
  <c r="I58" i="96" s="1"/>
  <c r="D18" i="125"/>
  <c r="H52" i="96" s="1"/>
  <c r="I52" i="96" s="1"/>
  <c r="H226" i="125"/>
  <c r="D14" i="125"/>
  <c r="H51" i="96" s="1"/>
  <c r="I51" i="96" s="1"/>
  <c r="H221" i="125"/>
  <c r="H110" i="96" s="1"/>
  <c r="I110" i="96" s="1"/>
  <c r="H216" i="125"/>
  <c r="H109" i="96" s="1"/>
  <c r="I109" i="96" s="1"/>
  <c r="D10" i="125"/>
  <c r="H49" i="96" s="1"/>
  <c r="I49" i="96" s="1"/>
  <c r="I1" i="125"/>
  <c r="H47" i="124"/>
  <c r="H44" i="124"/>
  <c r="H38" i="124"/>
  <c r="H35" i="124"/>
  <c r="H32" i="124"/>
  <c r="H29" i="124"/>
  <c r="H22" i="124"/>
  <c r="H18" i="124"/>
  <c r="H11" i="124"/>
  <c r="G19" i="67" s="1"/>
  <c r="D57" i="124"/>
  <c r="D54" i="124"/>
  <c r="I146" i="96" l="1"/>
  <c r="I148" i="96" s="1"/>
  <c r="E23" i="95" s="1"/>
  <c r="H60" i="96"/>
  <c r="H152" i="125"/>
  <c r="H98" i="96" s="1"/>
  <c r="I98" i="96" s="1"/>
  <c r="H95" i="96"/>
  <c r="I95" i="96" s="1"/>
  <c r="H111" i="96"/>
  <c r="I111" i="96" s="1"/>
  <c r="H230" i="125"/>
  <c r="H112" i="96" s="1"/>
  <c r="I112" i="96" s="1"/>
  <c r="H61" i="125"/>
  <c r="H75" i="96" s="1"/>
  <c r="I75" i="96" s="1"/>
  <c r="H23" i="125"/>
  <c r="H81" i="125"/>
  <c r="H91" i="96" s="1"/>
  <c r="I91" i="96" s="1"/>
  <c r="H24" i="124"/>
  <c r="G20" i="67" s="1"/>
  <c r="H49" i="124"/>
  <c r="G33" i="67" s="1"/>
  <c r="H40" i="124"/>
  <c r="G24" i="67" s="1"/>
  <c r="D59" i="124"/>
  <c r="G17" i="67" s="1"/>
  <c r="I60" i="96" l="1"/>
  <c r="I69" i="96" s="1"/>
  <c r="E18" i="95" s="1"/>
  <c r="H27" i="125"/>
  <c r="H73" i="96" s="1"/>
  <c r="I73" i="96" s="1"/>
  <c r="H72" i="96"/>
  <c r="I72" i="96" s="1"/>
  <c r="D27" i="124"/>
  <c r="D23" i="124"/>
  <c r="D47" i="124"/>
  <c r="G14" i="67" s="1"/>
  <c r="D13" i="124"/>
  <c r="G9" i="67" s="1"/>
  <c r="D39" i="124"/>
  <c r="D43" i="124" s="1"/>
  <c r="G12" i="67"/>
  <c r="J106" i="124"/>
  <c r="I1" i="124"/>
  <c r="G32" i="60"/>
  <c r="H74" i="122"/>
  <c r="H70" i="122"/>
  <c r="D86" i="122"/>
  <c r="D83" i="122"/>
  <c r="D80" i="122"/>
  <c r="D73" i="122"/>
  <c r="D69" i="122"/>
  <c r="H85" i="122"/>
  <c r="H28" i="122"/>
  <c r="H81" i="122"/>
  <c r="H25" i="122"/>
  <c r="H20" i="122"/>
  <c r="H16" i="122"/>
  <c r="H13" i="61" s="1"/>
  <c r="D35" i="122"/>
  <c r="D41" i="122" s="1"/>
  <c r="D59" i="122" s="1"/>
  <c r="H12" i="61" s="1"/>
  <c r="D27" i="122"/>
  <c r="D23" i="122"/>
  <c r="D19" i="122"/>
  <c r="D12" i="122"/>
  <c r="D14" i="122" s="1"/>
  <c r="D29" i="124" l="1"/>
  <c r="G11" i="67" s="1"/>
  <c r="H76" i="122"/>
  <c r="H34" i="61" s="1"/>
  <c r="H30" i="122"/>
  <c r="D88" i="122"/>
  <c r="H87" i="122"/>
  <c r="H35" i="61" s="1"/>
  <c r="D75" i="122"/>
  <c r="D29" i="122"/>
  <c r="H11" i="61" s="1"/>
  <c r="G10" i="67" l="1"/>
  <c r="J106" i="123"/>
  <c r="J106" i="122"/>
  <c r="I1" i="122"/>
  <c r="J106" i="121"/>
  <c r="I1" i="121"/>
  <c r="D88" i="120"/>
  <c r="H94" i="120"/>
  <c r="H89" i="120"/>
  <c r="H84" i="120"/>
  <c r="H80" i="120"/>
  <c r="D76" i="120"/>
  <c r="D73" i="120"/>
  <c r="H72" i="120"/>
  <c r="D68" i="120"/>
  <c r="H69" i="120"/>
  <c r="H52" i="120"/>
  <c r="H49" i="120"/>
  <c r="H42" i="120"/>
  <c r="D101" i="120"/>
  <c r="H39" i="120"/>
  <c r="D98" i="120"/>
  <c r="H35" i="120"/>
  <c r="D95" i="120"/>
  <c r="D84" i="120"/>
  <c r="D90" i="120" s="1"/>
  <c r="H22" i="62" s="1"/>
  <c r="H26" i="120"/>
  <c r="H19" i="120"/>
  <c r="H15" i="120"/>
  <c r="H10" i="120"/>
  <c r="D60" i="120"/>
  <c r="D55" i="120"/>
  <c r="E49" i="120"/>
  <c r="D49" i="120"/>
  <c r="D45" i="120"/>
  <c r="D37" i="120"/>
  <c r="D33" i="120"/>
  <c r="D39" i="120" s="1"/>
  <c r="H12" i="62" s="1"/>
  <c r="D26" i="120"/>
  <c r="D22" i="120"/>
  <c r="D17" i="120"/>
  <c r="D12" i="120"/>
  <c r="H10" i="62" s="1"/>
  <c r="J106" i="120"/>
  <c r="H86" i="117"/>
  <c r="H81" i="117"/>
  <c r="H28" i="120" l="1"/>
  <c r="H74" i="120"/>
  <c r="H54" i="120"/>
  <c r="H19" i="62" s="1"/>
  <c r="H95" i="120"/>
  <c r="H34" i="62" s="1"/>
  <c r="H85" i="120"/>
  <c r="D103" i="120"/>
  <c r="H24" i="62" s="1"/>
  <c r="D78" i="120"/>
  <c r="H21" i="62" s="1"/>
  <c r="H44" i="120"/>
  <c r="H16" i="62" s="1"/>
  <c r="H21" i="120"/>
  <c r="H13" i="62" s="1"/>
  <c r="D28" i="120"/>
  <c r="D62" i="120"/>
  <c r="H88" i="117"/>
  <c r="H14" i="62" l="1"/>
  <c r="H29" i="120"/>
  <c r="H99" i="120"/>
  <c r="H33" i="62" s="1"/>
  <c r="H27" i="120"/>
  <c r="H30" i="120" s="1"/>
  <c r="H15" i="62" s="1"/>
  <c r="H11" i="62"/>
  <c r="H33" i="59"/>
  <c r="G110" i="69" l="1"/>
  <c r="G95" i="69"/>
  <c r="G62" i="69"/>
  <c r="F102" i="69" l="1"/>
  <c r="F103" i="69"/>
  <c r="F101" i="69"/>
  <c r="F99" i="119"/>
  <c r="F100" i="119"/>
  <c r="G100" i="119" s="1"/>
  <c r="F98" i="119"/>
  <c r="H44" i="119"/>
  <c r="I44" i="119" s="1"/>
  <c r="I133" i="119"/>
  <c r="G133" i="119"/>
  <c r="I132" i="119"/>
  <c r="G132" i="119"/>
  <c r="I131" i="119"/>
  <c r="G131" i="119"/>
  <c r="I130" i="119"/>
  <c r="G130" i="119"/>
  <c r="G129" i="119"/>
  <c r="I127" i="119"/>
  <c r="G127" i="119"/>
  <c r="G126" i="119"/>
  <c r="I124" i="119"/>
  <c r="G124" i="119"/>
  <c r="I123" i="119"/>
  <c r="G123" i="119"/>
  <c r="G122" i="119"/>
  <c r="I120" i="119"/>
  <c r="G120" i="119"/>
  <c r="I119" i="119"/>
  <c r="G119" i="119"/>
  <c r="G118" i="119"/>
  <c r="G116" i="119"/>
  <c r="G115" i="119"/>
  <c r="G114" i="119"/>
  <c r="G112" i="119"/>
  <c r="G108" i="119"/>
  <c r="G107" i="119"/>
  <c r="G106" i="119"/>
  <c r="I105" i="119"/>
  <c r="G105" i="119"/>
  <c r="I104" i="119"/>
  <c r="G104" i="119"/>
  <c r="G99" i="119"/>
  <c r="I95" i="119"/>
  <c r="G95" i="119"/>
  <c r="G94" i="119"/>
  <c r="G93" i="119"/>
  <c r="I92" i="119"/>
  <c r="G92" i="119"/>
  <c r="I91" i="119"/>
  <c r="G91" i="119"/>
  <c r="G90" i="119"/>
  <c r="G89" i="119"/>
  <c r="G88" i="119"/>
  <c r="I87" i="119"/>
  <c r="G87" i="119"/>
  <c r="G86" i="119"/>
  <c r="G85" i="119"/>
  <c r="G84" i="119"/>
  <c r="G81" i="119"/>
  <c r="I80" i="119"/>
  <c r="I79" i="119"/>
  <c r="G79" i="119"/>
  <c r="I78" i="119"/>
  <c r="G78" i="119"/>
  <c r="I77" i="119"/>
  <c r="G77" i="119"/>
  <c r="G76" i="119"/>
  <c r="G72" i="119"/>
  <c r="G71" i="119"/>
  <c r="G70" i="119"/>
  <c r="G69" i="119"/>
  <c r="G66" i="119"/>
  <c r="I65" i="119"/>
  <c r="G65" i="119"/>
  <c r="G64" i="119"/>
  <c r="G63" i="119"/>
  <c r="G62" i="119"/>
  <c r="G59" i="119"/>
  <c r="G58" i="119"/>
  <c r="G54" i="119"/>
  <c r="G53" i="119"/>
  <c r="I50" i="119"/>
  <c r="G50" i="119"/>
  <c r="G49" i="119"/>
  <c r="G48" i="119"/>
  <c r="I47" i="119"/>
  <c r="G47" i="119"/>
  <c r="I46" i="119"/>
  <c r="G46" i="119"/>
  <c r="G45" i="119"/>
  <c r="G44" i="119"/>
  <c r="G39" i="119"/>
  <c r="G38" i="119"/>
  <c r="G35" i="119"/>
  <c r="I34" i="119"/>
  <c r="G34" i="119"/>
  <c r="G33" i="119"/>
  <c r="I32" i="119"/>
  <c r="G32" i="119"/>
  <c r="I28" i="119"/>
  <c r="G28" i="119"/>
  <c r="I27" i="119"/>
  <c r="G27" i="119"/>
  <c r="I26" i="119"/>
  <c r="G26" i="119"/>
  <c r="G25" i="119"/>
  <c r="I23" i="119"/>
  <c r="G23" i="119"/>
  <c r="I22" i="119"/>
  <c r="G22" i="119"/>
  <c r="G21" i="119"/>
  <c r="G20" i="119"/>
  <c r="I19" i="119"/>
  <c r="G19" i="119"/>
  <c r="G18" i="119"/>
  <c r="G15" i="119"/>
  <c r="E13" i="119"/>
  <c r="E14" i="119" s="1"/>
  <c r="G14" i="119" s="1"/>
  <c r="G12" i="119"/>
  <c r="G11" i="119"/>
  <c r="G10" i="119"/>
  <c r="G98" i="119" l="1"/>
  <c r="G56" i="119"/>
  <c r="G134" i="119"/>
  <c r="G101" i="119"/>
  <c r="G36" i="119"/>
  <c r="G67" i="119"/>
  <c r="G73" i="119"/>
  <c r="G82" i="119"/>
  <c r="G96" i="119"/>
  <c r="G13" i="119"/>
  <c r="G16" i="119" s="1"/>
  <c r="G60" i="119"/>
  <c r="G40" i="119"/>
  <c r="G109" i="119"/>
  <c r="H98" i="49" l="1"/>
  <c r="H84" i="49"/>
  <c r="G105" i="49"/>
  <c r="G106" i="49"/>
  <c r="G104" i="49"/>
  <c r="H26" i="69" l="1"/>
  <c r="D20" i="112"/>
  <c r="H67" i="112" s="1"/>
  <c r="H10" i="117"/>
  <c r="D12" i="117"/>
  <c r="D14" i="117" s="1"/>
  <c r="H10" i="59" s="1"/>
  <c r="H14" i="117"/>
  <c r="H18" i="117"/>
  <c r="D19" i="117"/>
  <c r="D23" i="117"/>
  <c r="D27" i="117"/>
  <c r="D35" i="117"/>
  <c r="H35" i="117"/>
  <c r="D40" i="117"/>
  <c r="H45" i="117"/>
  <c r="D48" i="117"/>
  <c r="H49" i="117"/>
  <c r="D52" i="117"/>
  <c r="E52" i="117"/>
  <c r="H52" i="117"/>
  <c r="H54" i="117" s="1"/>
  <c r="H15" i="59" s="1"/>
  <c r="D58" i="117"/>
  <c r="H59" i="117"/>
  <c r="H62" i="117"/>
  <c r="H64" i="117" s="1"/>
  <c r="H18" i="59" s="1"/>
  <c r="D63" i="117"/>
  <c r="D68" i="117"/>
  <c r="H70" i="117"/>
  <c r="H76" i="117" s="1"/>
  <c r="D73" i="117"/>
  <c r="H74" i="117"/>
  <c r="D76" i="117"/>
  <c r="D78" i="117"/>
  <c r="H20" i="59" s="1"/>
  <c r="D83" i="117"/>
  <c r="D87" i="117"/>
  <c r="D89" i="117"/>
  <c r="H21" i="59" s="1"/>
  <c r="D94" i="117"/>
  <c r="D102" i="117" s="1"/>
  <c r="H23" i="59" s="1"/>
  <c r="D97" i="117"/>
  <c r="D100" i="117"/>
  <c r="D106" i="117"/>
  <c r="H26" i="59" s="1"/>
  <c r="J106" i="117"/>
  <c r="D109" i="117"/>
  <c r="H28" i="59" s="1"/>
  <c r="D114" i="117"/>
  <c r="D117" i="117"/>
  <c r="D119" i="117" s="1"/>
  <c r="H29" i="59" s="1"/>
  <c r="J118" i="117"/>
  <c r="H10" i="116"/>
  <c r="D12" i="116"/>
  <c r="D14" i="116" s="1"/>
  <c r="H10" i="57" s="1"/>
  <c r="G15" i="116"/>
  <c r="H15" i="116" s="1"/>
  <c r="D19" i="116"/>
  <c r="G19" i="116"/>
  <c r="H19" i="116"/>
  <c r="D24" i="116"/>
  <c r="D28" i="116"/>
  <c r="D36" i="116"/>
  <c r="H38" i="116"/>
  <c r="H47" i="116" s="1"/>
  <c r="H15" i="57" s="1"/>
  <c r="D40" i="116"/>
  <c r="D42" i="116" s="1"/>
  <c r="H30" i="116" s="1"/>
  <c r="H42" i="116"/>
  <c r="H45" i="116"/>
  <c r="D48" i="116"/>
  <c r="D52" i="116"/>
  <c r="E52" i="116"/>
  <c r="H52" i="116"/>
  <c r="H55" i="116"/>
  <c r="H57" i="116" s="1"/>
  <c r="H18" i="57" s="1"/>
  <c r="D58" i="116"/>
  <c r="H62" i="116"/>
  <c r="D63" i="116"/>
  <c r="D70" i="116"/>
  <c r="H71" i="116"/>
  <c r="D74" i="116"/>
  <c r="H75" i="116"/>
  <c r="D81" i="116"/>
  <c r="H82" i="116"/>
  <c r="D85" i="116"/>
  <c r="H87" i="116"/>
  <c r="H89" i="116" s="1"/>
  <c r="H37" i="57" s="1"/>
  <c r="D92" i="116"/>
  <c r="D95" i="116"/>
  <c r="D99" i="116"/>
  <c r="D105" i="116"/>
  <c r="H30" i="57" s="1"/>
  <c r="J107" i="116"/>
  <c r="D108" i="116"/>
  <c r="H32" i="57" s="1"/>
  <c r="D113" i="116"/>
  <c r="D116" i="116"/>
  <c r="J119" i="116"/>
  <c r="H10" i="115"/>
  <c r="D12" i="115"/>
  <c r="D14" i="115" s="1"/>
  <c r="H15" i="115"/>
  <c r="D19" i="115"/>
  <c r="H19" i="115"/>
  <c r="D25" i="115"/>
  <c r="D31" i="115" s="1"/>
  <c r="H29" i="115" s="1"/>
  <c r="H27" i="115"/>
  <c r="D29" i="115"/>
  <c r="D37" i="115"/>
  <c r="D43" i="115" s="1"/>
  <c r="H31" i="115" s="1"/>
  <c r="H38" i="115"/>
  <c r="D41" i="115"/>
  <c r="H42" i="115"/>
  <c r="H45" i="115"/>
  <c r="D49" i="115"/>
  <c r="H52" i="115"/>
  <c r="H57" i="115" s="1"/>
  <c r="D53" i="115"/>
  <c r="H55" i="115"/>
  <c r="D59" i="115"/>
  <c r="H61" i="115"/>
  <c r="D76" i="115" s="1"/>
  <c r="D64" i="115"/>
  <c r="D70" i="115"/>
  <c r="H71" i="115"/>
  <c r="H77" i="115" s="1"/>
  <c r="H94" i="115" s="1"/>
  <c r="H96" i="115" s="1"/>
  <c r="D74" i="115"/>
  <c r="H75" i="115"/>
  <c r="D81" i="115"/>
  <c r="D87" i="115" s="1"/>
  <c r="H82" i="115"/>
  <c r="D85" i="115"/>
  <c r="H86" i="115"/>
  <c r="H92" i="115" s="1"/>
  <c r="H90" i="115"/>
  <c r="D92" i="115"/>
  <c r="D95" i="115"/>
  <c r="D99" i="115"/>
  <c r="D101" i="115" s="1"/>
  <c r="D105" i="115"/>
  <c r="J107" i="115"/>
  <c r="D108" i="115"/>
  <c r="D113" i="115"/>
  <c r="D117" i="115"/>
  <c r="D119" i="115" s="1"/>
  <c r="J119" i="115"/>
  <c r="H10" i="114"/>
  <c r="D12" i="114"/>
  <c r="D14" i="114" s="1"/>
  <c r="H15" i="114"/>
  <c r="D19" i="114"/>
  <c r="H19" i="114"/>
  <c r="D24" i="114"/>
  <c r="G24" i="114"/>
  <c r="G25" i="114"/>
  <c r="D28" i="114"/>
  <c r="D30" i="114"/>
  <c r="H11" i="69" s="1"/>
  <c r="D36" i="114"/>
  <c r="H38" i="114"/>
  <c r="D40" i="114"/>
  <c r="H42" i="114"/>
  <c r="H45" i="114"/>
  <c r="D48" i="114"/>
  <c r="D52" i="114"/>
  <c r="E52" i="114"/>
  <c r="H52" i="114"/>
  <c r="H55" i="114"/>
  <c r="H57" i="114" s="1"/>
  <c r="D58" i="114"/>
  <c r="D63" i="114"/>
  <c r="D65" i="114" s="1"/>
  <c r="H14" i="69" s="1"/>
  <c r="D69" i="114"/>
  <c r="H71" i="114"/>
  <c r="D74" i="114"/>
  <c r="H75" i="114"/>
  <c r="H76" i="114" s="1"/>
  <c r="D77" i="114"/>
  <c r="H81" i="114"/>
  <c r="H91" i="114" s="1"/>
  <c r="H38" i="69" s="1"/>
  <c r="D84" i="114"/>
  <c r="D90" i="114" s="1"/>
  <c r="H22" i="69" s="1"/>
  <c r="H85" i="114"/>
  <c r="D88" i="114"/>
  <c r="H89" i="114"/>
  <c r="D95" i="114"/>
  <c r="D98" i="114"/>
  <c r="D102" i="114"/>
  <c r="J107" i="114"/>
  <c r="J119" i="114" s="1"/>
  <c r="D108" i="114"/>
  <c r="D111" i="114"/>
  <c r="H32" i="69" s="1"/>
  <c r="D116" i="114"/>
  <c r="D119" i="114"/>
  <c r="H10" i="113"/>
  <c r="D12" i="113"/>
  <c r="D14" i="113" s="1"/>
  <c r="H10" i="54" s="1"/>
  <c r="I10" i="54" s="1"/>
  <c r="H15" i="113"/>
  <c r="D19" i="113"/>
  <c r="H19" i="113"/>
  <c r="D24" i="113"/>
  <c r="D30" i="113" s="1"/>
  <c r="H26" i="113"/>
  <c r="D28" i="113"/>
  <c r="D36" i="113"/>
  <c r="D42" i="113" s="1"/>
  <c r="H38" i="113"/>
  <c r="D40" i="113"/>
  <c r="H42" i="113"/>
  <c r="H47" i="113" s="1"/>
  <c r="H15" i="54" s="1"/>
  <c r="I15" i="54" s="1"/>
  <c r="H45" i="113"/>
  <c r="D48" i="113"/>
  <c r="D52" i="113"/>
  <c r="H52" i="113"/>
  <c r="H55" i="113"/>
  <c r="D58" i="113"/>
  <c r="D63" i="113"/>
  <c r="D68" i="113"/>
  <c r="D77" i="113" s="1"/>
  <c r="H20" i="54" s="1"/>
  <c r="I20" i="54" s="1"/>
  <c r="H70" i="113"/>
  <c r="D72" i="113"/>
  <c r="H74" i="113"/>
  <c r="H76" i="113" s="1"/>
  <c r="D75" i="113"/>
  <c r="H81" i="113"/>
  <c r="H87" i="113" s="1"/>
  <c r="H34" i="54" s="1"/>
  <c r="D82" i="113"/>
  <c r="H85" i="113"/>
  <c r="D86" i="113"/>
  <c r="D88" i="113"/>
  <c r="H21" i="54" s="1"/>
  <c r="I21" i="54" s="1"/>
  <c r="D93" i="113"/>
  <c r="D96" i="113"/>
  <c r="D100" i="113"/>
  <c r="D106" i="113"/>
  <c r="H27" i="54" s="1"/>
  <c r="I27" i="54" s="1"/>
  <c r="J106" i="113"/>
  <c r="D109" i="113"/>
  <c r="H29" i="54" s="1"/>
  <c r="I29" i="54" s="1"/>
  <c r="D114" i="113"/>
  <c r="D119" i="113" s="1"/>
  <c r="H30" i="54" s="1"/>
  <c r="I30" i="54" s="1"/>
  <c r="D117" i="113"/>
  <c r="J117" i="113"/>
  <c r="D182" i="112"/>
  <c r="D178" i="112"/>
  <c r="J170" i="112"/>
  <c r="J181" i="112" s="1"/>
  <c r="D170" i="112"/>
  <c r="D167" i="112"/>
  <c r="D162" i="112"/>
  <c r="I31" i="49" s="1"/>
  <c r="D159" i="112"/>
  <c r="I29" i="49" s="1"/>
  <c r="D153" i="112"/>
  <c r="D150" i="112"/>
  <c r="D147" i="112"/>
  <c r="D144" i="112"/>
  <c r="H137" i="112"/>
  <c r="D137" i="112"/>
  <c r="D139" i="112" s="1"/>
  <c r="I21" i="49" s="1"/>
  <c r="H133" i="112"/>
  <c r="D133" i="112"/>
  <c r="D101" i="112"/>
  <c r="E100" i="112"/>
  <c r="H125" i="112"/>
  <c r="D96" i="112"/>
  <c r="H122" i="112"/>
  <c r="H118" i="112"/>
  <c r="E90" i="112"/>
  <c r="D90" i="112"/>
  <c r="H113" i="112"/>
  <c r="D86" i="112"/>
  <c r="H110" i="112"/>
  <c r="D78" i="112"/>
  <c r="H104" i="112"/>
  <c r="H101" i="112"/>
  <c r="D74" i="112"/>
  <c r="H97" i="112"/>
  <c r="H88" i="112"/>
  <c r="H82" i="112"/>
  <c r="H78" i="112"/>
  <c r="D12" i="112"/>
  <c r="D14" i="112" s="1"/>
  <c r="I10" i="49" s="1"/>
  <c r="H73" i="112"/>
  <c r="D104" i="114" l="1"/>
  <c r="D101" i="116"/>
  <c r="H25" i="57" s="1"/>
  <c r="D87" i="116"/>
  <c r="H21" i="57" s="1"/>
  <c r="D30" i="116"/>
  <c r="H28" i="116" s="1"/>
  <c r="H47" i="114"/>
  <c r="D42" i="114"/>
  <c r="H26" i="114"/>
  <c r="H21" i="114"/>
  <c r="H13" i="69" s="1"/>
  <c r="D121" i="114"/>
  <c r="H34" i="69" s="1"/>
  <c r="D118" i="116"/>
  <c r="H33" i="57" s="1"/>
  <c r="H77" i="116"/>
  <c r="H91" i="113"/>
  <c r="H33" i="54" s="1"/>
  <c r="H19" i="69"/>
  <c r="H28" i="113"/>
  <c r="H11" i="54"/>
  <c r="I11" i="54" s="1"/>
  <c r="H12" i="69"/>
  <c r="H11" i="57"/>
  <c r="H90" i="117"/>
  <c r="H92" i="117" s="1"/>
  <c r="H32" i="59"/>
  <c r="H95" i="114"/>
  <c r="H21" i="116"/>
  <c r="H20" i="117"/>
  <c r="H13" i="59" s="1"/>
  <c r="H10" i="69"/>
  <c r="D76" i="116"/>
  <c r="H20" i="57" s="1"/>
  <c r="D102" i="113"/>
  <c r="H25" i="54" s="1"/>
  <c r="I25" i="54" s="1"/>
  <c r="H21" i="113"/>
  <c r="H26" i="116"/>
  <c r="H37" i="69"/>
  <c r="H30" i="113"/>
  <c r="H12" i="54"/>
  <c r="I12" i="54" s="1"/>
  <c r="H57" i="113"/>
  <c r="H18" i="54" s="1"/>
  <c r="I18" i="54" s="1"/>
  <c r="D79" i="114"/>
  <c r="H21" i="69" s="1"/>
  <c r="H47" i="115"/>
  <c r="H16" i="69" s="1"/>
  <c r="H21" i="115"/>
  <c r="D155" i="112"/>
  <c r="I25" i="49" s="1"/>
  <c r="H138" i="112"/>
  <c r="I36" i="49" s="1"/>
  <c r="D172" i="112"/>
  <c r="I32" i="49" s="1"/>
  <c r="H83" i="112"/>
  <c r="I13" i="49" s="1"/>
  <c r="H106" i="112"/>
  <c r="I15" i="49" s="1"/>
  <c r="H115" i="112"/>
  <c r="I18" i="49" s="1"/>
  <c r="H127" i="112"/>
  <c r="I20" i="49" s="1"/>
  <c r="D29" i="117"/>
  <c r="H36" i="117" s="1"/>
  <c r="D42" i="117"/>
  <c r="H38" i="117" s="1"/>
  <c r="H31" i="69"/>
  <c r="H34" i="114"/>
  <c r="D80" i="112"/>
  <c r="I12" i="49" s="1"/>
  <c r="H91" i="116"/>
  <c r="H93" i="116" s="1"/>
  <c r="H36" i="57" s="1"/>
  <c r="H33" i="115"/>
  <c r="H32" i="116" l="1"/>
  <c r="H34" i="116" s="1"/>
  <c r="H14" i="57" s="1"/>
  <c r="H13" i="57"/>
  <c r="D183" i="112"/>
  <c r="I35" i="49" s="1"/>
  <c r="H15" i="69"/>
  <c r="H32" i="113"/>
  <c r="H34" i="113" s="1"/>
  <c r="H14" i="54" s="1"/>
  <c r="I14" i="54" s="1"/>
  <c r="H13" i="54"/>
  <c r="I13" i="54" s="1"/>
  <c r="I16" i="54" s="1"/>
  <c r="H92" i="112"/>
  <c r="H11" i="59"/>
  <c r="H40" i="117"/>
  <c r="H14" i="59" s="1"/>
  <c r="H77" i="67"/>
  <c r="I10" i="65"/>
  <c r="H69" i="111"/>
  <c r="H58" i="111"/>
  <c r="H62" i="111" s="1"/>
  <c r="H53" i="111"/>
  <c r="H52" i="111"/>
  <c r="H48" i="111"/>
  <c r="H50" i="111" s="1"/>
  <c r="H45" i="111"/>
  <c r="H32" i="111"/>
  <c r="H33" i="111" s="1"/>
  <c r="H31" i="111"/>
  <c r="H20" i="111"/>
  <c r="H18" i="111"/>
  <c r="H17" i="111"/>
  <c r="H29" i="111" s="1"/>
  <c r="H10" i="111"/>
  <c r="H9" i="111"/>
  <c r="H15" i="111" s="1"/>
  <c r="H11" i="111"/>
  <c r="H12" i="111"/>
  <c r="H13" i="111"/>
  <c r="H14" i="111"/>
  <c r="N71" i="111"/>
  <c r="N70" i="111"/>
  <c r="H70" i="111"/>
  <c r="N69" i="111"/>
  <c r="N68" i="111"/>
  <c r="H68" i="111"/>
  <c r="N67" i="111"/>
  <c r="H67" i="111"/>
  <c r="N66" i="111"/>
  <c r="H66" i="111"/>
  <c r="N65" i="111"/>
  <c r="H65" i="111"/>
  <c r="N64" i="111"/>
  <c r="H64" i="111"/>
  <c r="H71" i="111" s="1"/>
  <c r="N63" i="111"/>
  <c r="N62" i="111"/>
  <c r="N61" i="111"/>
  <c r="H61" i="111"/>
  <c r="N60" i="111"/>
  <c r="H60" i="111"/>
  <c r="N59" i="111"/>
  <c r="H59" i="111"/>
  <c r="N58" i="111"/>
  <c r="N57" i="111"/>
  <c r="N56" i="111"/>
  <c r="N55" i="111"/>
  <c r="H55" i="111"/>
  <c r="H54" i="111"/>
  <c r="H56" i="111" s="1"/>
  <c r="N53" i="111"/>
  <c r="N52" i="111"/>
  <c r="N51" i="111"/>
  <c r="N50" i="111"/>
  <c r="N49" i="111"/>
  <c r="H49" i="111"/>
  <c r="N48" i="111"/>
  <c r="N47" i="111"/>
  <c r="N46" i="111"/>
  <c r="N45" i="111"/>
  <c r="N44" i="111"/>
  <c r="H44" i="111"/>
  <c r="N43" i="111"/>
  <c r="N42" i="111"/>
  <c r="H42" i="111"/>
  <c r="N41" i="111"/>
  <c r="H41" i="111"/>
  <c r="N40" i="111"/>
  <c r="H40" i="111"/>
  <c r="N39" i="111"/>
  <c r="N38" i="111"/>
  <c r="H38" i="111"/>
  <c r="N37" i="111"/>
  <c r="H37" i="111"/>
  <c r="H46" i="111" s="1"/>
  <c r="N36" i="111"/>
  <c r="N35" i="111"/>
  <c r="N34" i="111"/>
  <c r="N33" i="111"/>
  <c r="N32" i="111"/>
  <c r="N31" i="111"/>
  <c r="N30" i="111"/>
  <c r="N29" i="111"/>
  <c r="N28" i="111"/>
  <c r="H28" i="111"/>
  <c r="N27" i="111"/>
  <c r="H27" i="111"/>
  <c r="N26" i="111"/>
  <c r="H26" i="111"/>
  <c r="N25" i="111"/>
  <c r="H25" i="111"/>
  <c r="N24" i="111"/>
  <c r="N23" i="111"/>
  <c r="N22" i="111"/>
  <c r="H22" i="111"/>
  <c r="N21" i="111"/>
  <c r="N20" i="111"/>
  <c r="N19" i="111"/>
  <c r="N18" i="111"/>
  <c r="N17" i="111"/>
  <c r="N16" i="111"/>
  <c r="N15" i="111"/>
  <c r="N14" i="111"/>
  <c r="N13" i="111"/>
  <c r="N12" i="111"/>
  <c r="N11" i="111"/>
  <c r="N10" i="111"/>
  <c r="N9" i="111"/>
  <c r="I16" i="62"/>
  <c r="I11" i="62"/>
  <c r="I12" i="62"/>
  <c r="I13" i="62"/>
  <c r="I14" i="62"/>
  <c r="I15" i="62"/>
  <c r="I10" i="62"/>
  <c r="D416" i="88"/>
  <c r="H128" i="62" s="1"/>
  <c r="G142" i="61"/>
  <c r="G141" i="61"/>
  <c r="G140" i="61"/>
  <c r="G139" i="61"/>
  <c r="H17" i="87"/>
  <c r="H19" i="87" s="1"/>
  <c r="H130" i="61" s="1"/>
  <c r="H14" i="87"/>
  <c r="H11" i="87"/>
  <c r="H8" i="87"/>
  <c r="D59" i="87"/>
  <c r="D56" i="87"/>
  <c r="D53" i="87"/>
  <c r="I17" i="62" l="1"/>
  <c r="G143" i="61"/>
  <c r="N54" i="111"/>
  <c r="N72" i="111" s="1"/>
  <c r="I165" i="28"/>
  <c r="N165" i="28" s="1"/>
  <c r="J165" i="28"/>
  <c r="K165" i="28"/>
  <c r="L165" i="28"/>
  <c r="M165" i="28"/>
  <c r="I166" i="28"/>
  <c r="K166" i="28" s="1"/>
  <c r="J166" i="28"/>
  <c r="L166" i="28"/>
  <c r="M166" i="28"/>
  <c r="N166" i="28"/>
  <c r="I167" i="28"/>
  <c r="K167" i="28" s="1"/>
  <c r="J167" i="28"/>
  <c r="L167" i="28"/>
  <c r="M167" i="28"/>
  <c r="N167" i="28"/>
  <c r="I168" i="28"/>
  <c r="J168" i="28"/>
  <c r="K168" i="28"/>
  <c r="L168" i="28"/>
  <c r="M168" i="28"/>
  <c r="N168" i="28"/>
  <c r="I169" i="28"/>
  <c r="J169" i="28"/>
  <c r="K169" i="28"/>
  <c r="L169" i="28"/>
  <c r="M169" i="28"/>
  <c r="N169" i="28"/>
  <c r="I170" i="28"/>
  <c r="J170" i="28"/>
  <c r="K170" i="28"/>
  <c r="L170" i="28"/>
  <c r="M170" i="28"/>
  <c r="N170" i="28"/>
  <c r="I171" i="28"/>
  <c r="K171" i="28" s="1"/>
  <c r="J171" i="28"/>
  <c r="L171" i="28"/>
  <c r="M171" i="28"/>
  <c r="N171" i="28"/>
  <c r="I172" i="28"/>
  <c r="K172" i="28" s="1"/>
  <c r="J172" i="28"/>
  <c r="L172" i="28"/>
  <c r="M172" i="28"/>
  <c r="N172" i="28"/>
  <c r="I173" i="28"/>
  <c r="K173" i="28" s="1"/>
  <c r="J173" i="28"/>
  <c r="L173" i="28"/>
  <c r="M173" i="28"/>
  <c r="N173" i="28"/>
  <c r="I174" i="28"/>
  <c r="K174" i="28" s="1"/>
  <c r="J174" i="28"/>
  <c r="L174" i="28"/>
  <c r="M174" i="28"/>
  <c r="N174" i="28"/>
  <c r="I175" i="28"/>
  <c r="K175" i="28" s="1"/>
  <c r="J175" i="28"/>
  <c r="L175" i="28"/>
  <c r="M175" i="28"/>
  <c r="N175" i="28"/>
  <c r="I176" i="28"/>
  <c r="K176" i="28" s="1"/>
  <c r="J176" i="28"/>
  <c r="L176" i="28"/>
  <c r="M176" i="28"/>
  <c r="N176" i="28"/>
  <c r="I177" i="28"/>
  <c r="J177" i="28"/>
  <c r="K177" i="28"/>
  <c r="L177" i="28"/>
  <c r="M177" i="28"/>
  <c r="N177" i="28"/>
  <c r="I178" i="28"/>
  <c r="J178" i="28"/>
  <c r="K178" i="28"/>
  <c r="L178" i="28"/>
  <c r="M178" i="28"/>
  <c r="N178" i="28"/>
  <c r="I179" i="28"/>
  <c r="J179" i="28"/>
  <c r="K179" i="28"/>
  <c r="L179" i="28"/>
  <c r="M179" i="28"/>
  <c r="N179" i="28"/>
  <c r="J23" i="26"/>
  <c r="L23" i="26"/>
  <c r="M23" i="26"/>
  <c r="N23" i="26"/>
  <c r="I24" i="26"/>
  <c r="K24" i="26" s="1"/>
  <c r="J24" i="26"/>
  <c r="L24" i="26"/>
  <c r="M24" i="26"/>
  <c r="N24" i="26"/>
  <c r="J25" i="26"/>
  <c r="L25" i="26"/>
  <c r="M25" i="26"/>
  <c r="N25" i="26"/>
  <c r="J26" i="26"/>
  <c r="L26" i="26"/>
  <c r="M26" i="26"/>
  <c r="N26" i="26"/>
  <c r="J27" i="26"/>
  <c r="L27" i="26"/>
  <c r="M27" i="26"/>
  <c r="N27" i="26"/>
  <c r="J28" i="26"/>
  <c r="L28" i="26"/>
  <c r="M28" i="26"/>
  <c r="N28" i="26"/>
  <c r="J29" i="26"/>
  <c r="L29" i="26"/>
  <c r="M29" i="26"/>
  <c r="N29" i="26"/>
  <c r="J30" i="26"/>
  <c r="L30" i="26"/>
  <c r="M30" i="26"/>
  <c r="N30" i="26"/>
  <c r="I31" i="26"/>
  <c r="J31" i="26"/>
  <c r="K31" i="26"/>
  <c r="L31" i="26"/>
  <c r="M31" i="26"/>
  <c r="N31" i="26"/>
  <c r="G30" i="26"/>
  <c r="I30" i="26" s="1"/>
  <c r="K30" i="26" s="1"/>
  <c r="G29" i="26"/>
  <c r="I29" i="26" s="1"/>
  <c r="K29" i="26" s="1"/>
  <c r="G28" i="26"/>
  <c r="I28" i="26" s="1"/>
  <c r="K28" i="26" s="1"/>
  <c r="G27" i="26"/>
  <c r="I27" i="26" s="1"/>
  <c r="K27" i="26" s="1"/>
  <c r="G26" i="26"/>
  <c r="I26" i="26" s="1"/>
  <c r="K26" i="26" s="1"/>
  <c r="G25" i="26"/>
  <c r="I25" i="26" s="1"/>
  <c r="K25" i="26" s="1"/>
  <c r="G24" i="26"/>
  <c r="G23" i="26"/>
  <c r="I23" i="26" s="1"/>
  <c r="K23" i="26" s="1"/>
  <c r="D38" i="79"/>
  <c r="D34" i="79"/>
  <c r="N60" i="105"/>
  <c r="M60" i="105"/>
  <c r="L60" i="105"/>
  <c r="J60" i="105"/>
  <c r="N59" i="105"/>
  <c r="M59" i="105"/>
  <c r="L59" i="105"/>
  <c r="J59" i="105"/>
  <c r="N57" i="105"/>
  <c r="L57" i="105"/>
  <c r="K57" i="105"/>
  <c r="J57" i="105"/>
  <c r="N56" i="105"/>
  <c r="L56" i="105"/>
  <c r="K56" i="105"/>
  <c r="J56" i="105"/>
  <c r="N55" i="105"/>
  <c r="L55" i="105"/>
  <c r="K55" i="105"/>
  <c r="J55" i="105"/>
  <c r="N54" i="105"/>
  <c r="L54" i="105"/>
  <c r="K54" i="105"/>
  <c r="J54" i="105"/>
  <c r="N53" i="105"/>
  <c r="L53" i="105"/>
  <c r="K53" i="105"/>
  <c r="J53" i="105"/>
  <c r="N52" i="105"/>
  <c r="L52" i="105"/>
  <c r="K52" i="105"/>
  <c r="J52" i="105"/>
  <c r="N51" i="105"/>
  <c r="L51" i="105"/>
  <c r="K51" i="105"/>
  <c r="J51" i="105"/>
  <c r="N50" i="105"/>
  <c r="M50" i="105"/>
  <c r="L50" i="105"/>
  <c r="K50" i="105"/>
  <c r="J50" i="105"/>
  <c r="N49" i="105"/>
  <c r="L49" i="105"/>
  <c r="K49" i="105"/>
  <c r="J49" i="105"/>
  <c r="N48" i="105"/>
  <c r="L48" i="105"/>
  <c r="K48" i="105"/>
  <c r="J48" i="105"/>
  <c r="N47" i="105"/>
  <c r="L47" i="105"/>
  <c r="K47" i="105"/>
  <c r="J47" i="105"/>
  <c r="N46" i="105"/>
  <c r="M46" i="105"/>
  <c r="L46" i="105"/>
  <c r="K46" i="105"/>
  <c r="J46" i="105"/>
  <c r="N45" i="105"/>
  <c r="M45" i="105"/>
  <c r="L45" i="105"/>
  <c r="K45" i="105"/>
  <c r="J45" i="105"/>
  <c r="N44" i="105"/>
  <c r="M44" i="105"/>
  <c r="L44" i="105"/>
  <c r="K44" i="105"/>
  <c r="J44" i="105"/>
  <c r="N43" i="105"/>
  <c r="M43" i="105"/>
  <c r="L43" i="105"/>
  <c r="K43" i="105"/>
  <c r="J43" i="105"/>
  <c r="N42" i="105"/>
  <c r="M42" i="105"/>
  <c r="L42" i="105"/>
  <c r="J42" i="105"/>
  <c r="M41" i="105"/>
  <c r="L41" i="105"/>
  <c r="K41" i="105"/>
  <c r="J41" i="105"/>
  <c r="N40" i="105"/>
  <c r="M40" i="105"/>
  <c r="L40" i="105"/>
  <c r="K40" i="105"/>
  <c r="J40" i="105"/>
  <c r="N39" i="105"/>
  <c r="L39" i="105"/>
  <c r="K39" i="105"/>
  <c r="J39" i="105"/>
  <c r="I26" i="105"/>
  <c r="K26" i="105" s="1"/>
  <c r="J26" i="105"/>
  <c r="L26" i="105"/>
  <c r="M26" i="105"/>
  <c r="N26" i="105"/>
  <c r="I27" i="105"/>
  <c r="K27" i="105" s="1"/>
  <c r="J27" i="105"/>
  <c r="L27" i="105"/>
  <c r="M27" i="105"/>
  <c r="N27" i="105"/>
  <c r="I28" i="105"/>
  <c r="K28" i="105" s="1"/>
  <c r="J28" i="105"/>
  <c r="L28" i="105"/>
  <c r="M28" i="105"/>
  <c r="N28" i="105"/>
  <c r="I29" i="105"/>
  <c r="K29" i="105" s="1"/>
  <c r="J29" i="105"/>
  <c r="L29" i="105"/>
  <c r="M29" i="105"/>
  <c r="N29" i="105"/>
  <c r="I30" i="105"/>
  <c r="K30" i="105" s="1"/>
  <c r="J30" i="105"/>
  <c r="L30" i="105"/>
  <c r="M30" i="105"/>
  <c r="N30" i="105"/>
  <c r="I31" i="105"/>
  <c r="K31" i="105" s="1"/>
  <c r="J31" i="105"/>
  <c r="L31" i="105"/>
  <c r="M31" i="105"/>
  <c r="N31" i="105"/>
  <c r="I24" i="105"/>
  <c r="K24" i="105" s="1"/>
  <c r="I25" i="105"/>
  <c r="K25" i="105" s="1"/>
  <c r="J21" i="105"/>
  <c r="K21" i="105"/>
  <c r="L21" i="105"/>
  <c r="M21" i="105"/>
  <c r="J22" i="105"/>
  <c r="L22" i="105"/>
  <c r="M22" i="105"/>
  <c r="N22" i="105"/>
  <c r="J23" i="105"/>
  <c r="L23" i="105"/>
  <c r="M23" i="105"/>
  <c r="N23" i="105"/>
  <c r="J24" i="105"/>
  <c r="L24" i="105"/>
  <c r="M24" i="105"/>
  <c r="N24" i="105"/>
  <c r="J25" i="105"/>
  <c r="L25" i="105"/>
  <c r="M25" i="105"/>
  <c r="N25" i="105"/>
  <c r="I21" i="105"/>
  <c r="N21" i="105" s="1"/>
  <c r="I22" i="105"/>
  <c r="K22" i="105" s="1"/>
  <c r="I23" i="105"/>
  <c r="K23" i="105" s="1"/>
  <c r="M83" i="105"/>
  <c r="N79" i="105"/>
  <c r="M79" i="105"/>
  <c r="I79" i="105"/>
  <c r="K79" i="105" s="1"/>
  <c r="N78" i="105"/>
  <c r="K78" i="105"/>
  <c r="I78" i="105"/>
  <c r="M78" i="105" s="1"/>
  <c r="N77" i="105"/>
  <c r="K77" i="105"/>
  <c r="I77" i="105"/>
  <c r="M77" i="105" s="1"/>
  <c r="N76" i="105"/>
  <c r="M76" i="105"/>
  <c r="I76" i="105"/>
  <c r="K76" i="105" s="1"/>
  <c r="N75" i="105"/>
  <c r="K75" i="105"/>
  <c r="I75" i="105"/>
  <c r="M75" i="105" s="1"/>
  <c r="N74" i="105"/>
  <c r="K74" i="105"/>
  <c r="I74" i="105"/>
  <c r="M74" i="105" s="1"/>
  <c r="N73" i="105"/>
  <c r="M73" i="105"/>
  <c r="L73" i="105"/>
  <c r="J73" i="105"/>
  <c r="I73" i="105"/>
  <c r="K73" i="105" s="1"/>
  <c r="N72" i="105"/>
  <c r="L72" i="105"/>
  <c r="K72" i="105"/>
  <c r="J72" i="105"/>
  <c r="I72" i="105"/>
  <c r="M72" i="105" s="1"/>
  <c r="N71" i="105"/>
  <c r="L71" i="105"/>
  <c r="K71" i="105"/>
  <c r="J71" i="105"/>
  <c r="I71" i="105"/>
  <c r="M71" i="105" s="1"/>
  <c r="N70" i="105"/>
  <c r="M70" i="105"/>
  <c r="L70" i="105"/>
  <c r="K70" i="105"/>
  <c r="J70" i="105"/>
  <c r="I70" i="105"/>
  <c r="N69" i="105"/>
  <c r="L69" i="105"/>
  <c r="K69" i="105"/>
  <c r="J69" i="105"/>
  <c r="I69" i="105"/>
  <c r="M69" i="105" s="1"/>
  <c r="I68" i="105"/>
  <c r="M68" i="105" s="1"/>
  <c r="N67" i="105"/>
  <c r="M67" i="105"/>
  <c r="L67" i="105"/>
  <c r="J67" i="105"/>
  <c r="I67" i="105"/>
  <c r="K67" i="105" s="1"/>
  <c r="N66" i="105"/>
  <c r="L66" i="105"/>
  <c r="K66" i="105"/>
  <c r="J66" i="105"/>
  <c r="I66" i="105"/>
  <c r="M66" i="105" s="1"/>
  <c r="I65" i="105"/>
  <c r="M65" i="105" s="1"/>
  <c r="I60" i="105"/>
  <c r="K60" i="105" s="1"/>
  <c r="I59" i="105"/>
  <c r="K59" i="105" s="1"/>
  <c r="I57" i="105"/>
  <c r="M57" i="105" s="1"/>
  <c r="I56" i="105"/>
  <c r="M56" i="105" s="1"/>
  <c r="I55" i="105"/>
  <c r="M55" i="105" s="1"/>
  <c r="I54" i="105"/>
  <c r="M54" i="105" s="1"/>
  <c r="I53" i="105"/>
  <c r="M53" i="105" s="1"/>
  <c r="I52" i="105"/>
  <c r="M52" i="105" s="1"/>
  <c r="I51" i="105"/>
  <c r="M51" i="105" s="1"/>
  <c r="I50" i="105"/>
  <c r="I49" i="105"/>
  <c r="M49" i="105" s="1"/>
  <c r="I48" i="105"/>
  <c r="M48" i="105" s="1"/>
  <c r="I47" i="105"/>
  <c r="M47" i="105" s="1"/>
  <c r="I46" i="105"/>
  <c r="I45" i="105"/>
  <c r="I44" i="105"/>
  <c r="I43" i="105"/>
  <c r="I42" i="105"/>
  <c r="K42" i="105" s="1"/>
  <c r="I41" i="105"/>
  <c r="N41" i="105" s="1"/>
  <c r="I40" i="105"/>
  <c r="I39" i="105"/>
  <c r="M39" i="105" s="1"/>
  <c r="M38" i="105"/>
  <c r="K36" i="105"/>
  <c r="M35" i="105"/>
  <c r="M20" i="105"/>
  <c r="L20" i="105"/>
  <c r="K20" i="105"/>
  <c r="J20" i="105"/>
  <c r="I20" i="105"/>
  <c r="N20" i="105" s="1"/>
  <c r="M19" i="105"/>
  <c r="L19" i="105"/>
  <c r="K19" i="105"/>
  <c r="J19" i="105"/>
  <c r="I19" i="105"/>
  <c r="N19" i="105" s="1"/>
  <c r="M18" i="105"/>
  <c r="L18" i="105"/>
  <c r="K18" i="105"/>
  <c r="J18" i="105"/>
  <c r="I18" i="105"/>
  <c r="N18" i="105" s="1"/>
  <c r="M16" i="105"/>
  <c r="L16" i="105"/>
  <c r="K16" i="105"/>
  <c r="J16" i="105"/>
  <c r="I16" i="105"/>
  <c r="N16" i="105" s="1"/>
  <c r="M15" i="105"/>
  <c r="L15" i="105"/>
  <c r="K15" i="105"/>
  <c r="J15" i="105"/>
  <c r="I15" i="105"/>
  <c r="N15" i="105" s="1"/>
  <c r="M14" i="105"/>
  <c r="L14" i="105"/>
  <c r="K14" i="105"/>
  <c r="J14" i="105"/>
  <c r="I14" i="105"/>
  <c r="N14" i="105" s="1"/>
  <c r="M13" i="105"/>
  <c r="L13" i="105"/>
  <c r="K13" i="105"/>
  <c r="J13" i="105"/>
  <c r="I13" i="105"/>
  <c r="N13" i="105" s="1"/>
  <c r="M12" i="105"/>
  <c r="L12" i="105"/>
  <c r="K12" i="105"/>
  <c r="J12" i="105"/>
  <c r="I12" i="105"/>
  <c r="N12" i="105" s="1"/>
  <c r="M11" i="105"/>
  <c r="L11" i="105"/>
  <c r="K11" i="105"/>
  <c r="J11" i="105"/>
  <c r="I11" i="105"/>
  <c r="N11" i="105" s="1"/>
  <c r="M10" i="105"/>
  <c r="L10" i="105"/>
  <c r="K10" i="105"/>
  <c r="J10" i="105"/>
  <c r="I10" i="105"/>
  <c r="N10" i="105" s="1"/>
  <c r="M9" i="105"/>
  <c r="L9" i="105"/>
  <c r="K9" i="105"/>
  <c r="J9" i="105"/>
  <c r="I9" i="105"/>
  <c r="N9" i="105" s="1"/>
  <c r="D40" i="79" l="1"/>
  <c r="L61" i="105"/>
  <c r="L63" i="105" s="1"/>
  <c r="N61" i="105"/>
  <c r="N63" i="105" s="1"/>
  <c r="M61" i="105"/>
  <c r="M63" i="105" s="1"/>
  <c r="M86" i="105"/>
  <c r="M88" i="105" s="1"/>
  <c r="K86" i="105"/>
  <c r="K88" i="105" s="1"/>
  <c r="L86" i="105"/>
  <c r="L88" i="105" s="1"/>
  <c r="N86" i="105"/>
  <c r="N88" i="105" s="1"/>
  <c r="M32" i="105"/>
  <c r="M34" i="105" s="1"/>
  <c r="N32" i="105"/>
  <c r="N34" i="105" s="1"/>
  <c r="L32" i="105"/>
  <c r="L34" i="105" s="1"/>
  <c r="K61" i="105"/>
  <c r="K63" i="105" s="1"/>
  <c r="K32" i="105"/>
  <c r="K34" i="105" s="1"/>
  <c r="I12" i="51" l="1"/>
  <c r="H25" i="79"/>
  <c r="H239" i="104"/>
  <c r="H234" i="104"/>
  <c r="D233" i="104"/>
  <c r="D230" i="104"/>
  <c r="D235" i="104" s="1"/>
  <c r="H229" i="104"/>
  <c r="H224" i="104"/>
  <c r="D223" i="104"/>
  <c r="D225" i="104" s="1"/>
  <c r="D220" i="104"/>
  <c r="H219" i="104"/>
  <c r="H214" i="104"/>
  <c r="D213" i="104"/>
  <c r="H210" i="104"/>
  <c r="D210" i="104"/>
  <c r="D207" i="104"/>
  <c r="H205" i="104"/>
  <c r="D204" i="104"/>
  <c r="D201" i="104"/>
  <c r="D194" i="104"/>
  <c r="D192" i="104"/>
  <c r="D190" i="104"/>
  <c r="D188" i="104"/>
  <c r="H187" i="104"/>
  <c r="D186" i="104"/>
  <c r="D196" i="104" s="1"/>
  <c r="H184" i="104"/>
  <c r="D184" i="104"/>
  <c r="D175" i="104"/>
  <c r="D172" i="104"/>
  <c r="H170" i="104"/>
  <c r="D169" i="104"/>
  <c r="H167" i="104"/>
  <c r="D166" i="104"/>
  <c r="H164" i="104"/>
  <c r="D163" i="104"/>
  <c r="H161" i="104"/>
  <c r="D160" i="104"/>
  <c r="H158" i="104"/>
  <c r="D157" i="104"/>
  <c r="H155" i="104"/>
  <c r="D154" i="104"/>
  <c r="H152" i="104"/>
  <c r="D151" i="104"/>
  <c r="H149" i="104"/>
  <c r="H172" i="104" s="1"/>
  <c r="D148" i="104"/>
  <c r="D145" i="104"/>
  <c r="H143" i="104"/>
  <c r="D142" i="104"/>
  <c r="H140" i="104"/>
  <c r="D139" i="104"/>
  <c r="H137" i="104"/>
  <c r="D136" i="104"/>
  <c r="H134" i="104"/>
  <c r="D133" i="104"/>
  <c r="H131" i="104"/>
  <c r="D130" i="104"/>
  <c r="H128" i="104"/>
  <c r="H145" i="104" s="1"/>
  <c r="H196" i="104" s="1"/>
  <c r="D127" i="104"/>
  <c r="H125" i="104"/>
  <c r="D124" i="104"/>
  <c r="H119" i="104"/>
  <c r="D118" i="104"/>
  <c r="H116" i="104"/>
  <c r="D115" i="104"/>
  <c r="D120" i="104" s="1"/>
  <c r="H113" i="104"/>
  <c r="D111" i="104"/>
  <c r="H110" i="104"/>
  <c r="H107" i="104"/>
  <c r="D107" i="104"/>
  <c r="D105" i="104"/>
  <c r="H104" i="104"/>
  <c r="D102" i="104"/>
  <c r="H98" i="104"/>
  <c r="D96" i="104"/>
  <c r="H95" i="104"/>
  <c r="D95" i="104"/>
  <c r="D93" i="104"/>
  <c r="D98" i="104" s="1"/>
  <c r="H92" i="104"/>
  <c r="H89" i="104"/>
  <c r="D88" i="104"/>
  <c r="H86" i="104"/>
  <c r="D84" i="104"/>
  <c r="H83" i="104"/>
  <c r="H80" i="104"/>
  <c r="H77" i="104"/>
  <c r="D77" i="104"/>
  <c r="D74" i="104"/>
  <c r="H72" i="104"/>
  <c r="D70" i="104"/>
  <c r="H68" i="104"/>
  <c r="H76" i="69" s="1"/>
  <c r="D60" i="104"/>
  <c r="H58" i="104"/>
  <c r="H55" i="104"/>
  <c r="D53" i="104"/>
  <c r="H52" i="104"/>
  <c r="D50" i="104"/>
  <c r="D47" i="104"/>
  <c r="H45" i="104"/>
  <c r="D44" i="104"/>
  <c r="H42" i="104"/>
  <c r="D40" i="104"/>
  <c r="H39" i="104"/>
  <c r="H36" i="104"/>
  <c r="D34" i="104"/>
  <c r="H33" i="104"/>
  <c r="H30" i="104"/>
  <c r="H27" i="104"/>
  <c r="D26" i="104"/>
  <c r="H24" i="104"/>
  <c r="D22" i="104"/>
  <c r="H21" i="104"/>
  <c r="H18" i="104"/>
  <c r="D18" i="104"/>
  <c r="D13" i="104"/>
  <c r="G12" i="104"/>
  <c r="H13" i="104" s="1"/>
  <c r="G8" i="104"/>
  <c r="H9" i="104" s="1"/>
  <c r="D454" i="102"/>
  <c r="H156" i="69" s="1"/>
  <c r="D448" i="102"/>
  <c r="D443" i="102"/>
  <c r="H146" i="69" s="1"/>
  <c r="D439" i="102"/>
  <c r="H145" i="69" s="1"/>
  <c r="D435" i="102"/>
  <c r="H143" i="69" s="1"/>
  <c r="D431" i="102"/>
  <c r="H144" i="69" s="1"/>
  <c r="D426" i="102"/>
  <c r="H141" i="69" s="1"/>
  <c r="D422" i="102"/>
  <c r="H140" i="69" s="1"/>
  <c r="D416" i="102"/>
  <c r="H112" i="69" s="1"/>
  <c r="H413" i="102"/>
  <c r="H138" i="69" s="1"/>
  <c r="D411" i="102"/>
  <c r="H110" i="69" s="1"/>
  <c r="I110" i="69" s="1"/>
  <c r="H409" i="102"/>
  <c r="D407" i="102"/>
  <c r="H109" i="69" s="1"/>
  <c r="H404" i="102"/>
  <c r="H135" i="69" s="1"/>
  <c r="D403" i="102"/>
  <c r="H107" i="69" s="1"/>
  <c r="H400" i="102"/>
  <c r="H134" i="69" s="1"/>
  <c r="H395" i="102"/>
  <c r="H132" i="69" s="1"/>
  <c r="H391" i="102"/>
  <c r="H131" i="69" s="1"/>
  <c r="H387" i="102"/>
  <c r="H130" i="69" s="1"/>
  <c r="D384" i="102"/>
  <c r="H383" i="102"/>
  <c r="D381" i="102"/>
  <c r="D386" i="102" s="1"/>
  <c r="H377" i="102"/>
  <c r="H120" i="69" s="1"/>
  <c r="D375" i="102"/>
  <c r="H373" i="102"/>
  <c r="H119" i="69" s="1"/>
  <c r="D372" i="102"/>
  <c r="H369" i="102"/>
  <c r="H118" i="69" s="1"/>
  <c r="D366" i="102"/>
  <c r="D368" i="102" s="1"/>
  <c r="H365" i="102"/>
  <c r="H117" i="69" s="1"/>
  <c r="D363" i="102"/>
  <c r="D357" i="102"/>
  <c r="D354" i="102"/>
  <c r="D351" i="102"/>
  <c r="D348" i="102"/>
  <c r="H347" i="102"/>
  <c r="H345" i="102"/>
  <c r="D345" i="102"/>
  <c r="H343" i="102"/>
  <c r="D342" i="102"/>
  <c r="H341" i="102"/>
  <c r="H339" i="102"/>
  <c r="H337" i="102"/>
  <c r="D336" i="102"/>
  <c r="D333" i="102"/>
  <c r="H331" i="102"/>
  <c r="I330" i="102"/>
  <c r="D330" i="102"/>
  <c r="H329" i="102"/>
  <c r="H327" i="102"/>
  <c r="D327" i="102"/>
  <c r="H325" i="102"/>
  <c r="D324" i="102"/>
  <c r="H323" i="102"/>
  <c r="H321" i="102"/>
  <c r="D321" i="102"/>
  <c r="H319" i="102"/>
  <c r="D318" i="102"/>
  <c r="H316" i="102"/>
  <c r="D315" i="102"/>
  <c r="H314" i="102"/>
  <c r="H312" i="102"/>
  <c r="D312" i="102"/>
  <c r="H310" i="102"/>
  <c r="D309" i="102"/>
  <c r="H308" i="102"/>
  <c r="H306" i="102"/>
  <c r="D306" i="102"/>
  <c r="H304" i="102"/>
  <c r="H333" i="102" s="1"/>
  <c r="H94" i="69" s="1"/>
  <c r="D303" i="102"/>
  <c r="D300" i="102"/>
  <c r="H298" i="102"/>
  <c r="D297" i="102"/>
  <c r="H295" i="102"/>
  <c r="D294" i="102"/>
  <c r="D291" i="102"/>
  <c r="D288" i="102"/>
  <c r="H287" i="102"/>
  <c r="D285" i="102"/>
  <c r="H284" i="102"/>
  <c r="D282" i="102"/>
  <c r="H281" i="102"/>
  <c r="D279" i="102"/>
  <c r="H278" i="102"/>
  <c r="D276" i="102"/>
  <c r="H275" i="102"/>
  <c r="D273" i="102"/>
  <c r="H272" i="102"/>
  <c r="D270" i="102"/>
  <c r="H269" i="102"/>
  <c r="D267" i="102"/>
  <c r="H266" i="102"/>
  <c r="D264" i="102"/>
  <c r="H263" i="102"/>
  <c r="D261" i="102"/>
  <c r="H260" i="102"/>
  <c r="D258" i="102"/>
  <c r="H257" i="102"/>
  <c r="D255" i="102"/>
  <c r="H254" i="102"/>
  <c r="D252" i="102"/>
  <c r="H251" i="102"/>
  <c r="H289" i="102" s="1"/>
  <c r="D249" i="102"/>
  <c r="D246" i="102"/>
  <c r="H243" i="102"/>
  <c r="D243" i="102"/>
  <c r="H239" i="102"/>
  <c r="D237" i="102"/>
  <c r="H236" i="102"/>
  <c r="D234" i="102"/>
  <c r="H232" i="102"/>
  <c r="D231" i="102"/>
  <c r="H229" i="102"/>
  <c r="D228" i="102"/>
  <c r="H226" i="102"/>
  <c r="D225" i="102"/>
  <c r="H223" i="102"/>
  <c r="D222" i="102"/>
  <c r="H220" i="102"/>
  <c r="D219" i="102"/>
  <c r="H217" i="102"/>
  <c r="D216" i="102"/>
  <c r="H214" i="102"/>
  <c r="D213" i="102"/>
  <c r="H211" i="102"/>
  <c r="D210" i="102"/>
  <c r="H208" i="102"/>
  <c r="D207" i="102"/>
  <c r="H205" i="102"/>
  <c r="D204" i="102"/>
  <c r="H202" i="102"/>
  <c r="D201" i="102"/>
  <c r="H199" i="102"/>
  <c r="D198" i="102"/>
  <c r="H196" i="102"/>
  <c r="D195" i="102"/>
  <c r="H193" i="102"/>
  <c r="D192" i="102"/>
  <c r="H190" i="102"/>
  <c r="D189" i="102"/>
  <c r="H187" i="102"/>
  <c r="D186" i="102"/>
  <c r="H184" i="102"/>
  <c r="D181" i="102"/>
  <c r="H86" i="69" s="1"/>
  <c r="D177" i="102"/>
  <c r="H83" i="69" s="1"/>
  <c r="H175" i="102"/>
  <c r="D173" i="102"/>
  <c r="H79" i="69" s="1"/>
  <c r="H172" i="102"/>
  <c r="H169" i="102"/>
  <c r="D169" i="102"/>
  <c r="H77" i="69" s="1"/>
  <c r="H166" i="102"/>
  <c r="H163" i="102"/>
  <c r="H160" i="102"/>
  <c r="H157" i="102"/>
  <c r="D157" i="102"/>
  <c r="H72" i="69" s="1"/>
  <c r="H154" i="102"/>
  <c r="D153" i="102"/>
  <c r="H71" i="69" s="1"/>
  <c r="H151" i="102"/>
  <c r="D149" i="102"/>
  <c r="H70" i="69" s="1"/>
  <c r="H148" i="102"/>
  <c r="H145" i="102"/>
  <c r="D143" i="102"/>
  <c r="H142" i="102"/>
  <c r="D140" i="102"/>
  <c r="H139" i="102"/>
  <c r="H136" i="102"/>
  <c r="D136" i="102"/>
  <c r="H68" i="69" s="1"/>
  <c r="H133" i="102"/>
  <c r="H130" i="102"/>
  <c r="H177" i="102" s="1"/>
  <c r="D129" i="102"/>
  <c r="H127" i="102"/>
  <c r="D126" i="102"/>
  <c r="D131" i="102" s="1"/>
  <c r="D120" i="102"/>
  <c r="H118" i="102"/>
  <c r="D117" i="102"/>
  <c r="H115" i="102"/>
  <c r="H120" i="102" s="1"/>
  <c r="D114" i="102"/>
  <c r="D111" i="102"/>
  <c r="H110" i="102"/>
  <c r="H63" i="69" s="1"/>
  <c r="I63" i="69" s="1"/>
  <c r="D108" i="102"/>
  <c r="H106" i="102"/>
  <c r="H62" i="69" s="1"/>
  <c r="I62" i="69" s="1"/>
  <c r="D105" i="102"/>
  <c r="D102" i="102"/>
  <c r="H100" i="102"/>
  <c r="D99" i="102"/>
  <c r="H97" i="102"/>
  <c r="D96" i="102"/>
  <c r="H93" i="102"/>
  <c r="D90" i="102"/>
  <c r="D87" i="102"/>
  <c r="H84" i="102"/>
  <c r="D84" i="102"/>
  <c r="H81" i="102"/>
  <c r="D81" i="102"/>
  <c r="H78" i="102"/>
  <c r="D78" i="102"/>
  <c r="H75" i="102"/>
  <c r="D75" i="102"/>
  <c r="H72" i="102"/>
  <c r="D72" i="102"/>
  <c r="H69" i="102"/>
  <c r="D69" i="102"/>
  <c r="H66" i="102"/>
  <c r="D66" i="102"/>
  <c r="H63" i="102"/>
  <c r="D62" i="102"/>
  <c r="H60" i="102"/>
  <c r="D59" i="102"/>
  <c r="H57" i="102"/>
  <c r="D56" i="102"/>
  <c r="H54" i="102"/>
  <c r="D52" i="102"/>
  <c r="H51" i="102"/>
  <c r="H48" i="102"/>
  <c r="H45" i="102"/>
  <c r="D44" i="102"/>
  <c r="H42" i="102"/>
  <c r="D40" i="102"/>
  <c r="H39" i="102"/>
  <c r="H36" i="102"/>
  <c r="D36" i="102"/>
  <c r="H33" i="102"/>
  <c r="H31" i="102"/>
  <c r="D29" i="102"/>
  <c r="G26" i="102"/>
  <c r="H27" i="102" s="1"/>
  <c r="H53" i="69" s="1"/>
  <c r="D25" i="102"/>
  <c r="G23" i="102"/>
  <c r="H24" i="102" s="1"/>
  <c r="H52" i="69" s="1"/>
  <c r="D21" i="102"/>
  <c r="H20" i="102"/>
  <c r="H18" i="102"/>
  <c r="D17" i="102"/>
  <c r="H16" i="102"/>
  <c r="D12" i="102"/>
  <c r="H43" i="69" s="1"/>
  <c r="H11" i="102"/>
  <c r="H8" i="102"/>
  <c r="H13" i="102" s="1"/>
  <c r="D175" i="100"/>
  <c r="D172" i="100"/>
  <c r="H170" i="100"/>
  <c r="D169" i="100"/>
  <c r="D162" i="100"/>
  <c r="H160" i="100"/>
  <c r="D159" i="100"/>
  <c r="H156" i="100"/>
  <c r="D156" i="100"/>
  <c r="D153" i="100"/>
  <c r="D150" i="100"/>
  <c r="H149" i="100"/>
  <c r="D147" i="100"/>
  <c r="H146" i="100"/>
  <c r="H151" i="100" s="1"/>
  <c r="H142" i="100"/>
  <c r="D137" i="100"/>
  <c r="H76" i="119" s="1"/>
  <c r="I76" i="119" s="1"/>
  <c r="H135" i="100"/>
  <c r="H132" i="100"/>
  <c r="D130" i="100"/>
  <c r="H129" i="100"/>
  <c r="D128" i="100"/>
  <c r="D132" i="100" s="1"/>
  <c r="H126" i="100"/>
  <c r="D125" i="100"/>
  <c r="H123" i="100"/>
  <c r="H117" i="100"/>
  <c r="D116" i="100"/>
  <c r="H115" i="100"/>
  <c r="H119" i="100" s="1"/>
  <c r="D113" i="100"/>
  <c r="H110" i="100"/>
  <c r="D110" i="100"/>
  <c r="C104" i="100"/>
  <c r="D105" i="100" s="1"/>
  <c r="H102" i="100"/>
  <c r="H100" i="100"/>
  <c r="H103" i="100" s="1"/>
  <c r="C100" i="100"/>
  <c r="D101" i="100" s="1"/>
  <c r="H96" i="100"/>
  <c r="D94" i="100"/>
  <c r="D91" i="100"/>
  <c r="H90" i="100"/>
  <c r="H92" i="100" s="1"/>
  <c r="D88" i="100"/>
  <c r="H86" i="100"/>
  <c r="D84" i="100"/>
  <c r="H80" i="100"/>
  <c r="D76" i="100"/>
  <c r="H73" i="100"/>
  <c r="D72" i="100"/>
  <c r="H70" i="100"/>
  <c r="H67" i="100"/>
  <c r="H64" i="100"/>
  <c r="H59" i="100"/>
  <c r="D57" i="100"/>
  <c r="H56" i="100"/>
  <c r="D54" i="100"/>
  <c r="H52" i="100"/>
  <c r="H49" i="100"/>
  <c r="D49" i="100"/>
  <c r="M43" i="100"/>
  <c r="H45" i="100" s="1"/>
  <c r="H43" i="100"/>
  <c r="G38" i="100"/>
  <c r="H39" i="100" s="1"/>
  <c r="G35" i="100"/>
  <c r="H36" i="100" s="1"/>
  <c r="D35" i="100"/>
  <c r="H31" i="100"/>
  <c r="H29" i="100"/>
  <c r="H27" i="100"/>
  <c r="D27" i="100"/>
  <c r="H25" i="100"/>
  <c r="D23" i="100"/>
  <c r="H18" i="100"/>
  <c r="H20" i="100" s="1"/>
  <c r="D18" i="100"/>
  <c r="C42" i="100" s="1"/>
  <c r="H15" i="100"/>
  <c r="D12" i="100"/>
  <c r="H10" i="100"/>
  <c r="D330" i="99"/>
  <c r="H126" i="119" s="1"/>
  <c r="I126" i="119" s="1"/>
  <c r="D325" i="99"/>
  <c r="H129" i="119" s="1"/>
  <c r="I129" i="119" s="1"/>
  <c r="D320" i="99"/>
  <c r="H122" i="119" s="1"/>
  <c r="I122" i="119" s="1"/>
  <c r="D315" i="99"/>
  <c r="H118" i="119" s="1"/>
  <c r="I118" i="119" s="1"/>
  <c r="D310" i="99"/>
  <c r="H116" i="119" s="1"/>
  <c r="I116" i="119" s="1"/>
  <c r="D306" i="99"/>
  <c r="H115" i="119" s="1"/>
  <c r="I115" i="119" s="1"/>
  <c r="D302" i="99"/>
  <c r="H114" i="119" s="1"/>
  <c r="I114" i="119" s="1"/>
  <c r="D297" i="99"/>
  <c r="H112" i="119" s="1"/>
  <c r="I112" i="119" s="1"/>
  <c r="H283" i="99"/>
  <c r="H108" i="119" s="1"/>
  <c r="I108" i="119" s="1"/>
  <c r="D283" i="99"/>
  <c r="D281" i="99"/>
  <c r="H279" i="99"/>
  <c r="H107" i="119" s="1"/>
  <c r="I107" i="119" s="1"/>
  <c r="D279" i="99"/>
  <c r="D285" i="99" s="1"/>
  <c r="H90" i="119" s="1"/>
  <c r="I90" i="119" s="1"/>
  <c r="H275" i="99"/>
  <c r="H106" i="119" s="1"/>
  <c r="I106" i="119" s="1"/>
  <c r="D273" i="99"/>
  <c r="D270" i="99"/>
  <c r="D263" i="99"/>
  <c r="D260" i="99"/>
  <c r="D257" i="99"/>
  <c r="H255" i="99"/>
  <c r="D254" i="99"/>
  <c r="H252" i="99"/>
  <c r="D251" i="99"/>
  <c r="D248" i="99"/>
  <c r="H245" i="99"/>
  <c r="I242" i="99" s="1"/>
  <c r="D245" i="99"/>
  <c r="H242" i="99"/>
  <c r="D242" i="99"/>
  <c r="H239" i="99"/>
  <c r="D239" i="99"/>
  <c r="D233" i="99"/>
  <c r="D230" i="99"/>
  <c r="H229" i="99"/>
  <c r="D227" i="99"/>
  <c r="H226" i="99"/>
  <c r="D224" i="99"/>
  <c r="H223" i="99"/>
  <c r="D221" i="99"/>
  <c r="H220" i="99"/>
  <c r="D218" i="99"/>
  <c r="H217" i="99"/>
  <c r="D215" i="99"/>
  <c r="H214" i="99"/>
  <c r="H231" i="99" s="1"/>
  <c r="D210" i="99"/>
  <c r="D208" i="99"/>
  <c r="H206" i="99"/>
  <c r="D205" i="99"/>
  <c r="H203" i="99"/>
  <c r="D202" i="99"/>
  <c r="H200" i="99"/>
  <c r="D199" i="99"/>
  <c r="H197" i="99"/>
  <c r="D196" i="99"/>
  <c r="H194" i="99"/>
  <c r="D193" i="99"/>
  <c r="H191" i="99"/>
  <c r="D190" i="99"/>
  <c r="H188" i="99"/>
  <c r="D187" i="99"/>
  <c r="H185" i="99"/>
  <c r="H182" i="99"/>
  <c r="D182" i="99"/>
  <c r="H81" i="119" s="1"/>
  <c r="I81" i="119" s="1"/>
  <c r="H179" i="99"/>
  <c r="H176" i="99"/>
  <c r="D170" i="99"/>
  <c r="H168" i="99"/>
  <c r="D167" i="99"/>
  <c r="H165" i="99"/>
  <c r="I167" i="99" s="1"/>
  <c r="D164" i="99"/>
  <c r="H161" i="99"/>
  <c r="D161" i="99"/>
  <c r="D158" i="99"/>
  <c r="H155" i="99"/>
  <c r="D155" i="99"/>
  <c r="H152" i="99"/>
  <c r="H157" i="99" s="1"/>
  <c r="D149" i="99"/>
  <c r="H146" i="99"/>
  <c r="D146" i="99"/>
  <c r="H143" i="99"/>
  <c r="D143" i="99"/>
  <c r="D140" i="99"/>
  <c r="H138" i="99"/>
  <c r="H66" i="119" s="1"/>
  <c r="I66" i="119" s="1"/>
  <c r="D137" i="99"/>
  <c r="H134" i="99"/>
  <c r="H64" i="119" s="1"/>
  <c r="I64" i="119" s="1"/>
  <c r="D134" i="99"/>
  <c r="D131" i="99"/>
  <c r="H128" i="99"/>
  <c r="H130" i="99" s="1"/>
  <c r="D128" i="99"/>
  <c r="D151" i="99" s="1"/>
  <c r="H125" i="99"/>
  <c r="C122" i="99"/>
  <c r="D123" i="99" s="1"/>
  <c r="H54" i="119" s="1"/>
  <c r="I54" i="119" s="1"/>
  <c r="H121" i="99"/>
  <c r="H62" i="119" s="1"/>
  <c r="I62" i="119" s="1"/>
  <c r="C118" i="99"/>
  <c r="D119" i="99" s="1"/>
  <c r="H53" i="119" s="1"/>
  <c r="I53" i="119" s="1"/>
  <c r="H112" i="99"/>
  <c r="D112" i="99"/>
  <c r="H109" i="99"/>
  <c r="H106" i="99"/>
  <c r="H114" i="99" s="1"/>
  <c r="C104" i="99"/>
  <c r="D105" i="99" s="1"/>
  <c r="D102" i="99"/>
  <c r="D107" i="99" s="1"/>
  <c r="H35" i="119" s="1"/>
  <c r="I35" i="119" s="1"/>
  <c r="H101" i="99"/>
  <c r="C97" i="99"/>
  <c r="D98" i="99" s="1"/>
  <c r="H33" i="119" s="1"/>
  <c r="I33" i="119" s="1"/>
  <c r="C94" i="99"/>
  <c r="D95" i="99" s="1"/>
  <c r="H31" i="119" s="1"/>
  <c r="I31" i="119" s="1"/>
  <c r="H93" i="99"/>
  <c r="H89" i="99"/>
  <c r="D89" i="99"/>
  <c r="D85" i="99"/>
  <c r="D82" i="99"/>
  <c r="D79" i="99"/>
  <c r="D91" i="99" s="1"/>
  <c r="H25" i="119" s="1"/>
  <c r="I25" i="119" s="1"/>
  <c r="H75" i="99"/>
  <c r="D72" i="99"/>
  <c r="H70" i="99"/>
  <c r="H77" i="99" s="1"/>
  <c r="D68" i="99"/>
  <c r="D64" i="99"/>
  <c r="H63" i="99"/>
  <c r="H65" i="99" s="1"/>
  <c r="H54" i="99"/>
  <c r="H20" i="119" s="1"/>
  <c r="I20" i="119" s="1"/>
  <c r="D53" i="99"/>
  <c r="H49" i="99"/>
  <c r="D49" i="99"/>
  <c r="D41" i="99"/>
  <c r="D43" i="99" s="1"/>
  <c r="D36" i="99"/>
  <c r="H35" i="99"/>
  <c r="H15" i="119" s="1"/>
  <c r="I15" i="119" s="1"/>
  <c r="D28" i="99"/>
  <c r="D24" i="99"/>
  <c r="D19" i="99"/>
  <c r="H15" i="99"/>
  <c r="D13" i="99"/>
  <c r="H11" i="99"/>
  <c r="D11" i="99"/>
  <c r="D377" i="102" l="1"/>
  <c r="H97" i="69" s="1"/>
  <c r="D55" i="104"/>
  <c r="H48" i="69" s="1"/>
  <c r="H60" i="104"/>
  <c r="H100" i="104"/>
  <c r="H199" i="104" s="1"/>
  <c r="D215" i="104"/>
  <c r="D30" i="99"/>
  <c r="H148" i="99"/>
  <c r="H69" i="119" s="1"/>
  <c r="I69" i="119" s="1"/>
  <c r="H247" i="99"/>
  <c r="H93" i="119" s="1"/>
  <c r="I93" i="119" s="1"/>
  <c r="H257" i="99"/>
  <c r="H94" i="119" s="1"/>
  <c r="I94" i="119" s="1"/>
  <c r="I109" i="119"/>
  <c r="G30" i="52" s="1"/>
  <c r="D59" i="100"/>
  <c r="H63" i="119"/>
  <c r="I63" i="119" s="1"/>
  <c r="I67" i="119" s="1"/>
  <c r="G24" i="52" s="1"/>
  <c r="D164" i="100"/>
  <c r="H164" i="100" s="1"/>
  <c r="D46" i="102"/>
  <c r="H45" i="69" s="1"/>
  <c r="H102" i="102"/>
  <c r="D145" i="102"/>
  <c r="H69" i="69" s="1"/>
  <c r="D394" i="102"/>
  <c r="H102" i="69" s="1"/>
  <c r="H92" i="69"/>
  <c r="D359" i="102"/>
  <c r="H93" i="69" s="1"/>
  <c r="H128" i="69"/>
  <c r="H149" i="69"/>
  <c r="D28" i="104"/>
  <c r="D79" i="104"/>
  <c r="D177" i="104"/>
  <c r="H193" i="104" s="1"/>
  <c r="H189" i="104"/>
  <c r="H98" i="69" s="1"/>
  <c r="H261" i="99"/>
  <c r="H98" i="119" s="1"/>
  <c r="I98" i="119" s="1"/>
  <c r="H84" i="119"/>
  <c r="I84" i="119" s="1"/>
  <c r="D397" i="102"/>
  <c r="H103" i="69" s="1"/>
  <c r="H247" i="102"/>
  <c r="H96" i="69"/>
  <c r="H17" i="99"/>
  <c r="H28" i="99" s="1"/>
  <c r="H48" i="119"/>
  <c r="I48" i="119" s="1"/>
  <c r="H210" i="99"/>
  <c r="H268" i="99"/>
  <c r="H100" i="119" s="1"/>
  <c r="I100" i="119" s="1"/>
  <c r="H86" i="119"/>
  <c r="I86" i="119" s="1"/>
  <c r="D275" i="99"/>
  <c r="H89" i="119" s="1"/>
  <c r="I89" i="119" s="1"/>
  <c r="I134" i="119"/>
  <c r="G31" i="52" s="1"/>
  <c r="H32" i="100"/>
  <c r="H75" i="100"/>
  <c r="H58" i="119" s="1"/>
  <c r="I58" i="119" s="1"/>
  <c r="I60" i="119" s="1"/>
  <c r="G23" i="52" s="1"/>
  <c r="H21" i="102"/>
  <c r="H49" i="69" s="1"/>
  <c r="D31" i="102"/>
  <c r="H47" i="69"/>
  <c r="D92" i="102"/>
  <c r="H60" i="69"/>
  <c r="H66" i="69"/>
  <c r="H67" i="69"/>
  <c r="H137" i="69"/>
  <c r="H47" i="104"/>
  <c r="H26" i="99"/>
  <c r="H12" i="119"/>
  <c r="I12" i="119" s="1"/>
  <c r="H18" i="119"/>
  <c r="I18" i="119" s="1"/>
  <c r="D74" i="99"/>
  <c r="H21" i="119" s="1"/>
  <c r="I21" i="119" s="1"/>
  <c r="D172" i="99"/>
  <c r="H59" i="119" s="1"/>
  <c r="I59" i="119" s="1"/>
  <c r="H71" i="119"/>
  <c r="I71" i="119" s="1"/>
  <c r="H70" i="119"/>
  <c r="I70" i="119" s="1"/>
  <c r="D265" i="99"/>
  <c r="H88" i="119" s="1"/>
  <c r="I88" i="119" s="1"/>
  <c r="D29" i="100"/>
  <c r="D42" i="100" s="1"/>
  <c r="D97" i="100"/>
  <c r="H49" i="119" s="1"/>
  <c r="I49" i="119" s="1"/>
  <c r="H137" i="100"/>
  <c r="I82" i="119"/>
  <c r="G26" i="52" s="1"/>
  <c r="H86" i="102"/>
  <c r="H57" i="69" s="1"/>
  <c r="C38" i="100"/>
  <c r="D39" i="100" s="1"/>
  <c r="H10" i="119"/>
  <c r="I10" i="119" s="1"/>
  <c r="H60" i="100"/>
  <c r="H39" i="119" s="1"/>
  <c r="I39" i="119" s="1"/>
  <c r="H53" i="100"/>
  <c r="H38" i="119" s="1"/>
  <c r="I38" i="119" s="1"/>
  <c r="D55" i="99"/>
  <c r="H13" i="119" s="1"/>
  <c r="I13" i="119" s="1"/>
  <c r="H170" i="99"/>
  <c r="H72" i="119" s="1"/>
  <c r="I72" i="119" s="1"/>
  <c r="I40" i="119" l="1"/>
  <c r="G19" i="52" s="1"/>
  <c r="D391" i="102"/>
  <c r="H101" i="69" s="1"/>
  <c r="H91" i="69"/>
  <c r="D44" i="100"/>
  <c r="I36" i="119"/>
  <c r="G18" i="52" s="1"/>
  <c r="H56" i="69"/>
  <c r="H90" i="69"/>
  <c r="H61" i="69"/>
  <c r="I73" i="119"/>
  <c r="G25" i="52" s="1"/>
  <c r="H24" i="99"/>
  <c r="H30" i="99" s="1"/>
  <c r="H11" i="119"/>
  <c r="I11" i="119" s="1"/>
  <c r="H44" i="69"/>
  <c r="H265" i="99"/>
  <c r="H99" i="119" s="1"/>
  <c r="I99" i="119" s="1"/>
  <c r="I101" i="119" s="1"/>
  <c r="G28" i="52" s="1"/>
  <c r="H85" i="119"/>
  <c r="I85" i="119" s="1"/>
  <c r="I96" i="119" s="1"/>
  <c r="G27" i="52" s="1"/>
  <c r="H14" i="119"/>
  <c r="I14" i="119" s="1"/>
  <c r="I16" i="119" s="1"/>
  <c r="G17" i="52" s="1"/>
  <c r="K52" i="98"/>
  <c r="J52" i="98"/>
  <c r="I52" i="98"/>
  <c r="H52" i="98"/>
  <c r="G52" i="98"/>
  <c r="K51" i="98"/>
  <c r="J51" i="98"/>
  <c r="I51" i="98"/>
  <c r="H51" i="98"/>
  <c r="G51" i="98"/>
  <c r="K50" i="98"/>
  <c r="J50" i="98"/>
  <c r="I50" i="98"/>
  <c r="H50" i="98"/>
  <c r="G50" i="98"/>
  <c r="K49" i="98"/>
  <c r="J49" i="98"/>
  <c r="I49" i="98"/>
  <c r="H49" i="98"/>
  <c r="G49" i="98"/>
  <c r="K48" i="98"/>
  <c r="J48" i="98"/>
  <c r="I48" i="98"/>
  <c r="H48" i="98"/>
  <c r="G48" i="98"/>
  <c r="K47" i="98"/>
  <c r="J47" i="98"/>
  <c r="I47" i="98"/>
  <c r="H47" i="98"/>
  <c r="G47" i="98"/>
  <c r="K46" i="98"/>
  <c r="J46" i="98"/>
  <c r="I46" i="98"/>
  <c r="H46" i="98"/>
  <c r="G46" i="98"/>
  <c r="K45" i="98"/>
  <c r="J45" i="98"/>
  <c r="I45" i="98"/>
  <c r="H45" i="98"/>
  <c r="G45" i="98"/>
  <c r="K44" i="98"/>
  <c r="J44" i="98"/>
  <c r="I44" i="98"/>
  <c r="H44" i="98"/>
  <c r="G44" i="98"/>
  <c r="K43" i="98"/>
  <c r="J43" i="98"/>
  <c r="I43" i="98"/>
  <c r="H43" i="98"/>
  <c r="G43" i="98"/>
  <c r="K42" i="98"/>
  <c r="J42" i="98"/>
  <c r="I42" i="98"/>
  <c r="H42" i="98"/>
  <c r="G42" i="98"/>
  <c r="K41" i="98"/>
  <c r="J41" i="98"/>
  <c r="I41" i="98"/>
  <c r="H41" i="98"/>
  <c r="G41" i="98"/>
  <c r="K40" i="98"/>
  <c r="J40" i="98"/>
  <c r="I40" i="98"/>
  <c r="H40" i="98"/>
  <c r="G40" i="98"/>
  <c r="K39" i="98"/>
  <c r="J39" i="98"/>
  <c r="I39" i="98"/>
  <c r="H39" i="98"/>
  <c r="G39" i="98"/>
  <c r="K38" i="98"/>
  <c r="J38" i="98"/>
  <c r="I38" i="98"/>
  <c r="H38" i="98"/>
  <c r="G38" i="98"/>
  <c r="K37" i="98"/>
  <c r="J37" i="98"/>
  <c r="I37" i="98"/>
  <c r="H37" i="98"/>
  <c r="G37" i="98"/>
  <c r="K36" i="98"/>
  <c r="J36" i="98"/>
  <c r="I36" i="98"/>
  <c r="H36" i="98"/>
  <c r="G36" i="98"/>
  <c r="K35" i="98"/>
  <c r="J35" i="98"/>
  <c r="I35" i="98"/>
  <c r="H35" i="98"/>
  <c r="G35" i="98"/>
  <c r="K34" i="98"/>
  <c r="J34" i="98"/>
  <c r="I34" i="98"/>
  <c r="H34" i="98"/>
  <c r="G34" i="98"/>
  <c r="K25" i="98"/>
  <c r="J25" i="98"/>
  <c r="I25" i="98"/>
  <c r="H25" i="98"/>
  <c r="G25" i="98"/>
  <c r="K24" i="98"/>
  <c r="J24" i="98"/>
  <c r="I24" i="98"/>
  <c r="H24" i="98"/>
  <c r="G24" i="98"/>
  <c r="K23" i="98"/>
  <c r="J23" i="98"/>
  <c r="I23" i="98"/>
  <c r="H23" i="98"/>
  <c r="G23" i="98"/>
  <c r="K22" i="98"/>
  <c r="J22" i="98"/>
  <c r="I22" i="98"/>
  <c r="H22" i="98"/>
  <c r="G22" i="98"/>
  <c r="K21" i="98"/>
  <c r="J21" i="98"/>
  <c r="I21" i="98"/>
  <c r="H21" i="98"/>
  <c r="G21" i="98"/>
  <c r="K20" i="98"/>
  <c r="J20" i="98"/>
  <c r="I20" i="98"/>
  <c r="H20" i="98"/>
  <c r="G20" i="98"/>
  <c r="K19" i="98"/>
  <c r="J19" i="98"/>
  <c r="I19" i="98"/>
  <c r="H19" i="98"/>
  <c r="G19" i="98"/>
  <c r="K18" i="98"/>
  <c r="J18" i="98"/>
  <c r="I18" i="98"/>
  <c r="H18" i="98"/>
  <c r="G18" i="98"/>
  <c r="K17" i="98"/>
  <c r="J17" i="98"/>
  <c r="I17" i="98"/>
  <c r="H17" i="98"/>
  <c r="G17" i="98"/>
  <c r="K16" i="98"/>
  <c r="J16" i="98"/>
  <c r="I16" i="98"/>
  <c r="H16" i="98"/>
  <c r="G16" i="98"/>
  <c r="K15" i="98"/>
  <c r="J15" i="98"/>
  <c r="I15" i="98"/>
  <c r="H15" i="98"/>
  <c r="G15" i="98"/>
  <c r="K14" i="98"/>
  <c r="J14" i="98"/>
  <c r="I14" i="98"/>
  <c r="H14" i="98"/>
  <c r="G14" i="98"/>
  <c r="K13" i="98"/>
  <c r="J13" i="98"/>
  <c r="I13" i="98"/>
  <c r="H13" i="98"/>
  <c r="G13" i="98"/>
  <c r="K12" i="98"/>
  <c r="J12" i="98"/>
  <c r="I12" i="98"/>
  <c r="H12" i="98"/>
  <c r="G12" i="98"/>
  <c r="K11" i="98"/>
  <c r="J11" i="98"/>
  <c r="I11" i="98"/>
  <c r="H11" i="98"/>
  <c r="G11" i="98"/>
  <c r="K10" i="98"/>
  <c r="J10" i="98"/>
  <c r="I10" i="98"/>
  <c r="H10" i="98"/>
  <c r="G10" i="98"/>
  <c r="K9" i="98"/>
  <c r="J9" i="98"/>
  <c r="I9" i="98"/>
  <c r="H9" i="98"/>
  <c r="G9" i="98"/>
  <c r="K8" i="98"/>
  <c r="J8" i="98"/>
  <c r="I8" i="98"/>
  <c r="H8" i="98"/>
  <c r="G8" i="98"/>
  <c r="K52" i="96"/>
  <c r="K182" i="96"/>
  <c r="K181" i="96"/>
  <c r="G181" i="96"/>
  <c r="K180" i="96"/>
  <c r="K179" i="96"/>
  <c r="G179" i="96"/>
  <c r="K178" i="96"/>
  <c r="K177" i="96"/>
  <c r="G177" i="96"/>
  <c r="K176" i="96"/>
  <c r="G176" i="96"/>
  <c r="K175" i="96"/>
  <c r="G175" i="96"/>
  <c r="K174" i="96"/>
  <c r="G174" i="96"/>
  <c r="K173" i="96"/>
  <c r="G172" i="96"/>
  <c r="K171" i="96"/>
  <c r="G171" i="96"/>
  <c r="K170" i="96"/>
  <c r="K169" i="96"/>
  <c r="K168" i="96"/>
  <c r="K167" i="96"/>
  <c r="G167" i="96"/>
  <c r="K166" i="96"/>
  <c r="G166" i="96"/>
  <c r="G165" i="96"/>
  <c r="G164" i="96"/>
  <c r="K163" i="96"/>
  <c r="K162" i="96"/>
  <c r="G162" i="96"/>
  <c r="K161" i="96"/>
  <c r="G161" i="96"/>
  <c r="G160" i="96"/>
  <c r="G159" i="96"/>
  <c r="K158" i="96"/>
  <c r="K157" i="96"/>
  <c r="G157" i="96"/>
  <c r="K156" i="96"/>
  <c r="G156" i="96"/>
  <c r="K155" i="96"/>
  <c r="G155" i="96"/>
  <c r="K154" i="96"/>
  <c r="G154" i="96"/>
  <c r="K153" i="96"/>
  <c r="G153" i="96"/>
  <c r="G152" i="96"/>
  <c r="K151" i="96"/>
  <c r="K150" i="96"/>
  <c r="K149" i="96"/>
  <c r="K141" i="96"/>
  <c r="K140" i="96"/>
  <c r="G140" i="96"/>
  <c r="K139" i="96"/>
  <c r="K138" i="96"/>
  <c r="G138" i="96"/>
  <c r="K137" i="96"/>
  <c r="K136" i="96"/>
  <c r="K135" i="96"/>
  <c r="G135" i="96"/>
  <c r="K134" i="96"/>
  <c r="G134" i="96"/>
  <c r="K133" i="96"/>
  <c r="K132" i="96"/>
  <c r="G132" i="96"/>
  <c r="K131" i="96"/>
  <c r="K130" i="96"/>
  <c r="G130" i="96"/>
  <c r="K129" i="96"/>
  <c r="K128" i="96"/>
  <c r="G128" i="96"/>
  <c r="K127" i="96"/>
  <c r="K126" i="96"/>
  <c r="G126" i="96"/>
  <c r="K125" i="96"/>
  <c r="G125" i="96"/>
  <c r="K124" i="96"/>
  <c r="G124" i="96"/>
  <c r="K123" i="96"/>
  <c r="G123" i="96"/>
  <c r="K122" i="96"/>
  <c r="K121" i="96"/>
  <c r="K120" i="96"/>
  <c r="K119" i="96"/>
  <c r="G119" i="96"/>
  <c r="K118" i="96"/>
  <c r="G118" i="96"/>
  <c r="K117" i="96"/>
  <c r="G117" i="96"/>
  <c r="K116" i="96"/>
  <c r="G116" i="96"/>
  <c r="K115" i="96"/>
  <c r="K114" i="96"/>
  <c r="G114" i="96"/>
  <c r="K113" i="96"/>
  <c r="K111" i="96"/>
  <c r="G111" i="96"/>
  <c r="K110" i="96"/>
  <c r="G110" i="96"/>
  <c r="K109" i="96"/>
  <c r="G109" i="96"/>
  <c r="K108" i="96"/>
  <c r="K107" i="96"/>
  <c r="K106" i="96"/>
  <c r="K105" i="96"/>
  <c r="G105" i="96"/>
  <c r="K103" i="96"/>
  <c r="G103" i="96"/>
  <c r="K102" i="96"/>
  <c r="G102" i="96"/>
  <c r="K101" i="96"/>
  <c r="K100" i="96"/>
  <c r="G100" i="96"/>
  <c r="K99" i="96"/>
  <c r="G99" i="96"/>
  <c r="K98" i="96"/>
  <c r="G98" i="96"/>
  <c r="K97" i="96"/>
  <c r="G97" i="96"/>
  <c r="K96" i="96"/>
  <c r="G96" i="96"/>
  <c r="K95" i="96"/>
  <c r="G95" i="96"/>
  <c r="K94" i="96"/>
  <c r="K93" i="96"/>
  <c r="K92" i="96"/>
  <c r="K91" i="96"/>
  <c r="G91" i="96"/>
  <c r="K90" i="96"/>
  <c r="G90" i="96"/>
  <c r="K89" i="96"/>
  <c r="G89" i="96"/>
  <c r="K88" i="96"/>
  <c r="G88" i="96"/>
  <c r="K87" i="96"/>
  <c r="G87" i="96"/>
  <c r="K86" i="96"/>
  <c r="G86" i="96"/>
  <c r="K85" i="96"/>
  <c r="G85" i="96"/>
  <c r="K84" i="96"/>
  <c r="K83" i="96"/>
  <c r="K82" i="96"/>
  <c r="G82" i="96"/>
  <c r="K81" i="96"/>
  <c r="K80" i="96"/>
  <c r="G80" i="96"/>
  <c r="K79" i="96"/>
  <c r="G79" i="96"/>
  <c r="K78" i="96"/>
  <c r="K77" i="96"/>
  <c r="G77" i="96"/>
  <c r="K76" i="96"/>
  <c r="K75" i="96"/>
  <c r="G75" i="96"/>
  <c r="K74" i="96"/>
  <c r="G73" i="96"/>
  <c r="K72" i="96"/>
  <c r="G72" i="96"/>
  <c r="K71" i="96"/>
  <c r="K70" i="96"/>
  <c r="K53" i="96"/>
  <c r="G52" i="96"/>
  <c r="G51" i="96"/>
  <c r="K50" i="96"/>
  <c r="K49" i="96"/>
  <c r="G49" i="96"/>
  <c r="K48" i="96"/>
  <c r="K23" i="96"/>
  <c r="K22" i="96"/>
  <c r="K21" i="96"/>
  <c r="K20" i="96"/>
  <c r="G20" i="96"/>
  <c r="K19" i="96"/>
  <c r="K18" i="96"/>
  <c r="G18" i="96"/>
  <c r="K17" i="96"/>
  <c r="K16" i="96"/>
  <c r="G16" i="96"/>
  <c r="K15" i="96"/>
  <c r="K14" i="96"/>
  <c r="G14" i="96"/>
  <c r="K13" i="96"/>
  <c r="G13" i="96"/>
  <c r="K12" i="96"/>
  <c r="G12" i="96"/>
  <c r="K10" i="96"/>
  <c r="K9" i="96"/>
  <c r="G9" i="96"/>
  <c r="I46" i="95"/>
  <c r="F26" i="95"/>
  <c r="I27" i="98" l="1"/>
  <c r="I29" i="98" s="1"/>
  <c r="J27" i="98"/>
  <c r="J29" i="98" s="1"/>
  <c r="G182" i="96"/>
  <c r="G53" i="98"/>
  <c r="G55" i="98" s="1"/>
  <c r="K53" i="98"/>
  <c r="K55" i="98" s="1"/>
  <c r="H53" i="98"/>
  <c r="H55" i="98" s="1"/>
  <c r="H165" i="96" s="1"/>
  <c r="I165" i="96" s="1"/>
  <c r="J53" i="98"/>
  <c r="J55" i="98" s="1"/>
  <c r="H164" i="96" s="1"/>
  <c r="I53" i="98"/>
  <c r="I55" i="98" s="1"/>
  <c r="G27" i="98"/>
  <c r="G29" i="98" s="1"/>
  <c r="K27" i="98"/>
  <c r="K29" i="98" s="1"/>
  <c r="H27" i="98"/>
  <c r="H29" i="98" s="1"/>
  <c r="G141" i="96"/>
  <c r="G53" i="96"/>
  <c r="G69" i="96" s="1"/>
  <c r="G106" i="96"/>
  <c r="G120" i="96"/>
  <c r="I141" i="96"/>
  <c r="E22" i="95" s="1"/>
  <c r="I120" i="96"/>
  <c r="E21" i="95" s="1"/>
  <c r="K159" i="96"/>
  <c r="K152" i="96"/>
  <c r="K160" i="96"/>
  <c r="K172" i="96"/>
  <c r="K51" i="96"/>
  <c r="K73" i="96"/>
  <c r="K164" i="96" l="1"/>
  <c r="I164" i="96"/>
  <c r="I182" i="96" s="1"/>
  <c r="E24" i="95" s="1"/>
  <c r="H104" i="96"/>
  <c r="K165" i="96"/>
  <c r="I53" i="96"/>
  <c r="E17" i="95" s="1"/>
  <c r="I92" i="96"/>
  <c r="E19" i="95" s="1"/>
  <c r="K183" i="96" l="1"/>
  <c r="I104" i="96"/>
  <c r="I106" i="96" s="1"/>
  <c r="E20" i="95" s="1"/>
  <c r="G26" i="95" s="1"/>
  <c r="E30" i="95" l="1"/>
  <c r="D22" i="47"/>
  <c r="E33" i="95"/>
  <c r="F70" i="59" l="1"/>
  <c r="I110" i="57"/>
  <c r="I113" i="57"/>
  <c r="I115" i="57"/>
  <c r="I116" i="57"/>
  <c r="I117" i="57"/>
  <c r="I119" i="57"/>
  <c r="I120" i="57"/>
  <c r="I121" i="57"/>
  <c r="I123" i="57"/>
  <c r="I124" i="57"/>
  <c r="I129" i="57"/>
  <c r="I131" i="57"/>
  <c r="I132" i="57"/>
  <c r="I133" i="57"/>
  <c r="I134" i="57"/>
  <c r="I135" i="57"/>
  <c r="I136" i="57"/>
  <c r="I137" i="57"/>
  <c r="I138" i="57"/>
  <c r="I139" i="57"/>
  <c r="I140" i="57"/>
  <c r="D156" i="84"/>
  <c r="D153" i="84"/>
  <c r="D150" i="84"/>
  <c r="D147" i="84"/>
  <c r="D144" i="84"/>
  <c r="D141" i="84"/>
  <c r="D138" i="84"/>
  <c r="D135" i="84"/>
  <c r="D132" i="84"/>
  <c r="D129" i="84"/>
  <c r="D126" i="84"/>
  <c r="F80" i="57"/>
  <c r="I81" i="57"/>
  <c r="I76" i="57"/>
  <c r="I77" i="57"/>
  <c r="I78" i="57"/>
  <c r="F79" i="57"/>
  <c r="J84" i="51"/>
  <c r="J86" i="51"/>
  <c r="G85" i="51"/>
  <c r="J86" i="49"/>
  <c r="J87" i="49"/>
  <c r="G74" i="49"/>
  <c r="D709" i="83"/>
  <c r="D860" i="83"/>
  <c r="D859" i="83"/>
  <c r="D858" i="83"/>
  <c r="D857" i="83"/>
  <c r="D854" i="83"/>
  <c r="D851" i="83"/>
  <c r="D850" i="83"/>
  <c r="D849" i="83"/>
  <c r="D848" i="83"/>
  <c r="D847" i="83"/>
  <c r="D846" i="83"/>
  <c r="D845" i="83"/>
  <c r="H844" i="83"/>
  <c r="D844" i="83"/>
  <c r="H843" i="83"/>
  <c r="D843" i="83"/>
  <c r="H842" i="83"/>
  <c r="D842" i="83"/>
  <c r="H841" i="83"/>
  <c r="D841" i="83"/>
  <c r="H840" i="83"/>
  <c r="D840" i="83"/>
  <c r="H839" i="83"/>
  <c r="D839" i="83"/>
  <c r="H838" i="83"/>
  <c r="D838" i="83"/>
  <c r="H837" i="83"/>
  <c r="D837" i="83"/>
  <c r="H836" i="83"/>
  <c r="D836" i="83"/>
  <c r="H835" i="83"/>
  <c r="D835" i="83"/>
  <c r="D834" i="83"/>
  <c r="D833" i="83"/>
  <c r="H832" i="83"/>
  <c r="D832" i="83"/>
  <c r="H831" i="83"/>
  <c r="D831" i="83"/>
  <c r="H830" i="83"/>
  <c r="D830" i="83"/>
  <c r="H829" i="83"/>
  <c r="D829" i="83"/>
  <c r="H828" i="83"/>
  <c r="D828" i="83"/>
  <c r="H827" i="83"/>
  <c r="D827" i="83"/>
  <c r="H826" i="83"/>
  <c r="H825" i="83"/>
  <c r="H824" i="83"/>
  <c r="D869" i="83"/>
  <c r="D868" i="83"/>
  <c r="D867" i="83"/>
  <c r="D866" i="83"/>
  <c r="D865" i="83"/>
  <c r="D864" i="83"/>
  <c r="D863" i="83"/>
  <c r="D862" i="83"/>
  <c r="D861" i="83"/>
  <c r="D13" i="83"/>
  <c r="H39" i="54" s="1"/>
  <c r="H559" i="79"/>
  <c r="D610" i="78"/>
  <c r="I51" i="49"/>
  <c r="I50" i="49"/>
  <c r="D158" i="84" l="1"/>
  <c r="H271" i="84" s="1"/>
  <c r="H98" i="57" s="1"/>
  <c r="H846" i="83"/>
  <c r="H98" i="90" l="1"/>
  <c r="H94" i="90"/>
  <c r="H87" i="90"/>
  <c r="H84" i="90"/>
  <c r="H79" i="90"/>
  <c r="G83" i="67" s="1"/>
  <c r="D82" i="90"/>
  <c r="G76" i="67" s="1"/>
  <c r="H76" i="67" s="1"/>
  <c r="D99" i="90"/>
  <c r="D96" i="90"/>
  <c r="D93" i="90"/>
  <c r="H70" i="90"/>
  <c r="D90" i="90"/>
  <c r="H67" i="90"/>
  <c r="D87" i="90"/>
  <c r="D121" i="90"/>
  <c r="D76" i="90"/>
  <c r="D118" i="90"/>
  <c r="D73" i="90"/>
  <c r="D115" i="90"/>
  <c r="D69" i="90"/>
  <c r="G68" i="67" s="1"/>
  <c r="D112" i="90"/>
  <c r="H59" i="90"/>
  <c r="D109" i="90"/>
  <c r="H56" i="90"/>
  <c r="D106" i="90"/>
  <c r="H50" i="90"/>
  <c r="H47" i="90"/>
  <c r="H42" i="90"/>
  <c r="G63" i="67" s="1"/>
  <c r="H36" i="90"/>
  <c r="G62" i="67" s="1"/>
  <c r="H22" i="90"/>
  <c r="G60" i="67" s="1"/>
  <c r="D29" i="90"/>
  <c r="G45" i="67" s="1"/>
  <c r="D12" i="90"/>
  <c r="G42" i="67" s="1"/>
  <c r="D45" i="90"/>
  <c r="D42" i="90"/>
  <c r="H30" i="90"/>
  <c r="D39" i="90"/>
  <c r="H27" i="90"/>
  <c r="H32" i="90" s="1"/>
  <c r="G61" i="67" s="1"/>
  <c r="D36" i="90"/>
  <c r="D33" i="90"/>
  <c r="H14" i="90"/>
  <c r="H11" i="90"/>
  <c r="D21" i="90"/>
  <c r="H8" i="90"/>
  <c r="D17" i="90"/>
  <c r="D23" i="90" s="1"/>
  <c r="G43" i="67" s="1"/>
  <c r="D64" i="90"/>
  <c r="D61" i="90"/>
  <c r="D58" i="90"/>
  <c r="I1" i="90"/>
  <c r="H112" i="89"/>
  <c r="H103" i="65" s="1"/>
  <c r="H107" i="89"/>
  <c r="H97" i="65" s="1"/>
  <c r="H86" i="89"/>
  <c r="H83" i="89"/>
  <c r="H80" i="89"/>
  <c r="D100" i="89"/>
  <c r="D106" i="89"/>
  <c r="D109" i="89"/>
  <c r="D112" i="89"/>
  <c r="D115" i="89"/>
  <c r="D118" i="89"/>
  <c r="H68" i="89"/>
  <c r="H71" i="89"/>
  <c r="H74" i="89"/>
  <c r="D69" i="89"/>
  <c r="D72" i="89"/>
  <c r="D75" i="89"/>
  <c r="D78" i="89"/>
  <c r="D81" i="89"/>
  <c r="D84" i="89"/>
  <c r="D91" i="89"/>
  <c r="D94" i="89"/>
  <c r="D97" i="89"/>
  <c r="D103" i="89"/>
  <c r="H62" i="89"/>
  <c r="H60" i="89"/>
  <c r="H56" i="89"/>
  <c r="H52" i="89"/>
  <c r="H49" i="89"/>
  <c r="H34" i="89"/>
  <c r="H30" i="89"/>
  <c r="H25" i="89"/>
  <c r="H41" i="89"/>
  <c r="H38" i="89"/>
  <c r="H17" i="89"/>
  <c r="H14" i="89"/>
  <c r="H11" i="89"/>
  <c r="H8" i="89"/>
  <c r="D62" i="89"/>
  <c r="D59" i="89"/>
  <c r="D56" i="89"/>
  <c r="D53" i="89"/>
  <c r="D13" i="89"/>
  <c r="D18" i="89"/>
  <c r="D22" i="89"/>
  <c r="D30" i="89"/>
  <c r="D34" i="89"/>
  <c r="D37" i="89"/>
  <c r="D40" i="89"/>
  <c r="I1" i="89"/>
  <c r="H397" i="88"/>
  <c r="H140" i="62" s="1"/>
  <c r="H392" i="88"/>
  <c r="H387" i="88"/>
  <c r="H138" i="62" s="1"/>
  <c r="H383" i="88"/>
  <c r="H137" i="62" s="1"/>
  <c r="H379" i="88"/>
  <c r="H136" i="62" s="1"/>
  <c r="H375" i="88"/>
  <c r="H135" i="62" s="1"/>
  <c r="H371" i="88"/>
  <c r="H134" i="62" s="1"/>
  <c r="H367" i="88"/>
  <c r="H364" i="88"/>
  <c r="H130" i="62" s="1"/>
  <c r="D412" i="88"/>
  <c r="H127" i="62" s="1"/>
  <c r="D408" i="88"/>
  <c r="H126" i="62" s="1"/>
  <c r="D404" i="88"/>
  <c r="H125" i="62" s="1"/>
  <c r="D400" i="88"/>
  <c r="H124" i="62" s="1"/>
  <c r="D395" i="88"/>
  <c r="H121" i="62" s="1"/>
  <c r="D391" i="88"/>
  <c r="H122" i="62" s="1"/>
  <c r="D387" i="88"/>
  <c r="H120" i="62" s="1"/>
  <c r="D383" i="88"/>
  <c r="H119" i="62" s="1"/>
  <c r="D379" i="88"/>
  <c r="H118" i="62" s="1"/>
  <c r="D374" i="88"/>
  <c r="H116" i="62" s="1"/>
  <c r="D370" i="88"/>
  <c r="H115" i="62" s="1"/>
  <c r="D365" i="88"/>
  <c r="H113" i="62" s="1"/>
  <c r="H335" i="88"/>
  <c r="H104" i="62" s="1"/>
  <c r="H331" i="88"/>
  <c r="H327" i="88"/>
  <c r="H101" i="62" s="1"/>
  <c r="H347" i="88"/>
  <c r="H109" i="62" s="1"/>
  <c r="H344" i="88"/>
  <c r="H108" i="62" s="1"/>
  <c r="H341" i="88"/>
  <c r="H107" i="62" s="1"/>
  <c r="H304" i="88"/>
  <c r="H306" i="88" s="1"/>
  <c r="D353" i="88"/>
  <c r="D350" i="88"/>
  <c r="D344" i="88"/>
  <c r="D346" i="88" s="1"/>
  <c r="H90" i="62" s="1"/>
  <c r="D341" i="88"/>
  <c r="D334" i="88"/>
  <c r="D331" i="88"/>
  <c r="D336" i="88" s="1"/>
  <c r="H89" i="62" s="1"/>
  <c r="D324" i="88"/>
  <c r="D321" i="88"/>
  <c r="D318" i="88"/>
  <c r="D315" i="88"/>
  <c r="D312" i="88"/>
  <c r="D309" i="88"/>
  <c r="D306" i="88"/>
  <c r="D303" i="88"/>
  <c r="H299" i="88"/>
  <c r="H296" i="88"/>
  <c r="H293" i="88"/>
  <c r="H290" i="88"/>
  <c r="H287" i="88"/>
  <c r="H280" i="88"/>
  <c r="H277" i="88"/>
  <c r="H274" i="88"/>
  <c r="H271" i="88"/>
  <c r="H268" i="88"/>
  <c r="H265" i="88"/>
  <c r="H262" i="88"/>
  <c r="H259" i="88"/>
  <c r="H256" i="88"/>
  <c r="H253" i="88"/>
  <c r="H250" i="88"/>
  <c r="H247" i="88"/>
  <c r="H244" i="88"/>
  <c r="D298" i="88"/>
  <c r="D295" i="88"/>
  <c r="D292" i="88"/>
  <c r="D289" i="88"/>
  <c r="D286" i="88"/>
  <c r="D283" i="88"/>
  <c r="D280" i="88"/>
  <c r="D277" i="88"/>
  <c r="D271" i="88"/>
  <c r="D253" i="88"/>
  <c r="D268" i="88"/>
  <c r="D265" i="88"/>
  <c r="D262" i="88"/>
  <c r="D259" i="88"/>
  <c r="D256" i="88"/>
  <c r="D250" i="88"/>
  <c r="D247" i="88"/>
  <c r="D244" i="88"/>
  <c r="H239" i="88"/>
  <c r="H236" i="88"/>
  <c r="H233" i="88"/>
  <c r="H225" i="88"/>
  <c r="H221" i="88"/>
  <c r="H219" i="88"/>
  <c r="H216" i="88"/>
  <c r="D228" i="88"/>
  <c r="H213" i="88"/>
  <c r="D225" i="88"/>
  <c r="H210" i="88"/>
  <c r="D222" i="88"/>
  <c r="H207" i="88"/>
  <c r="D219" i="88"/>
  <c r="H204" i="88"/>
  <c r="D216" i="88"/>
  <c r="H201" i="88"/>
  <c r="D213" i="88"/>
  <c r="H198" i="88"/>
  <c r="D210" i="88"/>
  <c r="H195" i="88"/>
  <c r="D207" i="88"/>
  <c r="H192" i="88"/>
  <c r="D204" i="88"/>
  <c r="H189" i="88"/>
  <c r="D201" i="88"/>
  <c r="H186" i="88"/>
  <c r="D198" i="88"/>
  <c r="D240" i="88"/>
  <c r="D195" i="88"/>
  <c r="D237" i="88"/>
  <c r="D192" i="88"/>
  <c r="D234" i="88"/>
  <c r="D189" i="88"/>
  <c r="D231" i="88"/>
  <c r="D186" i="88"/>
  <c r="H181" i="88"/>
  <c r="H178" i="88"/>
  <c r="H175" i="88"/>
  <c r="H172" i="88"/>
  <c r="H169" i="88"/>
  <c r="H166" i="88"/>
  <c r="H163" i="88"/>
  <c r="H160" i="88"/>
  <c r="H157" i="88"/>
  <c r="H154" i="88"/>
  <c r="H151" i="88"/>
  <c r="H148" i="88"/>
  <c r="H145" i="88"/>
  <c r="H142" i="88"/>
  <c r="H139" i="88"/>
  <c r="H136" i="88"/>
  <c r="H133" i="88"/>
  <c r="H130" i="88"/>
  <c r="H127" i="88"/>
  <c r="D182" i="88"/>
  <c r="D179" i="88"/>
  <c r="D172" i="88"/>
  <c r="D169" i="88"/>
  <c r="D166" i="88"/>
  <c r="D163" i="88"/>
  <c r="D160" i="88"/>
  <c r="D157" i="88"/>
  <c r="D154" i="88"/>
  <c r="D151" i="88"/>
  <c r="D148" i="88"/>
  <c r="D144" i="88"/>
  <c r="H81" i="62" s="1"/>
  <c r="D140" i="88"/>
  <c r="H80" i="62" s="1"/>
  <c r="D136" i="88"/>
  <c r="H79" i="62" s="1"/>
  <c r="D132" i="88"/>
  <c r="H76" i="62" s="1"/>
  <c r="D128" i="88"/>
  <c r="H75" i="62" s="1"/>
  <c r="H122" i="88"/>
  <c r="H74" i="62" s="1"/>
  <c r="H118" i="88"/>
  <c r="H70" i="62" s="1"/>
  <c r="H114" i="88"/>
  <c r="H69" i="62" s="1"/>
  <c r="H110" i="88"/>
  <c r="H68" i="62" s="1"/>
  <c r="I68" i="62" s="1"/>
  <c r="H103" i="88"/>
  <c r="H100" i="88"/>
  <c r="H96" i="88"/>
  <c r="H65" i="62" s="1"/>
  <c r="H89" i="88"/>
  <c r="H86" i="88"/>
  <c r="H79" i="88"/>
  <c r="H76" i="88"/>
  <c r="D114" i="88"/>
  <c r="H57" i="62" s="1"/>
  <c r="I57" i="62" s="1"/>
  <c r="H72" i="88"/>
  <c r="H60" i="62" s="1"/>
  <c r="H68" i="88"/>
  <c r="H59" i="62" s="1"/>
  <c r="D121" i="88"/>
  <c r="D118" i="88"/>
  <c r="D106" i="88"/>
  <c r="D103" i="88"/>
  <c r="D100" i="88"/>
  <c r="D97" i="88"/>
  <c r="D94" i="88"/>
  <c r="H39" i="88"/>
  <c r="H42" i="88"/>
  <c r="H45" i="88"/>
  <c r="D88" i="88"/>
  <c r="D85" i="88"/>
  <c r="D82" i="88"/>
  <c r="D79" i="88"/>
  <c r="D76" i="88"/>
  <c r="D73" i="88"/>
  <c r="D70" i="88"/>
  <c r="D67" i="88"/>
  <c r="H63" i="88"/>
  <c r="H60" i="88"/>
  <c r="H57" i="88"/>
  <c r="H54" i="88"/>
  <c r="H51" i="88"/>
  <c r="H48" i="88"/>
  <c r="D13" i="88"/>
  <c r="H39" i="62" s="1"/>
  <c r="D45" i="88"/>
  <c r="H23" i="88"/>
  <c r="D41" i="88"/>
  <c r="H20" i="88"/>
  <c r="D37" i="88"/>
  <c r="H17" i="88"/>
  <c r="D30" i="88"/>
  <c r="H11" i="88"/>
  <c r="D26" i="88"/>
  <c r="H8" i="88"/>
  <c r="D63" i="88"/>
  <c r="D22" i="88"/>
  <c r="D60" i="88"/>
  <c r="D18" i="88"/>
  <c r="D57" i="88"/>
  <c r="D53" i="88"/>
  <c r="H44" i="62" s="1"/>
  <c r="H50" i="87"/>
  <c r="H45" i="87"/>
  <c r="H140" i="61" s="1"/>
  <c r="I140" i="61" s="1"/>
  <c r="H41" i="87"/>
  <c r="H139" i="61" s="1"/>
  <c r="I139" i="61" s="1"/>
  <c r="H57" i="87"/>
  <c r="H54" i="87"/>
  <c r="H34" i="87"/>
  <c r="H135" i="61" s="1"/>
  <c r="H30" i="87"/>
  <c r="H134" i="61" s="1"/>
  <c r="H26" i="87"/>
  <c r="H133" i="61" s="1"/>
  <c r="D30" i="87"/>
  <c r="D12" i="87"/>
  <c r="H116" i="61" s="1"/>
  <c r="H11" i="86"/>
  <c r="H8" i="86"/>
  <c r="D60" i="86"/>
  <c r="D57" i="86"/>
  <c r="I58" i="111" l="1"/>
  <c r="H64" i="65"/>
  <c r="H74" i="90"/>
  <c r="G82" i="67" s="1"/>
  <c r="D24" i="89"/>
  <c r="I59" i="111"/>
  <c r="H65" i="65"/>
  <c r="H41" i="65"/>
  <c r="I37" i="111"/>
  <c r="I53" i="111"/>
  <c r="H59" i="65"/>
  <c r="I60" i="111"/>
  <c r="H66" i="65"/>
  <c r="H52" i="90"/>
  <c r="G66" i="67" s="1"/>
  <c r="H100" i="90"/>
  <c r="G90" i="67" s="1"/>
  <c r="I52" i="111"/>
  <c r="H58" i="65"/>
  <c r="H76" i="89"/>
  <c r="H59" i="87"/>
  <c r="I40" i="111"/>
  <c r="H44" i="65"/>
  <c r="H43" i="89"/>
  <c r="H60" i="65"/>
  <c r="I54" i="111"/>
  <c r="H64" i="89"/>
  <c r="H61" i="90"/>
  <c r="G67" i="67" s="1"/>
  <c r="D78" i="90"/>
  <c r="G69" i="67" s="1"/>
  <c r="H88" i="89"/>
  <c r="D101" i="90"/>
  <c r="D86" i="89"/>
  <c r="H16" i="90"/>
  <c r="G56" i="67" s="1"/>
  <c r="D47" i="90"/>
  <c r="G46" i="67" s="1"/>
  <c r="H89" i="90"/>
  <c r="G89" i="67" s="1"/>
  <c r="H19" i="89"/>
  <c r="D42" i="89"/>
  <c r="D120" i="89"/>
  <c r="D326" i="88"/>
  <c r="H88" i="62" s="1"/>
  <c r="D355" i="88"/>
  <c r="H308" i="88" s="1"/>
  <c r="H91" i="62" s="1"/>
  <c r="H282" i="88"/>
  <c r="H87" i="62" s="1"/>
  <c r="D273" i="88"/>
  <c r="H229" i="88"/>
  <c r="H81" i="88"/>
  <c r="H63" i="62" s="1"/>
  <c r="H105" i="88"/>
  <c r="H66" i="62" s="1"/>
  <c r="D174" i="88"/>
  <c r="D47" i="88"/>
  <c r="H41" i="62" s="1"/>
  <c r="D108" i="88"/>
  <c r="H54" i="62" s="1"/>
  <c r="H91" i="88"/>
  <c r="H64" i="62" s="1"/>
  <c r="H13" i="88"/>
  <c r="H45" i="62" s="1"/>
  <c r="D32" i="88"/>
  <c r="H40" i="62" s="1"/>
  <c r="D123" i="88"/>
  <c r="H58" i="62" s="1"/>
  <c r="D90" i="88"/>
  <c r="H53" i="62" s="1"/>
  <c r="H25" i="88"/>
  <c r="H46" i="62" s="1"/>
  <c r="H54" i="65" l="1"/>
  <c r="I48" i="111"/>
  <c r="G92" i="89"/>
  <c r="H93" i="89" s="1"/>
  <c r="H87" i="65" s="1"/>
  <c r="H78" i="65"/>
  <c r="I64" i="111"/>
  <c r="H61" i="65"/>
  <c r="I55" i="111"/>
  <c r="G100" i="89"/>
  <c r="H101" i="89" s="1"/>
  <c r="H89" i="65" s="1"/>
  <c r="H80" i="65"/>
  <c r="I66" i="111"/>
  <c r="H42" i="65"/>
  <c r="I38" i="111"/>
  <c r="G313" i="88"/>
  <c r="H314" i="88" s="1"/>
  <c r="H95" i="62" s="1"/>
  <c r="H85" i="62"/>
  <c r="G104" i="90"/>
  <c r="H105" i="90" s="1"/>
  <c r="G94" i="67" s="1"/>
  <c r="G81" i="67"/>
  <c r="H67" i="65"/>
  <c r="I61" i="111"/>
  <c r="G321" i="88"/>
  <c r="H322" i="88" s="1"/>
  <c r="H97" i="62" s="1"/>
  <c r="H84" i="62"/>
  <c r="G317" i="88"/>
  <c r="H318" i="88" s="1"/>
  <c r="H96" i="62" s="1"/>
  <c r="H86" i="62"/>
  <c r="G96" i="89"/>
  <c r="H97" i="89" s="1"/>
  <c r="H88" i="65" s="1"/>
  <c r="I65" i="111"/>
  <c r="H79" i="65"/>
  <c r="H84" i="65"/>
  <c r="I70" i="111"/>
  <c r="I41" i="111"/>
  <c r="H45" i="65"/>
  <c r="H141" i="61"/>
  <c r="I141" i="61" s="1"/>
  <c r="H142" i="61"/>
  <c r="I142" i="61" s="1"/>
  <c r="D18" i="87"/>
  <c r="D22" i="87"/>
  <c r="D34" i="87"/>
  <c r="D37" i="87"/>
  <c r="D40" i="87"/>
  <c r="I143" i="61" l="1"/>
  <c r="D42" i="87"/>
  <c r="H121" i="61" s="1"/>
  <c r="D24" i="87"/>
  <c r="H117" i="61" s="1"/>
  <c r="H100" i="86"/>
  <c r="H94" i="86"/>
  <c r="H90" i="86"/>
  <c r="H87" i="86"/>
  <c r="H81" i="86"/>
  <c r="H73" i="86"/>
  <c r="H69" i="86"/>
  <c r="D111" i="86"/>
  <c r="D108" i="86"/>
  <c r="D105" i="86"/>
  <c r="D102" i="86"/>
  <c r="D99" i="86"/>
  <c r="D96" i="86"/>
  <c r="D93" i="86"/>
  <c r="D90" i="86"/>
  <c r="D83" i="86"/>
  <c r="D79" i="86"/>
  <c r="D76" i="86"/>
  <c r="D73" i="86"/>
  <c r="D70" i="86"/>
  <c r="D67" i="86"/>
  <c r="H51" i="86"/>
  <c r="H61" i="61" s="1"/>
  <c r="H46" i="86"/>
  <c r="H60" i="61" s="1"/>
  <c r="H42" i="86"/>
  <c r="H59" i="61" s="1"/>
  <c r="H55" i="86"/>
  <c r="H58" i="86"/>
  <c r="H37" i="86"/>
  <c r="H55" i="61" s="1"/>
  <c r="H33" i="86"/>
  <c r="H56" i="61" s="1"/>
  <c r="H27" i="86"/>
  <c r="H24" i="86"/>
  <c r="D85" i="86" l="1"/>
  <c r="H64" i="86"/>
  <c r="H72" i="61" s="1"/>
  <c r="H29" i="86"/>
  <c r="H54" i="61" s="1"/>
  <c r="H75" i="86"/>
  <c r="H83" i="86" s="1"/>
  <c r="H77" i="61" s="1"/>
  <c r="H96" i="86"/>
  <c r="H102" i="86" s="1"/>
  <c r="H78" i="61" s="1"/>
  <c r="H60" i="86"/>
  <c r="H62" i="61" s="1"/>
  <c r="H106" i="86" l="1"/>
  <c r="H82" i="61" s="1"/>
  <c r="H71" i="61"/>
  <c r="H19" i="86"/>
  <c r="H53" i="61" s="1"/>
  <c r="D54" i="86"/>
  <c r="D51" i="86"/>
  <c r="D38" i="86"/>
  <c r="D35" i="86"/>
  <c r="D32" i="86"/>
  <c r="D28" i="86"/>
  <c r="H43" i="61" s="1"/>
  <c r="D21" i="86"/>
  <c r="D17" i="86"/>
  <c r="D12" i="86"/>
  <c r="H40" i="61" s="1"/>
  <c r="H13" i="86" l="1"/>
  <c r="H50" i="61" s="1"/>
  <c r="D40" i="86"/>
  <c r="H44" i="61" s="1"/>
  <c r="D23" i="86"/>
  <c r="H41" i="61" s="1"/>
  <c r="H455" i="85" l="1"/>
  <c r="H149" i="59" s="1"/>
  <c r="H450" i="85"/>
  <c r="H143" i="59" s="1"/>
  <c r="H444" i="85"/>
  <c r="H141" i="59" s="1"/>
  <c r="H440" i="85"/>
  <c r="H140" i="59" s="1"/>
  <c r="H436" i="85"/>
  <c r="H139" i="59" s="1"/>
  <c r="H432" i="85"/>
  <c r="H138" i="59" s="1"/>
  <c r="H428" i="85"/>
  <c r="H137" i="59" s="1"/>
  <c r="H423" i="85"/>
  <c r="H135" i="59" s="1"/>
  <c r="D476" i="85"/>
  <c r="H134" i="59" s="1"/>
  <c r="D471" i="85"/>
  <c r="H132" i="59" s="1"/>
  <c r="D466" i="85"/>
  <c r="H130" i="59" s="1"/>
  <c r="D457" i="85"/>
  <c r="H127" i="59" s="1"/>
  <c r="D453" i="85"/>
  <c r="H126" i="59" s="1"/>
  <c r="D448" i="85"/>
  <c r="H124" i="59" s="1"/>
  <c r="D461" i="85"/>
  <c r="H128" i="59" s="1"/>
  <c r="D442" i="85"/>
  <c r="H120" i="59" s="1"/>
  <c r="D437" i="85"/>
  <c r="H119" i="59" s="1"/>
  <c r="D433" i="85"/>
  <c r="H118" i="59" s="1"/>
  <c r="D429" i="85"/>
  <c r="H117" i="59" s="1"/>
  <c r="D423" i="85"/>
  <c r="H114" i="59" s="1"/>
  <c r="H416" i="85"/>
  <c r="H111" i="59" s="1"/>
  <c r="H411" i="85"/>
  <c r="H110" i="59" s="1"/>
  <c r="H407" i="85"/>
  <c r="H109" i="59" s="1"/>
  <c r="H389" i="85"/>
  <c r="H386" i="85"/>
  <c r="H380" i="85"/>
  <c r="H377" i="85"/>
  <c r="H371" i="85"/>
  <c r="H370" i="85"/>
  <c r="H369" i="85"/>
  <c r="H368" i="85"/>
  <c r="H365" i="85"/>
  <c r="D412" i="85"/>
  <c r="D409" i="85"/>
  <c r="D406" i="85"/>
  <c r="D403" i="85"/>
  <c r="D400" i="85"/>
  <c r="D397" i="85"/>
  <c r="D390" i="85"/>
  <c r="D387" i="85"/>
  <c r="D384" i="85"/>
  <c r="D381" i="85"/>
  <c r="D378" i="85"/>
  <c r="D375" i="85"/>
  <c r="D372" i="85"/>
  <c r="D369" i="85"/>
  <c r="D366" i="85"/>
  <c r="D363" i="85"/>
  <c r="H359" i="85"/>
  <c r="H356" i="85"/>
  <c r="H353" i="85"/>
  <c r="H350" i="85"/>
  <c r="H328" i="85"/>
  <c r="H340" i="85"/>
  <c r="H307" i="85"/>
  <c r="H310" i="85"/>
  <c r="H313" i="85"/>
  <c r="H316" i="85"/>
  <c r="H319" i="85"/>
  <c r="H322" i="85"/>
  <c r="H325" i="85"/>
  <c r="H331" i="85"/>
  <c r="H334" i="85"/>
  <c r="H337" i="85"/>
  <c r="H343" i="85"/>
  <c r="H304" i="85"/>
  <c r="D360" i="85"/>
  <c r="D358" i="85"/>
  <c r="D356" i="85"/>
  <c r="D354" i="85"/>
  <c r="D352" i="85"/>
  <c r="D350" i="85"/>
  <c r="D348" i="85"/>
  <c r="D346" i="85"/>
  <c r="D344" i="85"/>
  <c r="D342" i="85"/>
  <c r="D340" i="85"/>
  <c r="D338" i="85"/>
  <c r="D336" i="85"/>
  <c r="D334" i="85"/>
  <c r="D332" i="85"/>
  <c r="D330" i="85"/>
  <c r="H263" i="85"/>
  <c r="H293" i="85"/>
  <c r="D237" i="85"/>
  <c r="D306" i="85"/>
  <c r="D304" i="85"/>
  <c r="H299" i="85"/>
  <c r="H296" i="85"/>
  <c r="H290" i="85"/>
  <c r="H287" i="85"/>
  <c r="H284" i="85"/>
  <c r="H281" i="85"/>
  <c r="H278" i="85"/>
  <c r="H275" i="85"/>
  <c r="H272" i="85"/>
  <c r="H269" i="85"/>
  <c r="H266" i="85"/>
  <c r="H260" i="85"/>
  <c r="H257" i="85"/>
  <c r="H254" i="85"/>
  <c r="H251" i="85"/>
  <c r="H248" i="85"/>
  <c r="H245" i="85"/>
  <c r="D299" i="85"/>
  <c r="D296" i="85"/>
  <c r="D293" i="85"/>
  <c r="D290" i="85"/>
  <c r="D287" i="85"/>
  <c r="D286" i="85"/>
  <c r="D284" i="85"/>
  <c r="D281" i="85"/>
  <c r="D278" i="85"/>
  <c r="D275" i="85"/>
  <c r="D272" i="85"/>
  <c r="D269" i="85"/>
  <c r="D266" i="85"/>
  <c r="D263" i="85"/>
  <c r="D260" i="85"/>
  <c r="D257" i="85"/>
  <c r="D254" i="85"/>
  <c r="D251" i="85"/>
  <c r="D248" i="85"/>
  <c r="D245" i="85"/>
  <c r="H213" i="85"/>
  <c r="H240" i="85"/>
  <c r="H237" i="85"/>
  <c r="H234" i="85"/>
  <c r="H231" i="85"/>
  <c r="H228" i="85"/>
  <c r="H225" i="85"/>
  <c r="H222" i="85"/>
  <c r="H219" i="85"/>
  <c r="H216" i="85"/>
  <c r="H210" i="85"/>
  <c r="H207" i="85"/>
  <c r="H204" i="85"/>
  <c r="H201" i="85"/>
  <c r="H198" i="85"/>
  <c r="H195" i="85"/>
  <c r="H192" i="85"/>
  <c r="H189" i="85"/>
  <c r="H186" i="85"/>
  <c r="D240" i="85"/>
  <c r="D234" i="85"/>
  <c r="D231" i="85"/>
  <c r="D228" i="85"/>
  <c r="D225" i="85"/>
  <c r="D222" i="85"/>
  <c r="D215" i="85"/>
  <c r="D212" i="85"/>
  <c r="D209" i="85"/>
  <c r="D206" i="85"/>
  <c r="D203" i="85"/>
  <c r="D200" i="85"/>
  <c r="D197" i="85"/>
  <c r="D194" i="85"/>
  <c r="D191" i="85"/>
  <c r="D188" i="85"/>
  <c r="H373" i="85" l="1"/>
  <c r="H98" i="59" s="1"/>
  <c r="D414" i="85"/>
  <c r="H96" i="59" s="1"/>
  <c r="H382" i="85"/>
  <c r="H391" i="85"/>
  <c r="D392" i="85"/>
  <c r="H95" i="59" s="1"/>
  <c r="H345" i="85"/>
  <c r="H94" i="59" s="1"/>
  <c r="D309" i="85"/>
  <c r="D217" i="85"/>
  <c r="H401" i="85" l="1"/>
  <c r="H105" i="59" s="1"/>
  <c r="H90" i="59"/>
  <c r="H398" i="85"/>
  <c r="H103" i="59" s="1"/>
  <c r="H91" i="59"/>
  <c r="H393" i="85"/>
  <c r="H99" i="59" s="1"/>
  <c r="H179" i="85" l="1"/>
  <c r="H79" i="59" s="1"/>
  <c r="H175" i="85"/>
  <c r="H74" i="59" s="1"/>
  <c r="H170" i="85" l="1"/>
  <c r="H70" i="59" s="1"/>
  <c r="I70" i="59" s="1"/>
  <c r="H166" i="85"/>
  <c r="H69" i="59" s="1"/>
  <c r="H162" i="85"/>
  <c r="H68" i="59" s="1"/>
  <c r="H155" i="85"/>
  <c r="H152" i="85"/>
  <c r="H148" i="85"/>
  <c r="H65" i="59" s="1"/>
  <c r="H141" i="85"/>
  <c r="H138" i="85"/>
  <c r="H131" i="85"/>
  <c r="H128" i="85"/>
  <c r="D180" i="85"/>
  <c r="D182" i="85" s="1"/>
  <c r="H60" i="59" s="1"/>
  <c r="D174" i="85"/>
  <c r="D171" i="85"/>
  <c r="D165" i="85"/>
  <c r="D162" i="85"/>
  <c r="D158" i="85"/>
  <c r="H57" i="59" s="1"/>
  <c r="D150" i="85"/>
  <c r="D147" i="85"/>
  <c r="D144" i="85"/>
  <c r="D141" i="85"/>
  <c r="D138" i="85"/>
  <c r="D135" i="85"/>
  <c r="D132" i="85"/>
  <c r="D129" i="85"/>
  <c r="D126" i="85"/>
  <c r="D118" i="85"/>
  <c r="H121" i="85"/>
  <c r="H118" i="85"/>
  <c r="H115" i="85"/>
  <c r="H112" i="85"/>
  <c r="H109" i="85"/>
  <c r="H106" i="85"/>
  <c r="H103" i="85"/>
  <c r="H100" i="85"/>
  <c r="H97" i="85"/>
  <c r="H94" i="85"/>
  <c r="H91" i="85"/>
  <c r="H88" i="85"/>
  <c r="H85" i="85"/>
  <c r="H82" i="85"/>
  <c r="H79" i="85"/>
  <c r="H76" i="85"/>
  <c r="H73" i="85"/>
  <c r="H70" i="85"/>
  <c r="H67" i="85"/>
  <c r="D121" i="85"/>
  <c r="D115" i="85"/>
  <c r="D112" i="85"/>
  <c r="D109" i="85"/>
  <c r="D106" i="85"/>
  <c r="D100" i="85"/>
  <c r="D97" i="85"/>
  <c r="D94" i="85"/>
  <c r="D91" i="85"/>
  <c r="D88" i="85"/>
  <c r="D85" i="85"/>
  <c r="D81" i="85"/>
  <c r="D78" i="85"/>
  <c r="D75" i="85"/>
  <c r="D72" i="85"/>
  <c r="D69" i="85"/>
  <c r="D167" i="85" l="1"/>
  <c r="H58" i="59" s="1"/>
  <c r="D176" i="85"/>
  <c r="H59" i="59" s="1"/>
  <c r="H133" i="85"/>
  <c r="H63" i="59" s="1"/>
  <c r="H157" i="85"/>
  <c r="H66" i="59" s="1"/>
  <c r="H143" i="85"/>
  <c r="H64" i="59" s="1"/>
  <c r="D152" i="85"/>
  <c r="H54" i="59" s="1"/>
  <c r="D82" i="85"/>
  <c r="D102" i="85" s="1"/>
  <c r="H53" i="59" s="1"/>
  <c r="H54" i="85" l="1"/>
  <c r="H51" i="85"/>
  <c r="H48" i="85"/>
  <c r="H45" i="85"/>
  <c r="H42" i="85"/>
  <c r="H39" i="85"/>
  <c r="H33" i="85"/>
  <c r="H29" i="85"/>
  <c r="H25" i="85"/>
  <c r="H21" i="85"/>
  <c r="H18" i="85"/>
  <c r="H15" i="85"/>
  <c r="H11" i="85"/>
  <c r="H42" i="59" s="1"/>
  <c r="D61" i="85"/>
  <c r="D57" i="85"/>
  <c r="D53" i="85"/>
  <c r="D49" i="85"/>
  <c r="D45" i="85"/>
  <c r="D41" i="85"/>
  <c r="D34" i="85"/>
  <c r="D30" i="85"/>
  <c r="D26" i="85"/>
  <c r="D22" i="85"/>
  <c r="D18" i="85"/>
  <c r="D13" i="85"/>
  <c r="H38" i="59" s="1"/>
  <c r="H56" i="85" l="1"/>
  <c r="H44" i="59" s="1"/>
  <c r="D36" i="85"/>
  <c r="H39" i="59" s="1"/>
  <c r="H35" i="85"/>
  <c r="H43" i="59" s="1"/>
  <c r="D63" i="85"/>
  <c r="H40" i="59" s="1"/>
  <c r="D314" i="84" l="1"/>
  <c r="H122" i="57" s="1"/>
  <c r="I122" i="57" s="1"/>
  <c r="D309" i="84"/>
  <c r="H118" i="57" s="1"/>
  <c r="I118" i="57" s="1"/>
  <c r="D304" i="84"/>
  <c r="H114" i="57" s="1"/>
  <c r="I114" i="57" s="1"/>
  <c r="D336" i="84"/>
  <c r="H130" i="57" s="1"/>
  <c r="I130" i="57" s="1"/>
  <c r="D331" i="84"/>
  <c r="H128" i="57" s="1"/>
  <c r="I128" i="57" s="1"/>
  <c r="D327" i="84"/>
  <c r="H127" i="57" s="1"/>
  <c r="I127" i="57" s="1"/>
  <c r="D323" i="84"/>
  <c r="H126" i="57" s="1"/>
  <c r="I126" i="57" s="1"/>
  <c r="D319" i="84"/>
  <c r="H125" i="57" s="1"/>
  <c r="I125" i="57" s="1"/>
  <c r="H299" i="84"/>
  <c r="H112" i="57" s="1"/>
  <c r="I112" i="57" s="1"/>
  <c r="H295" i="84"/>
  <c r="H111" i="57" s="1"/>
  <c r="I111" i="57" s="1"/>
  <c r="H290" i="84"/>
  <c r="H109" i="57" s="1"/>
  <c r="I109" i="57" s="1"/>
  <c r="H284" i="84"/>
  <c r="H103" i="57" s="1"/>
  <c r="H280" i="84"/>
  <c r="H102" i="57" s="1"/>
  <c r="H276" i="84"/>
  <c r="H101" i="57" s="1"/>
  <c r="H258" i="84" l="1"/>
  <c r="H255" i="84"/>
  <c r="H247" i="84"/>
  <c r="H244" i="84"/>
  <c r="D297" i="84"/>
  <c r="D294" i="84"/>
  <c r="D291" i="84"/>
  <c r="D284" i="84"/>
  <c r="D281" i="84"/>
  <c r="D278" i="84"/>
  <c r="D275" i="84"/>
  <c r="D272" i="84"/>
  <c r="D269" i="84"/>
  <c r="D266" i="84"/>
  <c r="D263" i="84"/>
  <c r="D260" i="84"/>
  <c r="D254" i="84"/>
  <c r="D251" i="84"/>
  <c r="D248" i="84"/>
  <c r="D245" i="84"/>
  <c r="D242" i="84"/>
  <c r="H237" i="84"/>
  <c r="H234" i="84"/>
  <c r="H231" i="84"/>
  <c r="H228" i="84"/>
  <c r="H225" i="84"/>
  <c r="H222" i="84"/>
  <c r="H219" i="84"/>
  <c r="H216" i="84"/>
  <c r="H201" i="84"/>
  <c r="H210" i="84"/>
  <c r="H207" i="84"/>
  <c r="H204" i="84"/>
  <c r="H198" i="84"/>
  <c r="H195" i="84"/>
  <c r="H192" i="84"/>
  <c r="H189" i="84"/>
  <c r="H186" i="84"/>
  <c r="H183" i="84"/>
  <c r="D237" i="84"/>
  <c r="D204" i="84"/>
  <c r="D231" i="84"/>
  <c r="D228" i="84"/>
  <c r="D225" i="84"/>
  <c r="D222" i="84"/>
  <c r="D219" i="84"/>
  <c r="D216" i="84"/>
  <c r="D213" i="84"/>
  <c r="D210" i="84"/>
  <c r="D207" i="84"/>
  <c r="D201" i="84"/>
  <c r="D198" i="84"/>
  <c r="D195" i="84"/>
  <c r="D192" i="84"/>
  <c r="D189" i="84"/>
  <c r="D186" i="84"/>
  <c r="D183" i="84"/>
  <c r="H178" i="84"/>
  <c r="H175" i="84"/>
  <c r="H172" i="84"/>
  <c r="H169" i="84"/>
  <c r="H166" i="84"/>
  <c r="H163" i="84"/>
  <c r="H160" i="84"/>
  <c r="H157" i="84"/>
  <c r="H154" i="84"/>
  <c r="H151" i="84"/>
  <c r="H148" i="84"/>
  <c r="H145" i="84"/>
  <c r="H142" i="84"/>
  <c r="H139" i="84"/>
  <c r="H136" i="84"/>
  <c r="H133" i="84"/>
  <c r="H130" i="84"/>
  <c r="H127" i="84"/>
  <c r="H124" i="84"/>
  <c r="D178" i="84"/>
  <c r="D175" i="84"/>
  <c r="D172" i="84"/>
  <c r="D169" i="84"/>
  <c r="D166" i="84"/>
  <c r="D163" i="84"/>
  <c r="H115" i="84"/>
  <c r="H80" i="57" s="1"/>
  <c r="I80" i="57" s="1"/>
  <c r="H111" i="84"/>
  <c r="H79" i="57" s="1"/>
  <c r="I79" i="57" s="1"/>
  <c r="H120" i="84"/>
  <c r="H82" i="57" s="1"/>
  <c r="I82" i="57" s="1"/>
  <c r="H107" i="84"/>
  <c r="H75" i="57" s="1"/>
  <c r="H249" i="84" l="1"/>
  <c r="H91" i="57" s="1"/>
  <c r="H260" i="84"/>
  <c r="H92" i="57" s="1"/>
  <c r="D286" i="84"/>
  <c r="H89" i="57" s="1"/>
  <c r="D299" i="84"/>
  <c r="H90" i="57" s="1"/>
  <c r="D256" i="84"/>
  <c r="H88" i="57" s="1"/>
  <c r="H212" i="84"/>
  <c r="D233" i="84"/>
  <c r="H87" i="57" l="1"/>
  <c r="H268" i="84"/>
  <c r="H97" i="57" s="1"/>
  <c r="H86" i="57"/>
  <c r="H265" i="84"/>
  <c r="H96" i="57" s="1"/>
  <c r="H101" i="84"/>
  <c r="H71" i="57" s="1"/>
  <c r="H97" i="84"/>
  <c r="H70" i="57" s="1"/>
  <c r="H90" i="84"/>
  <c r="H92" i="84" s="1"/>
  <c r="H68" i="57" s="1"/>
  <c r="H87" i="84"/>
  <c r="H84" i="84"/>
  <c r="H67" i="57" s="1"/>
  <c r="H77" i="84"/>
  <c r="H76" i="84"/>
  <c r="H75" i="84"/>
  <c r="H68" i="84"/>
  <c r="H67" i="84"/>
  <c r="H66" i="84"/>
  <c r="D117" i="84"/>
  <c r="H62" i="57" s="1"/>
  <c r="D111" i="84"/>
  <c r="D108" i="84"/>
  <c r="D102" i="84"/>
  <c r="D99" i="84"/>
  <c r="D94" i="84"/>
  <c r="H59" i="57" s="1"/>
  <c r="D86" i="84"/>
  <c r="D83" i="84"/>
  <c r="D80" i="84"/>
  <c r="D77" i="84"/>
  <c r="D74" i="84"/>
  <c r="D71" i="84"/>
  <c r="D68" i="84"/>
  <c r="D65" i="84"/>
  <c r="H61" i="84"/>
  <c r="H58" i="84"/>
  <c r="H51" i="84"/>
  <c r="H48" i="84"/>
  <c r="H45" i="84"/>
  <c r="H42" i="84"/>
  <c r="H39" i="84"/>
  <c r="H36" i="84"/>
  <c r="H33" i="84"/>
  <c r="H30" i="84"/>
  <c r="H27" i="84"/>
  <c r="H24" i="84"/>
  <c r="H21" i="84"/>
  <c r="H18" i="84"/>
  <c r="D58" i="84"/>
  <c r="D54" i="84"/>
  <c r="D50" i="84"/>
  <c r="D46" i="84"/>
  <c r="D42" i="84"/>
  <c r="D37" i="84"/>
  <c r="H46" i="57" s="1"/>
  <c r="D30" i="84"/>
  <c r="D26" i="84"/>
  <c r="D22" i="84"/>
  <c r="D18" i="84"/>
  <c r="D12" i="84"/>
  <c r="H42" i="57" s="1"/>
  <c r="D796" i="83"/>
  <c r="H150" i="54" s="1"/>
  <c r="D791" i="83"/>
  <c r="H149" i="54" s="1"/>
  <c r="D786" i="83"/>
  <c r="H144" i="54" s="1"/>
  <c r="D781" i="83"/>
  <c r="H141" i="54" s="1"/>
  <c r="D777" i="83"/>
  <c r="H140" i="54" s="1"/>
  <c r="D773" i="83"/>
  <c r="H139" i="54" s="1"/>
  <c r="D769" i="83"/>
  <c r="H137" i="54" s="1"/>
  <c r="D766" i="83"/>
  <c r="H138" i="54" s="1"/>
  <c r="H761" i="83"/>
  <c r="H134" i="54" s="1"/>
  <c r="H756" i="83"/>
  <c r="H132" i="54" s="1"/>
  <c r="H752" i="83"/>
  <c r="H131" i="54" s="1"/>
  <c r="H748" i="83"/>
  <c r="H130" i="54" s="1"/>
  <c r="H743" i="83"/>
  <c r="H128" i="54" s="1"/>
  <c r="H739" i="83"/>
  <c r="H127" i="54" s="1"/>
  <c r="H735" i="83"/>
  <c r="H126" i="54" s="1"/>
  <c r="H730" i="83"/>
  <c r="H124" i="54" s="1"/>
  <c r="H726" i="83"/>
  <c r="H123" i="54" s="1"/>
  <c r="H721" i="83"/>
  <c r="H121" i="54" s="1"/>
  <c r="D753" i="83"/>
  <c r="D749" i="83"/>
  <c r="H109" i="54" s="1"/>
  <c r="D743" i="83"/>
  <c r="D740" i="83"/>
  <c r="D734" i="83"/>
  <c r="D731" i="83"/>
  <c r="H715" i="83"/>
  <c r="H711" i="83"/>
  <c r="H115" i="54" s="1"/>
  <c r="H708" i="83"/>
  <c r="H114" i="54" s="1"/>
  <c r="D761" i="83"/>
  <c r="H113" i="54" s="1"/>
  <c r="D757" i="83"/>
  <c r="D712" i="83"/>
  <c r="H699" i="83"/>
  <c r="H697" i="83"/>
  <c r="H690" i="83"/>
  <c r="H687" i="83"/>
  <c r="H681" i="83"/>
  <c r="H678" i="83"/>
  <c r="H675" i="83"/>
  <c r="H672" i="83"/>
  <c r="H669" i="83"/>
  <c r="H661" i="83"/>
  <c r="H658" i="83"/>
  <c r="H655" i="83"/>
  <c r="H652" i="83"/>
  <c r="D703" i="83"/>
  <c r="D700" i="83"/>
  <c r="D697" i="83"/>
  <c r="D694" i="83"/>
  <c r="D691" i="83"/>
  <c r="D688" i="83"/>
  <c r="D685" i="83"/>
  <c r="D682" i="83"/>
  <c r="D679" i="83"/>
  <c r="D676" i="83"/>
  <c r="D673" i="83"/>
  <c r="D670" i="83"/>
  <c r="D667" i="83"/>
  <c r="D664" i="83"/>
  <c r="D661" i="83"/>
  <c r="D658" i="83"/>
  <c r="D655" i="83"/>
  <c r="D652" i="83"/>
  <c r="H649" i="83"/>
  <c r="H646" i="83"/>
  <c r="H643" i="83"/>
  <c r="H640" i="83"/>
  <c r="H637" i="83"/>
  <c r="H634" i="83"/>
  <c r="H631" i="83"/>
  <c r="H628" i="83"/>
  <c r="H622" i="83"/>
  <c r="H619" i="83"/>
  <c r="H616" i="83"/>
  <c r="H613" i="83"/>
  <c r="H610" i="83"/>
  <c r="H607" i="83"/>
  <c r="H604" i="83"/>
  <c r="H601" i="83"/>
  <c r="H598" i="83"/>
  <c r="H595" i="83"/>
  <c r="H592" i="83"/>
  <c r="D649" i="83"/>
  <c r="D646" i="83"/>
  <c r="D643" i="83"/>
  <c r="D640" i="83"/>
  <c r="D637" i="83"/>
  <c r="D634" i="83"/>
  <c r="D631" i="83"/>
  <c r="D628" i="83"/>
  <c r="D625" i="83"/>
  <c r="D622" i="83"/>
  <c r="D619" i="83"/>
  <c r="D616" i="83"/>
  <c r="D613" i="83"/>
  <c r="D610" i="83"/>
  <c r="D607" i="83"/>
  <c r="D604" i="83"/>
  <c r="D601" i="83"/>
  <c r="D598" i="83"/>
  <c r="D595" i="83"/>
  <c r="D592" i="83"/>
  <c r="H587" i="83"/>
  <c r="H584" i="83"/>
  <c r="H581" i="83"/>
  <c r="H578" i="83"/>
  <c r="H575" i="83"/>
  <c r="H572" i="83"/>
  <c r="H569" i="83"/>
  <c r="H566" i="83"/>
  <c r="H539" i="83"/>
  <c r="H563" i="83"/>
  <c r="H560" i="83"/>
  <c r="H557" i="83"/>
  <c r="H554" i="83"/>
  <c r="H551" i="83"/>
  <c r="H548" i="83"/>
  <c r="H545" i="83"/>
  <c r="H542" i="83"/>
  <c r="H536" i="83"/>
  <c r="H533" i="83"/>
  <c r="D589" i="83"/>
  <c r="D587" i="83"/>
  <c r="D585" i="83"/>
  <c r="D583" i="83"/>
  <c r="D559" i="83"/>
  <c r="D557" i="83"/>
  <c r="D555" i="83"/>
  <c r="D553" i="83"/>
  <c r="D551" i="83"/>
  <c r="D549" i="83"/>
  <c r="D547" i="83"/>
  <c r="D545" i="83"/>
  <c r="D543" i="83"/>
  <c r="D541" i="83"/>
  <c r="D539" i="83"/>
  <c r="D537" i="83"/>
  <c r="D535" i="83"/>
  <c r="D533" i="83"/>
  <c r="H527" i="83"/>
  <c r="H524" i="83"/>
  <c r="H521" i="83"/>
  <c r="H518" i="83"/>
  <c r="H515" i="83"/>
  <c r="H512" i="83"/>
  <c r="H509" i="83"/>
  <c r="H506" i="83"/>
  <c r="H503" i="83"/>
  <c r="H500" i="83"/>
  <c r="H497" i="83"/>
  <c r="H494" i="83"/>
  <c r="H491" i="83"/>
  <c r="H488" i="83"/>
  <c r="H485" i="83"/>
  <c r="H482" i="83"/>
  <c r="H479" i="83"/>
  <c r="H476" i="83"/>
  <c r="D528" i="83"/>
  <c r="D525" i="83"/>
  <c r="D522" i="83"/>
  <c r="D519" i="83"/>
  <c r="D516" i="83"/>
  <c r="D513" i="83"/>
  <c r="D510" i="83"/>
  <c r="D507" i="83"/>
  <c r="D504" i="83"/>
  <c r="D501" i="83"/>
  <c r="D498" i="83"/>
  <c r="D495" i="83"/>
  <c r="H391" i="83"/>
  <c r="D485" i="83"/>
  <c r="D482" i="83"/>
  <c r="D479" i="83"/>
  <c r="D476" i="83"/>
  <c r="H473" i="83"/>
  <c r="H470" i="83"/>
  <c r="H467" i="83"/>
  <c r="H464" i="83"/>
  <c r="H461" i="83"/>
  <c r="H458" i="83"/>
  <c r="H455" i="83"/>
  <c r="H452" i="83"/>
  <c r="H449" i="83"/>
  <c r="H446" i="83"/>
  <c r="H443" i="83"/>
  <c r="H440" i="83"/>
  <c r="H437" i="83"/>
  <c r="H434" i="83"/>
  <c r="H431" i="83"/>
  <c r="H428" i="83"/>
  <c r="H425" i="83"/>
  <c r="H422" i="83"/>
  <c r="H419" i="83"/>
  <c r="H416" i="83"/>
  <c r="D470" i="83"/>
  <c r="D467" i="83"/>
  <c r="D464" i="83"/>
  <c r="D461" i="83"/>
  <c r="D458" i="83"/>
  <c r="D455" i="83"/>
  <c r="D452" i="83"/>
  <c r="D449" i="83"/>
  <c r="D446" i="83"/>
  <c r="D443" i="83"/>
  <c r="D440" i="83"/>
  <c r="D437" i="83"/>
  <c r="D434" i="83"/>
  <c r="D431" i="83"/>
  <c r="D428" i="83"/>
  <c r="D425" i="83"/>
  <c r="D422" i="83"/>
  <c r="D419" i="83"/>
  <c r="D416" i="83"/>
  <c r="H412" i="83"/>
  <c r="H409" i="83"/>
  <c r="H406" i="83"/>
  <c r="H403" i="83"/>
  <c r="H400" i="83"/>
  <c r="H397" i="83"/>
  <c r="H394" i="83"/>
  <c r="H388" i="83"/>
  <c r="H385" i="83"/>
  <c r="H382" i="83"/>
  <c r="H379" i="83"/>
  <c r="H376" i="83"/>
  <c r="H373" i="83"/>
  <c r="H370" i="83"/>
  <c r="H367" i="83"/>
  <c r="H364" i="83"/>
  <c r="H361" i="83"/>
  <c r="H358" i="83"/>
  <c r="D412" i="83"/>
  <c r="D409" i="83"/>
  <c r="D406" i="83"/>
  <c r="D403" i="83"/>
  <c r="D400" i="83"/>
  <c r="D397" i="83"/>
  <c r="D394" i="83"/>
  <c r="D391" i="83"/>
  <c r="D388" i="83"/>
  <c r="D385" i="83"/>
  <c r="D382" i="83"/>
  <c r="D379" i="83"/>
  <c r="D376" i="83"/>
  <c r="D373" i="83"/>
  <c r="D370" i="83"/>
  <c r="D367" i="83"/>
  <c r="D364" i="83"/>
  <c r="D361" i="83"/>
  <c r="D358" i="83"/>
  <c r="H352" i="83"/>
  <c r="H349" i="83"/>
  <c r="H346" i="83"/>
  <c r="H343" i="83"/>
  <c r="H339" i="83"/>
  <c r="H336" i="83"/>
  <c r="H333" i="83"/>
  <c r="H330" i="83"/>
  <c r="H327" i="83"/>
  <c r="H324" i="83"/>
  <c r="H321" i="83"/>
  <c r="H318" i="83"/>
  <c r="H315" i="83"/>
  <c r="H312" i="83"/>
  <c r="H309" i="83"/>
  <c r="H306" i="83"/>
  <c r="H303" i="83"/>
  <c r="H300" i="83"/>
  <c r="D354" i="83"/>
  <c r="D351" i="83"/>
  <c r="D348" i="83"/>
  <c r="D345" i="83"/>
  <c r="D342" i="83"/>
  <c r="D339" i="83"/>
  <c r="D336" i="83"/>
  <c r="D333" i="83"/>
  <c r="D330" i="83"/>
  <c r="D327" i="83"/>
  <c r="D324" i="83"/>
  <c r="D321" i="83"/>
  <c r="D318" i="83"/>
  <c r="D315" i="83"/>
  <c r="D312" i="83"/>
  <c r="D309" i="83"/>
  <c r="D306" i="83"/>
  <c r="D303" i="83"/>
  <c r="D300" i="83"/>
  <c r="H296" i="83"/>
  <c r="H293" i="83"/>
  <c r="H290" i="83"/>
  <c r="H287" i="83"/>
  <c r="H280" i="83"/>
  <c r="H277" i="83"/>
  <c r="H274" i="83"/>
  <c r="H271" i="83"/>
  <c r="H268" i="83"/>
  <c r="H265" i="83"/>
  <c r="H262" i="83"/>
  <c r="H259" i="83"/>
  <c r="H256" i="83"/>
  <c r="H253" i="83"/>
  <c r="H250" i="83"/>
  <c r="H247" i="83"/>
  <c r="H244" i="83"/>
  <c r="H241" i="83"/>
  <c r="D296" i="83"/>
  <c r="D293" i="83"/>
  <c r="D290" i="83"/>
  <c r="D287" i="83"/>
  <c r="D284" i="83"/>
  <c r="D281" i="83"/>
  <c r="D278" i="83"/>
  <c r="D736" i="83" l="1"/>
  <c r="H107" i="54" s="1"/>
  <c r="D104" i="84"/>
  <c r="H60" i="57" s="1"/>
  <c r="H70" i="84"/>
  <c r="H65" i="57" s="1"/>
  <c r="H79" i="84"/>
  <c r="H66" i="57" s="1"/>
  <c r="D88" i="84"/>
  <c r="H56" i="57" s="1"/>
  <c r="D113" i="84"/>
  <c r="H61" i="57" s="1"/>
  <c r="I89" i="84"/>
  <c r="H53" i="84"/>
  <c r="H55" i="57" s="1"/>
  <c r="D60" i="84"/>
  <c r="H47" i="57" s="1"/>
  <c r="E30" i="84"/>
  <c r="D32" i="84"/>
  <c r="H43" i="57" s="1"/>
  <c r="H692" i="83"/>
  <c r="H95" i="54" s="1"/>
  <c r="D714" i="83"/>
  <c r="H97" i="54" s="1"/>
  <c r="H701" i="83"/>
  <c r="H96" i="54" s="1"/>
  <c r="H683" i="83"/>
  <c r="H94" i="54" s="1"/>
  <c r="D745" i="83"/>
  <c r="H108" i="54" s="1"/>
  <c r="H664" i="83"/>
  <c r="H93" i="54" s="1"/>
  <c r="H624" i="83"/>
  <c r="H92" i="54" s="1"/>
  <c r="D560" i="83"/>
  <c r="D487" i="83"/>
  <c r="D491" i="83" s="1"/>
  <c r="H282" i="83"/>
  <c r="D272" i="83"/>
  <c r="H85" i="54" s="1"/>
  <c r="I85" i="54" s="1"/>
  <c r="D268" i="83"/>
  <c r="H84" i="54" s="1"/>
  <c r="D264" i="83"/>
  <c r="H83" i="54" s="1"/>
  <c r="D260" i="83"/>
  <c r="H82" i="54" s="1"/>
  <c r="D255" i="83"/>
  <c r="H79" i="54" s="1"/>
  <c r="D251" i="83"/>
  <c r="H78" i="54" s="1"/>
  <c r="D247" i="83"/>
  <c r="H77" i="54" s="1"/>
  <c r="D243" i="83"/>
  <c r="H76" i="54" s="1"/>
  <c r="H237" i="83"/>
  <c r="H72" i="54" s="1"/>
  <c r="I72" i="54" s="1"/>
  <c r="H233" i="83"/>
  <c r="H71" i="54" s="1"/>
  <c r="I71" i="54" s="1"/>
  <c r="H229" i="83"/>
  <c r="H70" i="54" s="1"/>
  <c r="H225" i="83"/>
  <c r="H69" i="54" s="1"/>
  <c r="H221" i="83"/>
  <c r="H68" i="54" s="1"/>
  <c r="H214" i="83"/>
  <c r="H212" i="83"/>
  <c r="H208" i="83"/>
  <c r="H64" i="54" s="1"/>
  <c r="H200" i="83"/>
  <c r="H198" i="83"/>
  <c r="H192" i="83"/>
  <c r="H189" i="83"/>
  <c r="H185" i="83"/>
  <c r="H59" i="54" s="1"/>
  <c r="D235" i="83"/>
  <c r="D232" i="83"/>
  <c r="B225" i="83"/>
  <c r="D226" i="83" s="1"/>
  <c r="D223" i="83"/>
  <c r="D218" i="83"/>
  <c r="H56" i="54" s="1"/>
  <c r="D719" i="83" l="1"/>
  <c r="H100" i="54" s="1"/>
  <c r="H89" i="54"/>
  <c r="D725" i="83"/>
  <c r="H102" i="54" s="1"/>
  <c r="H88" i="54"/>
  <c r="D722" i="83"/>
  <c r="H101" i="54" s="1"/>
  <c r="H90" i="54"/>
  <c r="D228" i="83"/>
  <c r="H57" i="54" s="1"/>
  <c r="H194" i="83"/>
  <c r="H62" i="54" s="1"/>
  <c r="D237" i="83"/>
  <c r="H58" i="54" s="1"/>
  <c r="H216" i="83"/>
  <c r="H65" i="54" s="1"/>
  <c r="H202" i="83"/>
  <c r="H63" i="54" s="1"/>
  <c r="D192" i="83"/>
  <c r="D210" i="83"/>
  <c r="D207" i="83"/>
  <c r="D204" i="83"/>
  <c r="D201" i="83"/>
  <c r="D198" i="83"/>
  <c r="D195" i="83"/>
  <c r="D189" i="83"/>
  <c r="D186" i="83"/>
  <c r="D183" i="83"/>
  <c r="H178" i="83"/>
  <c r="H175" i="83"/>
  <c r="H172" i="83"/>
  <c r="H169" i="83"/>
  <c r="H166" i="83"/>
  <c r="H163" i="83"/>
  <c r="H160" i="83"/>
  <c r="H157" i="83"/>
  <c r="H154" i="83"/>
  <c r="H151" i="83"/>
  <c r="H148" i="83"/>
  <c r="H145" i="83"/>
  <c r="H142" i="83"/>
  <c r="H139" i="83"/>
  <c r="H136" i="83"/>
  <c r="H133" i="83"/>
  <c r="H130" i="83"/>
  <c r="H127" i="83"/>
  <c r="H124" i="83"/>
  <c r="D179" i="83"/>
  <c r="D176" i="83"/>
  <c r="D173" i="83"/>
  <c r="D170" i="83"/>
  <c r="D167" i="83"/>
  <c r="D164" i="83"/>
  <c r="D161" i="83"/>
  <c r="D158" i="83"/>
  <c r="D155" i="83"/>
  <c r="D152" i="83"/>
  <c r="D149" i="83"/>
  <c r="D146" i="83"/>
  <c r="D143" i="83"/>
  <c r="D140" i="83"/>
  <c r="D137" i="83"/>
  <c r="D134" i="83"/>
  <c r="D128" i="83"/>
  <c r="D125" i="83"/>
  <c r="H75" i="83"/>
  <c r="H120" i="83"/>
  <c r="H117" i="83"/>
  <c r="H114" i="83"/>
  <c r="H111" i="83"/>
  <c r="H108" i="83"/>
  <c r="H105" i="83"/>
  <c r="H102" i="83"/>
  <c r="H99" i="83"/>
  <c r="H96" i="83"/>
  <c r="H93" i="83"/>
  <c r="H90" i="83"/>
  <c r="H87" i="83"/>
  <c r="H84" i="83"/>
  <c r="H81" i="83"/>
  <c r="H78" i="83"/>
  <c r="H72" i="83"/>
  <c r="H69" i="83"/>
  <c r="H66" i="83"/>
  <c r="D119" i="83"/>
  <c r="D116" i="83"/>
  <c r="D113" i="83"/>
  <c r="D110" i="83"/>
  <c r="D107" i="83"/>
  <c r="D104" i="83"/>
  <c r="D101" i="83"/>
  <c r="D98" i="83"/>
  <c r="D95" i="83"/>
  <c r="D75" i="83"/>
  <c r="D72" i="83"/>
  <c r="D69" i="83"/>
  <c r="D66" i="83"/>
  <c r="H62" i="83"/>
  <c r="H59" i="83"/>
  <c r="H56" i="83"/>
  <c r="H48" i="83"/>
  <c r="H44" i="83"/>
  <c r="H40" i="83"/>
  <c r="H36" i="83"/>
  <c r="H32" i="83"/>
  <c r="H28" i="83"/>
  <c r="H22" i="83"/>
  <c r="H43" i="54" s="1"/>
  <c r="D62" i="83"/>
  <c r="H14" i="83"/>
  <c r="H10" i="83"/>
  <c r="D57" i="83"/>
  <c r="D52" i="83"/>
  <c r="D47" i="83"/>
  <c r="D42" i="83"/>
  <c r="D34" i="83"/>
  <c r="D29" i="83"/>
  <c r="D24" i="83"/>
  <c r="D19" i="83"/>
  <c r="D596" i="79"/>
  <c r="I120" i="51" s="1"/>
  <c r="D591" i="79"/>
  <c r="I113" i="51" s="1"/>
  <c r="D579" i="79"/>
  <c r="I109" i="51" s="1"/>
  <c r="H520" i="79"/>
  <c r="H523" i="79"/>
  <c r="H526" i="79"/>
  <c r="H272" i="79"/>
  <c r="I85" i="51" s="1"/>
  <c r="J85" i="51" s="1"/>
  <c r="D255" i="79"/>
  <c r="D251" i="79"/>
  <c r="D238" i="79"/>
  <c r="I63" i="51" s="1"/>
  <c r="H528" i="79" l="1"/>
  <c r="I96" i="51" s="1"/>
  <c r="D130" i="83"/>
  <c r="H52" i="54" s="1"/>
  <c r="D212" i="83"/>
  <c r="H53" i="54" s="1"/>
  <c r="H16" i="83"/>
  <c r="H41" i="54" s="1"/>
  <c r="D77" i="83"/>
  <c r="H45" i="54" s="1"/>
  <c r="H51" i="83"/>
  <c r="H44" i="54" s="1"/>
  <c r="D36" i="83"/>
  <c r="H40" i="54" s="1"/>
  <c r="D257" i="79"/>
  <c r="I65" i="51" s="1"/>
  <c r="H652" i="78" l="1"/>
  <c r="H647" i="78"/>
  <c r="H642" i="78"/>
  <c r="H638" i="78"/>
  <c r="H633" i="78"/>
  <c r="D681" i="78"/>
  <c r="D676" i="78"/>
  <c r="D672" i="78"/>
  <c r="D667" i="78"/>
  <c r="D663" i="78"/>
  <c r="D659" i="78"/>
  <c r="D633" i="78"/>
  <c r="D644" i="78" s="1"/>
  <c r="D636" i="78"/>
  <c r="D639" i="78"/>
  <c r="D642" i="78"/>
  <c r="D655" i="78"/>
  <c r="D650" i="78"/>
  <c r="H621" i="78"/>
  <c r="I127" i="49" s="1"/>
  <c r="H617" i="78"/>
  <c r="I126" i="49" s="1"/>
  <c r="H613" i="78"/>
  <c r="I125" i="49" l="1"/>
  <c r="I139" i="78"/>
  <c r="H607" i="78"/>
  <c r="H604" i="78"/>
  <c r="H601" i="78"/>
  <c r="H598" i="78"/>
  <c r="H593" i="78"/>
  <c r="H587" i="78"/>
  <c r="H584" i="78"/>
  <c r="H581" i="78"/>
  <c r="H230" i="78"/>
  <c r="H228" i="78"/>
  <c r="H226" i="78"/>
  <c r="H223" i="78"/>
  <c r="H221" i="78"/>
  <c r="H218" i="78"/>
  <c r="H216" i="78"/>
  <c r="H214" i="78"/>
  <c r="H211" i="78"/>
  <c r="H209" i="78"/>
  <c r="H207" i="78"/>
  <c r="H205" i="78"/>
  <c r="H203" i="78"/>
  <c r="H200" i="78"/>
  <c r="H198" i="78"/>
  <c r="H196" i="78"/>
  <c r="H193" i="78"/>
  <c r="H191" i="78"/>
  <c r="H189" i="78"/>
  <c r="H187" i="78"/>
  <c r="H589" i="78" l="1"/>
  <c r="I115" i="49" s="1"/>
  <c r="I131" i="78"/>
  <c r="I132" i="78"/>
  <c r="I114" i="49"/>
  <c r="H609" i="78"/>
  <c r="H232" i="78"/>
  <c r="D627" i="78" s="1"/>
  <c r="I106" i="49" s="1"/>
  <c r="I91" i="49" l="1"/>
  <c r="J91" i="49" s="1"/>
  <c r="I103" i="78"/>
  <c r="J103" i="78" s="1"/>
  <c r="J114" i="78" s="1"/>
  <c r="I138" i="78"/>
  <c r="I121" i="49"/>
  <c r="D232" i="78"/>
  <c r="I84" i="49" s="1"/>
  <c r="J84" i="49" s="1"/>
  <c r="D203" i="78" l="1"/>
  <c r="I73" i="49" s="1"/>
  <c r="D199" i="78"/>
  <c r="I72" i="49" s="1"/>
  <c r="H151" i="78" l="1"/>
  <c r="H150" i="78"/>
  <c r="H148" i="78"/>
  <c r="H153" i="78" l="1"/>
  <c r="I61" i="49" s="1"/>
  <c r="D17" i="78" l="1"/>
  <c r="D21" i="78"/>
  <c r="D25" i="78"/>
  <c r="D29" i="78"/>
  <c r="D12" i="78"/>
  <c r="I41" i="49" s="1"/>
  <c r="L2" i="20" l="1"/>
  <c r="H615" i="79"/>
  <c r="I155" i="51" s="1"/>
  <c r="H610" i="79"/>
  <c r="I147" i="51" s="1"/>
  <c r="H605" i="79"/>
  <c r="I145" i="51" s="1"/>
  <c r="H601" i="79"/>
  <c r="I144" i="51" s="1"/>
  <c r="H597" i="79"/>
  <c r="I143" i="51" s="1"/>
  <c r="H593" i="79"/>
  <c r="I142" i="51" s="1"/>
  <c r="H588" i="79"/>
  <c r="I139" i="51" s="1"/>
  <c r="H583" i="79"/>
  <c r="I137" i="51" s="1"/>
  <c r="H578" i="79"/>
  <c r="I135" i="51" s="1"/>
  <c r="D627" i="79"/>
  <c r="I133" i="51" s="1"/>
  <c r="D623" i="79"/>
  <c r="I132" i="51" s="1"/>
  <c r="D619" i="79"/>
  <c r="I131" i="51" s="1"/>
  <c r="D614" i="79"/>
  <c r="I129" i="51" s="1"/>
  <c r="D608" i="79"/>
  <c r="I125" i="51" s="1"/>
  <c r="D604" i="79"/>
  <c r="I122" i="51" s="1"/>
  <c r="D600" i="79"/>
  <c r="I121" i="51" s="1"/>
  <c r="D587" i="79"/>
  <c r="I112" i="51" s="1"/>
  <c r="D583" i="79"/>
  <c r="I111" i="51" s="1"/>
  <c r="H556" i="79"/>
  <c r="H553" i="79"/>
  <c r="H547" i="79"/>
  <c r="H544" i="79"/>
  <c r="H541" i="79"/>
  <c r="H535" i="79"/>
  <c r="H532" i="79"/>
  <c r="D571" i="79"/>
  <c r="D568" i="79"/>
  <c r="D565" i="79"/>
  <c r="D562" i="79"/>
  <c r="D559" i="79"/>
  <c r="D556" i="79"/>
  <c r="D553" i="79"/>
  <c r="D550" i="79"/>
  <c r="D547" i="79"/>
  <c r="D544" i="79"/>
  <c r="D541" i="79"/>
  <c r="D538" i="79"/>
  <c r="D535" i="79"/>
  <c r="D532" i="79"/>
  <c r="D529" i="79"/>
  <c r="D526" i="79"/>
  <c r="D523" i="79"/>
  <c r="D520" i="79"/>
  <c r="H495" i="79"/>
  <c r="H509" i="79"/>
  <c r="H507" i="79"/>
  <c r="H504" i="79"/>
  <c r="H501" i="79"/>
  <c r="H498" i="79"/>
  <c r="H492" i="79"/>
  <c r="H489" i="79"/>
  <c r="H477" i="79"/>
  <c r="D512" i="79"/>
  <c r="H486" i="79"/>
  <c r="H483" i="79"/>
  <c r="H480" i="79"/>
  <c r="H474" i="79"/>
  <c r="H471" i="79"/>
  <c r="H468" i="79"/>
  <c r="H465" i="79"/>
  <c r="H462" i="79"/>
  <c r="D515" i="79"/>
  <c r="D509" i="79"/>
  <c r="D506" i="79"/>
  <c r="D503" i="79"/>
  <c r="D500" i="79"/>
  <c r="D497" i="79"/>
  <c r="D494" i="79"/>
  <c r="D491" i="79"/>
  <c r="D488" i="79"/>
  <c r="D485" i="79"/>
  <c r="D482" i="79"/>
  <c r="D467" i="79"/>
  <c r="D464" i="79"/>
  <c r="D478" i="79" s="1"/>
  <c r="H561" i="79" l="1"/>
  <c r="I100" i="51" s="1"/>
  <c r="H510" i="79"/>
  <c r="I94" i="51" s="1"/>
  <c r="H537" i="79"/>
  <c r="I98" i="51" s="1"/>
  <c r="H549" i="79"/>
  <c r="I99" i="51" s="1"/>
  <c r="D573" i="79"/>
  <c r="I95" i="51" s="1"/>
  <c r="I93" i="51"/>
  <c r="H447" i="79" l="1"/>
  <c r="H444" i="79"/>
  <c r="H441" i="79"/>
  <c r="H438" i="79"/>
  <c r="H435" i="79"/>
  <c r="H432" i="79"/>
  <c r="H429" i="79"/>
  <c r="H426" i="79"/>
  <c r="H423" i="79"/>
  <c r="H420" i="79"/>
  <c r="H417" i="79"/>
  <c r="H414" i="79"/>
  <c r="H411" i="79"/>
  <c r="H408" i="79"/>
  <c r="H405" i="79"/>
  <c r="H402" i="79"/>
  <c r="D457" i="79"/>
  <c r="D454" i="79"/>
  <c r="D451" i="79"/>
  <c r="D448" i="79"/>
  <c r="H448" i="79" l="1"/>
  <c r="I92" i="51" s="1"/>
  <c r="D438" i="79"/>
  <c r="D435" i="79"/>
  <c r="D432" i="79"/>
  <c r="D429" i="79"/>
  <c r="D426" i="79"/>
  <c r="D423" i="79"/>
  <c r="D420" i="79"/>
  <c r="D417" i="79"/>
  <c r="D414" i="79"/>
  <c r="D411" i="79"/>
  <c r="D408" i="79"/>
  <c r="D405" i="79"/>
  <c r="D402" i="79"/>
  <c r="H398" i="79"/>
  <c r="H395" i="79"/>
  <c r="H392" i="79"/>
  <c r="H389" i="79"/>
  <c r="H386" i="79"/>
  <c r="H383" i="79"/>
  <c r="H380" i="79"/>
  <c r="H377" i="79"/>
  <c r="H374" i="79"/>
  <c r="H371" i="79"/>
  <c r="H368" i="79"/>
  <c r="H365" i="79"/>
  <c r="H362" i="79"/>
  <c r="H359" i="79"/>
  <c r="H356" i="79"/>
  <c r="H353" i="79"/>
  <c r="H350" i="79"/>
  <c r="H347" i="79"/>
  <c r="D398" i="79"/>
  <c r="D395" i="79"/>
  <c r="D392" i="79"/>
  <c r="D389" i="79"/>
  <c r="D386" i="79"/>
  <c r="D383" i="79"/>
  <c r="D380" i="79"/>
  <c r="D377" i="79"/>
  <c r="D374" i="79"/>
  <c r="D371" i="79"/>
  <c r="D368" i="79"/>
  <c r="D365" i="79"/>
  <c r="D362" i="79"/>
  <c r="D359" i="79"/>
  <c r="D356" i="79"/>
  <c r="D353" i="79"/>
  <c r="D350" i="79"/>
  <c r="D347" i="79"/>
  <c r="H344" i="79"/>
  <c r="H341" i="79"/>
  <c r="H338" i="79"/>
  <c r="H335" i="79"/>
  <c r="H332" i="79"/>
  <c r="H320" i="79"/>
  <c r="H329" i="79"/>
  <c r="H326" i="79"/>
  <c r="H323" i="79"/>
  <c r="H317" i="79"/>
  <c r="H314" i="79"/>
  <c r="H311" i="79"/>
  <c r="H308" i="79"/>
  <c r="H305" i="79"/>
  <c r="H302" i="79"/>
  <c r="H299" i="79"/>
  <c r="H296" i="79"/>
  <c r="H293" i="79"/>
  <c r="H290" i="79"/>
  <c r="H287" i="79"/>
  <c r="D343" i="79"/>
  <c r="D340" i="79"/>
  <c r="D337" i="79"/>
  <c r="D334" i="79"/>
  <c r="D331" i="79"/>
  <c r="D328" i="79"/>
  <c r="D325" i="79"/>
  <c r="D322" i="79"/>
  <c r="D319" i="79"/>
  <c r="D312" i="79"/>
  <c r="D309" i="79"/>
  <c r="D306" i="79"/>
  <c r="D303" i="79"/>
  <c r="D300" i="79"/>
  <c r="D297" i="79"/>
  <c r="D294" i="79"/>
  <c r="D290" i="79"/>
  <c r="D287" i="79"/>
  <c r="H282" i="79"/>
  <c r="H569" i="79" l="1"/>
  <c r="I104" i="51" s="1"/>
  <c r="D314" i="79"/>
  <c r="I90" i="51" s="1"/>
  <c r="D440" i="79"/>
  <c r="D444" i="79" s="1"/>
  <c r="H572" i="79"/>
  <c r="I105" i="51" s="1"/>
  <c r="H566" i="79" l="1"/>
  <c r="I103" i="51" s="1"/>
  <c r="I91" i="51"/>
  <c r="G20" i="79"/>
  <c r="G19" i="79"/>
  <c r="H276" i="79"/>
  <c r="I87" i="51" s="1"/>
  <c r="J87" i="51" s="1"/>
  <c r="H268" i="79"/>
  <c r="I83" i="51" s="1"/>
  <c r="H264" i="79"/>
  <c r="I82" i="51" s="1"/>
  <c r="H260" i="79"/>
  <c r="I81" i="51" s="1"/>
  <c r="H255" i="79"/>
  <c r="I77" i="51" s="1"/>
  <c r="H251" i="79"/>
  <c r="I76" i="51" s="1"/>
  <c r="H247" i="79"/>
  <c r="I75" i="51" s="1"/>
  <c r="H243" i="79"/>
  <c r="I74" i="51" s="1"/>
  <c r="H237" i="79"/>
  <c r="H239" i="79" s="1"/>
  <c r="H235" i="79"/>
  <c r="H229" i="79"/>
  <c r="H231" i="79" s="1"/>
  <c r="D280" i="79"/>
  <c r="D278" i="79"/>
  <c r="D271" i="79"/>
  <c r="D268" i="79"/>
  <c r="D262" i="79"/>
  <c r="D264" i="79" s="1"/>
  <c r="I66" i="51" s="1"/>
  <c r="B244" i="79"/>
  <c r="D245" i="79" s="1"/>
  <c r="D242" i="79"/>
  <c r="D177" i="79"/>
  <c r="D216" i="79"/>
  <c r="H214" i="79"/>
  <c r="D231" i="79"/>
  <c r="D228" i="79"/>
  <c r="H220" i="79"/>
  <c r="H217" i="79"/>
  <c r="H211" i="79"/>
  <c r="H208" i="79"/>
  <c r="H205" i="79"/>
  <c r="H202" i="79"/>
  <c r="H199" i="79"/>
  <c r="H196" i="79"/>
  <c r="H193" i="79"/>
  <c r="H190" i="79"/>
  <c r="H187" i="79"/>
  <c r="H184" i="79"/>
  <c r="H181" i="79"/>
  <c r="H178" i="79"/>
  <c r="H175" i="79"/>
  <c r="H169" i="79"/>
  <c r="D222" i="79"/>
  <c r="D219" i="79"/>
  <c r="D213" i="79"/>
  <c r="D210" i="79"/>
  <c r="D207" i="79"/>
  <c r="D204" i="79"/>
  <c r="D201" i="79"/>
  <c r="D198" i="79"/>
  <c r="D195" i="79"/>
  <c r="D192" i="79"/>
  <c r="D189" i="79"/>
  <c r="D186" i="79"/>
  <c r="D183" i="79"/>
  <c r="D180" i="79"/>
  <c r="D174" i="79"/>
  <c r="D171" i="79"/>
  <c r="H145" i="79"/>
  <c r="H142" i="79"/>
  <c r="H139" i="79"/>
  <c r="H136" i="79"/>
  <c r="H130" i="79"/>
  <c r="H127" i="79"/>
  <c r="H124" i="79"/>
  <c r="H121" i="79"/>
  <c r="H118" i="79"/>
  <c r="H115" i="79"/>
  <c r="D163" i="79"/>
  <c r="D164" i="79" s="1"/>
  <c r="I48" i="51" s="1"/>
  <c r="D155" i="79"/>
  <c r="D151" i="79"/>
  <c r="D147" i="79"/>
  <c r="D144" i="79"/>
  <c r="D137" i="79"/>
  <c r="D133" i="79"/>
  <c r="D129" i="79"/>
  <c r="D125" i="79"/>
  <c r="D117" i="79"/>
  <c r="D119" i="79" s="1"/>
  <c r="I44" i="51" s="1"/>
  <c r="H65" i="79"/>
  <c r="H62" i="79"/>
  <c r="H91" i="79"/>
  <c r="H51" i="79"/>
  <c r="H48" i="79"/>
  <c r="H45" i="79"/>
  <c r="H42" i="79"/>
  <c r="H39" i="79"/>
  <c r="H36" i="79"/>
  <c r="H33" i="79"/>
  <c r="D63" i="79"/>
  <c r="D66" i="79"/>
  <c r="H147" i="79" l="1"/>
  <c r="D273" i="79"/>
  <c r="D157" i="79"/>
  <c r="I46" i="51" s="1"/>
  <c r="D139" i="79"/>
  <c r="I45" i="51" s="1"/>
  <c r="D247" i="79"/>
  <c r="I64" i="51" s="1"/>
  <c r="H67" i="79"/>
  <c r="I35" i="51" s="1"/>
  <c r="H131" i="79"/>
  <c r="I49" i="51" s="1"/>
  <c r="D282" i="79"/>
  <c r="I70" i="51" s="1"/>
  <c r="D232" i="79"/>
  <c r="I60" i="51" s="1"/>
  <c r="H171" i="79"/>
  <c r="I59" i="51" s="1"/>
  <c r="D68" i="79"/>
  <c r="I19" i="51" s="1"/>
  <c r="H53" i="79"/>
  <c r="C72" i="79" l="1"/>
  <c r="D73" i="79" s="1"/>
  <c r="I21" i="51" s="1"/>
  <c r="I16" i="51"/>
  <c r="H87" i="79"/>
  <c r="H83" i="79"/>
  <c r="H77" i="79"/>
  <c r="H73" i="79"/>
  <c r="H93" i="79" l="1"/>
  <c r="I39" i="51" s="1"/>
  <c r="H79" i="79"/>
  <c r="H95" i="79" l="1"/>
  <c r="I38" i="51" s="1"/>
  <c r="D95" i="79"/>
  <c r="D92" i="79"/>
  <c r="D89" i="79"/>
  <c r="D82" i="79"/>
  <c r="D78" i="79"/>
  <c r="D96" i="79" l="1"/>
  <c r="I27" i="51" s="1"/>
  <c r="D84" i="79"/>
  <c r="I23" i="51" s="1"/>
  <c r="H14" i="79" l="1"/>
  <c r="H10" i="79"/>
  <c r="D57" i="79"/>
  <c r="D50" i="79"/>
  <c r="D46" i="79"/>
  <c r="D26" i="79"/>
  <c r="D22" i="79"/>
  <c r="D17" i="79"/>
  <c r="D52" i="79" l="1"/>
  <c r="H21" i="79"/>
  <c r="H16" i="79"/>
  <c r="I13" i="51" s="1"/>
  <c r="D28" i="79"/>
  <c r="H23" i="79" l="1"/>
  <c r="I11" i="51"/>
  <c r="H27" i="79"/>
  <c r="I14" i="51"/>
  <c r="D12" i="79"/>
  <c r="I10" i="51" s="1"/>
  <c r="D616" i="78"/>
  <c r="H577" i="78"/>
  <c r="D614" i="78"/>
  <c r="D607" i="78"/>
  <c r="D603" i="78"/>
  <c r="D600" i="78"/>
  <c r="D596" i="78"/>
  <c r="D594" i="78"/>
  <c r="D592" i="78"/>
  <c r="D590" i="78"/>
  <c r="D588" i="78"/>
  <c r="D586" i="78"/>
  <c r="D584" i="78"/>
  <c r="D579" i="78"/>
  <c r="D576" i="78"/>
  <c r="D574" i="78"/>
  <c r="H572" i="78"/>
  <c r="H569" i="78"/>
  <c r="H566" i="78"/>
  <c r="H562" i="78"/>
  <c r="H560" i="78"/>
  <c r="H557" i="78"/>
  <c r="H554" i="78"/>
  <c r="H551" i="78"/>
  <c r="H548" i="78"/>
  <c r="H545" i="78"/>
  <c r="H542" i="78"/>
  <c r="H539" i="78"/>
  <c r="H536" i="78"/>
  <c r="H533" i="78"/>
  <c r="H530" i="78"/>
  <c r="H527" i="78"/>
  <c r="H524" i="78"/>
  <c r="H521" i="78"/>
  <c r="H518" i="78"/>
  <c r="D570" i="78"/>
  <c r="D567" i="78"/>
  <c r="D564" i="78"/>
  <c r="D557" i="78"/>
  <c r="D554" i="78"/>
  <c r="D551" i="78"/>
  <c r="D548" i="78"/>
  <c r="D530" i="78"/>
  <c r="D545" i="78"/>
  <c r="D542" i="78"/>
  <c r="D539" i="78"/>
  <c r="D536" i="78"/>
  <c r="D533" i="78"/>
  <c r="D527" i="78"/>
  <c r="D524" i="78"/>
  <c r="D521" i="78"/>
  <c r="D518" i="78"/>
  <c r="H515" i="78"/>
  <c r="H512" i="78"/>
  <c r="H509" i="78"/>
  <c r="H506" i="78"/>
  <c r="H503" i="78"/>
  <c r="H500" i="78"/>
  <c r="H497" i="78"/>
  <c r="H494" i="78"/>
  <c r="H491" i="78"/>
  <c r="H488" i="78"/>
  <c r="H485" i="78"/>
  <c r="H482" i="78"/>
  <c r="H479" i="78"/>
  <c r="H476" i="78"/>
  <c r="H473" i="78"/>
  <c r="H470" i="78"/>
  <c r="H467" i="78"/>
  <c r="H464" i="78"/>
  <c r="H461" i="78"/>
  <c r="D513" i="78"/>
  <c r="D510" i="78"/>
  <c r="D507" i="78"/>
  <c r="D504" i="78"/>
  <c r="D501" i="78"/>
  <c r="D498" i="78"/>
  <c r="D491" i="78"/>
  <c r="D488" i="78"/>
  <c r="D485" i="78"/>
  <c r="D482" i="78"/>
  <c r="D479" i="78"/>
  <c r="D476" i="78"/>
  <c r="I130" i="78" l="1"/>
  <c r="I113" i="49"/>
  <c r="D597" i="78"/>
  <c r="D559" i="78"/>
  <c r="D493" i="78"/>
  <c r="I95" i="49" l="1"/>
  <c r="J95" i="49" s="1"/>
  <c r="I107" i="78"/>
  <c r="I106" i="78"/>
  <c r="I94" i="49"/>
  <c r="J94" i="49" s="1"/>
  <c r="I97" i="49"/>
  <c r="J97" i="49" s="1"/>
  <c r="I109" i="78"/>
  <c r="D470" i="78"/>
  <c r="D467" i="78"/>
  <c r="D463" i="78"/>
  <c r="D461" i="78"/>
  <c r="H456" i="78"/>
  <c r="H453" i="78"/>
  <c r="H450" i="78"/>
  <c r="H447" i="78"/>
  <c r="H444" i="78"/>
  <c r="H441" i="78"/>
  <c r="H438" i="78"/>
  <c r="H435" i="78"/>
  <c r="H432" i="78"/>
  <c r="H429" i="78"/>
  <c r="H426" i="78"/>
  <c r="H423" i="78"/>
  <c r="H420" i="78"/>
  <c r="H417" i="78"/>
  <c r="H414" i="78"/>
  <c r="H411" i="78"/>
  <c r="H408" i="78"/>
  <c r="H405" i="78"/>
  <c r="D455" i="78"/>
  <c r="D452" i="78"/>
  <c r="D449" i="78"/>
  <c r="D446" i="78"/>
  <c r="D443" i="78"/>
  <c r="D440" i="78"/>
  <c r="D437" i="78"/>
  <c r="D472" i="78" l="1"/>
  <c r="D624" i="78" s="1"/>
  <c r="I105" i="49" s="1"/>
  <c r="D430" i="78"/>
  <c r="D427" i="78"/>
  <c r="D424" i="78"/>
  <c r="D421" i="78"/>
  <c r="D418" i="78"/>
  <c r="D415" i="78"/>
  <c r="D412" i="78"/>
  <c r="D409" i="78"/>
  <c r="D406" i="78"/>
  <c r="H401" i="78"/>
  <c r="H397" i="78"/>
  <c r="H394" i="78"/>
  <c r="H391" i="78"/>
  <c r="H388" i="78"/>
  <c r="H385" i="78"/>
  <c r="H382" i="78"/>
  <c r="H379" i="78"/>
  <c r="H376" i="78"/>
  <c r="H373" i="78"/>
  <c r="H370" i="78"/>
  <c r="H367" i="78"/>
  <c r="H364" i="78"/>
  <c r="H361" i="78"/>
  <c r="H358" i="78"/>
  <c r="H355" i="78"/>
  <c r="H352" i="78"/>
  <c r="H349" i="78"/>
  <c r="D400" i="78"/>
  <c r="D397" i="78"/>
  <c r="D394" i="78"/>
  <c r="D391" i="78"/>
  <c r="D388" i="78"/>
  <c r="D385" i="78"/>
  <c r="D382" i="78"/>
  <c r="D379" i="78"/>
  <c r="D376" i="78"/>
  <c r="D373" i="78"/>
  <c r="D370" i="78"/>
  <c r="D367" i="78"/>
  <c r="D364" i="78"/>
  <c r="D361" i="78"/>
  <c r="D358" i="78"/>
  <c r="D355" i="78"/>
  <c r="D352" i="78"/>
  <c r="D349" i="78"/>
  <c r="H339" i="78"/>
  <c r="H345" i="78"/>
  <c r="H342" i="78"/>
  <c r="H336" i="78"/>
  <c r="H333" i="78"/>
  <c r="H330" i="78"/>
  <c r="H327" i="78"/>
  <c r="H324" i="78"/>
  <c r="H321" i="78"/>
  <c r="H318" i="78"/>
  <c r="H315" i="78"/>
  <c r="H312" i="78"/>
  <c r="H309" i="78"/>
  <c r="H306" i="78"/>
  <c r="H303" i="78"/>
  <c r="H300" i="78"/>
  <c r="H299" i="78"/>
  <c r="H298" i="78"/>
  <c r="H297" i="78"/>
  <c r="D345" i="78"/>
  <c r="D342" i="78"/>
  <c r="D339" i="78"/>
  <c r="D336" i="78"/>
  <c r="D333" i="78"/>
  <c r="D330" i="78"/>
  <c r="D327" i="78"/>
  <c r="D324" i="78"/>
  <c r="D321" i="78"/>
  <c r="D318" i="78"/>
  <c r="D315" i="78"/>
  <c r="D312" i="78"/>
  <c r="D309" i="78"/>
  <c r="D306" i="78"/>
  <c r="D303" i="78"/>
  <c r="D300" i="78"/>
  <c r="D297" i="78"/>
  <c r="H293" i="78"/>
  <c r="H290" i="78"/>
  <c r="H287" i="78"/>
  <c r="H284" i="78"/>
  <c r="H281" i="78"/>
  <c r="H278" i="78"/>
  <c r="H275" i="78"/>
  <c r="H272" i="78"/>
  <c r="H269" i="78"/>
  <c r="H266" i="78"/>
  <c r="H263" i="78"/>
  <c r="H260" i="78"/>
  <c r="H257" i="78"/>
  <c r="H254" i="78"/>
  <c r="H251" i="78"/>
  <c r="H248" i="78"/>
  <c r="H245" i="78"/>
  <c r="H242" i="78"/>
  <c r="H239" i="78"/>
  <c r="H236" i="78"/>
  <c r="D294" i="78"/>
  <c r="D290" i="78"/>
  <c r="D287" i="78"/>
  <c r="D284" i="78"/>
  <c r="D281" i="78"/>
  <c r="D278" i="78"/>
  <c r="D275" i="78"/>
  <c r="D272" i="78"/>
  <c r="D269" i="78"/>
  <c r="D266" i="78"/>
  <c r="D263" i="78"/>
  <c r="D260" i="78"/>
  <c r="D257" i="78"/>
  <c r="D254" i="78"/>
  <c r="D251" i="78"/>
  <c r="D248" i="78"/>
  <c r="D245" i="78"/>
  <c r="D242" i="78"/>
  <c r="D239" i="78"/>
  <c r="D236" i="78"/>
  <c r="I105" i="78" l="1"/>
  <c r="I93" i="49"/>
  <c r="J93" i="49" s="1"/>
  <c r="D432" i="78"/>
  <c r="D621" i="78" s="1"/>
  <c r="I104" i="49" s="1"/>
  <c r="H182" i="78"/>
  <c r="I88" i="49" s="1"/>
  <c r="J88" i="49" s="1"/>
  <c r="D228" i="78"/>
  <c r="I83" i="49" s="1"/>
  <c r="D224" i="78"/>
  <c r="I82" i="49" s="1"/>
  <c r="D220" i="78"/>
  <c r="I80" i="49" s="1"/>
  <c r="D216" i="78"/>
  <c r="I79" i="49" s="1"/>
  <c r="D212" i="78"/>
  <c r="I78" i="49" s="1"/>
  <c r="D207" i="78"/>
  <c r="I74" i="49" s="1"/>
  <c r="J74" i="49" s="1"/>
  <c r="D195" i="78"/>
  <c r="I70" i="49" s="1"/>
  <c r="D189" i="78"/>
  <c r="D186" i="78"/>
  <c r="D182" i="78"/>
  <c r="I67" i="49" s="1"/>
  <c r="H174" i="78"/>
  <c r="H171" i="78"/>
  <c r="H165" i="78"/>
  <c r="H163" i="78"/>
  <c r="H158" i="78"/>
  <c r="I62" i="49" s="1"/>
  <c r="H142" i="78"/>
  <c r="H139" i="78"/>
  <c r="H133" i="78"/>
  <c r="H135" i="78" s="1"/>
  <c r="I59" i="49" s="1"/>
  <c r="H126" i="78"/>
  <c r="H123" i="78"/>
  <c r="H120" i="78"/>
  <c r="D171" i="78"/>
  <c r="D168" i="78"/>
  <c r="D165" i="78"/>
  <c r="D162" i="78"/>
  <c r="D159" i="78"/>
  <c r="D156" i="78"/>
  <c r="D153" i="78"/>
  <c r="D150" i="78"/>
  <c r="D147" i="78"/>
  <c r="D144" i="78"/>
  <c r="D141" i="78"/>
  <c r="D138" i="78"/>
  <c r="D135" i="78"/>
  <c r="D129" i="78"/>
  <c r="D126" i="78"/>
  <c r="D123" i="78"/>
  <c r="D120" i="78"/>
  <c r="H115" i="78"/>
  <c r="H112" i="78"/>
  <c r="H109" i="78"/>
  <c r="H106" i="78"/>
  <c r="H103" i="78"/>
  <c r="H100" i="78"/>
  <c r="H97" i="78"/>
  <c r="H94" i="78"/>
  <c r="H91" i="78"/>
  <c r="H88" i="78"/>
  <c r="H85" i="78"/>
  <c r="H82" i="78"/>
  <c r="H79" i="78"/>
  <c r="H76" i="78"/>
  <c r="H73" i="78"/>
  <c r="H70" i="78"/>
  <c r="H67" i="78"/>
  <c r="H64" i="78"/>
  <c r="D113" i="78"/>
  <c r="D110" i="78"/>
  <c r="D71" i="78"/>
  <c r="D74" i="78"/>
  <c r="D77" i="78"/>
  <c r="D80" i="78"/>
  <c r="D83" i="78"/>
  <c r="D86" i="78"/>
  <c r="D89" i="78"/>
  <c r="D98" i="78"/>
  <c r="D101" i="78"/>
  <c r="D104" i="78"/>
  <c r="D107" i="78"/>
  <c r="D92" i="78"/>
  <c r="D95" i="78"/>
  <c r="D116" i="78"/>
  <c r="D68" i="78"/>
  <c r="H52" i="78"/>
  <c r="H49" i="78"/>
  <c r="H46" i="78"/>
  <c r="H43" i="78"/>
  <c r="H40" i="78"/>
  <c r="D52" i="78"/>
  <c r="H37" i="78"/>
  <c r="D48" i="78"/>
  <c r="H34" i="78"/>
  <c r="D44" i="78"/>
  <c r="D40" i="78"/>
  <c r="H27" i="78"/>
  <c r="H23" i="78"/>
  <c r="D36" i="78"/>
  <c r="H19" i="78"/>
  <c r="H15" i="78"/>
  <c r="H11" i="78"/>
  <c r="I45" i="49" s="1"/>
  <c r="D60" i="78"/>
  <c r="D56" i="78"/>
  <c r="H114" i="78" l="1"/>
  <c r="I104" i="78"/>
  <c r="I92" i="49"/>
  <c r="J92" i="49" s="1"/>
  <c r="D191" i="78"/>
  <c r="I68" i="49" s="1"/>
  <c r="H167" i="78"/>
  <c r="I65" i="49" s="1"/>
  <c r="H128" i="78"/>
  <c r="I56" i="49" s="1"/>
  <c r="H176" i="78"/>
  <c r="I66" i="49" s="1"/>
  <c r="H144" i="78"/>
  <c r="I60" i="49" s="1"/>
  <c r="D131" i="78"/>
  <c r="I55" i="49" s="1"/>
  <c r="H54" i="78"/>
  <c r="I47" i="49" s="1"/>
  <c r="H30" i="78"/>
  <c r="I46" i="49" s="1"/>
  <c r="D61" i="78"/>
  <c r="I43" i="49" s="1"/>
  <c r="D31" i="78"/>
  <c r="I42" i="49" s="1"/>
  <c r="I16" i="37" l="1"/>
  <c r="I71" i="37"/>
  <c r="M71" i="37" s="1"/>
  <c r="I72" i="37"/>
  <c r="K72" i="37" s="1"/>
  <c r="I73" i="37"/>
  <c r="I74" i="37"/>
  <c r="K74" i="37" s="1"/>
  <c r="G14" i="62" l="1"/>
  <c r="I78" i="61"/>
  <c r="I79" i="61"/>
  <c r="G78" i="61"/>
  <c r="G79" i="61"/>
  <c r="I14" i="69" l="1"/>
  <c r="G14" i="69"/>
  <c r="H14" i="51" l="1"/>
  <c r="J14" i="51"/>
  <c r="F27" i="60" l="1"/>
  <c r="I76" i="69" l="1"/>
  <c r="I156" i="69"/>
  <c r="G156" i="69"/>
  <c r="I155" i="69"/>
  <c r="G155" i="69"/>
  <c r="I154" i="69"/>
  <c r="G154" i="69"/>
  <c r="I153" i="69"/>
  <c r="G153" i="69"/>
  <c r="I152" i="69"/>
  <c r="G152" i="69"/>
  <c r="I151" i="69"/>
  <c r="G151" i="69"/>
  <c r="I150" i="69"/>
  <c r="G150" i="69"/>
  <c r="G149" i="69"/>
  <c r="I148" i="69"/>
  <c r="G148" i="69"/>
  <c r="I147" i="69"/>
  <c r="G147" i="69"/>
  <c r="G146" i="69"/>
  <c r="G145" i="69"/>
  <c r="G144" i="69"/>
  <c r="G143" i="69"/>
  <c r="I142" i="69"/>
  <c r="G142" i="69"/>
  <c r="G141" i="69"/>
  <c r="G140" i="69"/>
  <c r="I139" i="69"/>
  <c r="G139" i="69"/>
  <c r="G138" i="69"/>
  <c r="G137" i="69"/>
  <c r="I136" i="69"/>
  <c r="G136" i="69"/>
  <c r="G135" i="69"/>
  <c r="G134" i="69"/>
  <c r="I133" i="69"/>
  <c r="G133" i="69"/>
  <c r="G132" i="69"/>
  <c r="G131" i="69"/>
  <c r="G130" i="69"/>
  <c r="I129" i="69"/>
  <c r="G129" i="69"/>
  <c r="G128" i="69"/>
  <c r="I126" i="69"/>
  <c r="G126" i="69"/>
  <c r="I123" i="69"/>
  <c r="G123" i="69"/>
  <c r="I122" i="69"/>
  <c r="G122" i="69"/>
  <c r="I121" i="69"/>
  <c r="G121" i="69"/>
  <c r="G120" i="69"/>
  <c r="G119" i="69"/>
  <c r="G118" i="69"/>
  <c r="G117" i="69"/>
  <c r="I113" i="69"/>
  <c r="G113" i="69"/>
  <c r="G112" i="69"/>
  <c r="G109" i="69"/>
  <c r="G108" i="69"/>
  <c r="G107" i="69"/>
  <c r="G31" i="68"/>
  <c r="G103" i="69"/>
  <c r="G102" i="69"/>
  <c r="G101" i="69"/>
  <c r="G98" i="69"/>
  <c r="G97" i="69"/>
  <c r="G96" i="69"/>
  <c r="G94" i="69"/>
  <c r="G93" i="69"/>
  <c r="G92" i="69"/>
  <c r="G91" i="69"/>
  <c r="G90" i="69"/>
  <c r="G86" i="69"/>
  <c r="I85" i="69"/>
  <c r="G85" i="69"/>
  <c r="I84" i="69"/>
  <c r="G84" i="69"/>
  <c r="G83" i="69"/>
  <c r="I82" i="69"/>
  <c r="G82" i="69"/>
  <c r="I80" i="69"/>
  <c r="G80" i="69"/>
  <c r="I79" i="69"/>
  <c r="G79" i="69"/>
  <c r="I78" i="69"/>
  <c r="G78" i="69"/>
  <c r="I77" i="69"/>
  <c r="G77" i="69"/>
  <c r="G76" i="69"/>
  <c r="G72" i="69"/>
  <c r="G71" i="69"/>
  <c r="G70" i="69"/>
  <c r="G69" i="69"/>
  <c r="G68" i="69"/>
  <c r="G67" i="69"/>
  <c r="G66" i="69"/>
  <c r="G63" i="69"/>
  <c r="G61" i="69"/>
  <c r="G60" i="69"/>
  <c r="G57" i="69"/>
  <c r="G56" i="69"/>
  <c r="G53" i="69"/>
  <c r="G52" i="69"/>
  <c r="G49" i="69"/>
  <c r="G48" i="69"/>
  <c r="G47" i="69"/>
  <c r="G45" i="69"/>
  <c r="G44" i="69"/>
  <c r="G43" i="69"/>
  <c r="I38" i="69"/>
  <c r="G38" i="69"/>
  <c r="I37" i="69"/>
  <c r="G37" i="69"/>
  <c r="I34" i="69"/>
  <c r="G34" i="69"/>
  <c r="I33" i="69"/>
  <c r="G33" i="69"/>
  <c r="I32" i="69"/>
  <c r="G32" i="69"/>
  <c r="I31" i="69"/>
  <c r="G31" i="69"/>
  <c r="I29" i="69"/>
  <c r="G29" i="69"/>
  <c r="I28" i="69"/>
  <c r="G28" i="69"/>
  <c r="I27" i="69"/>
  <c r="G27" i="69"/>
  <c r="I26" i="69"/>
  <c r="G26" i="69"/>
  <c r="I24" i="69"/>
  <c r="G24" i="69"/>
  <c r="I23" i="69"/>
  <c r="G23" i="69"/>
  <c r="I22" i="69"/>
  <c r="G22" i="69"/>
  <c r="I21" i="69"/>
  <c r="G21" i="69"/>
  <c r="I20" i="69"/>
  <c r="G20" i="69"/>
  <c r="I19" i="69"/>
  <c r="G19" i="69"/>
  <c r="I16" i="69"/>
  <c r="G16" i="69"/>
  <c r="I15" i="69"/>
  <c r="I13" i="69"/>
  <c r="I12" i="69"/>
  <c r="E12" i="69"/>
  <c r="E13" i="69" s="1"/>
  <c r="I11" i="69"/>
  <c r="G11" i="69"/>
  <c r="I10" i="69"/>
  <c r="G10" i="69"/>
  <c r="D34" i="68"/>
  <c r="F33" i="68"/>
  <c r="F32" i="68"/>
  <c r="F31" i="68"/>
  <c r="F30" i="68"/>
  <c r="F29" i="68"/>
  <c r="F28" i="68"/>
  <c r="F27" i="68"/>
  <c r="F26" i="68"/>
  <c r="F25" i="68"/>
  <c r="F24" i="68"/>
  <c r="G23" i="68"/>
  <c r="F23" i="68"/>
  <c r="D22" i="68"/>
  <c r="F21" i="68"/>
  <c r="F20" i="68"/>
  <c r="F19" i="68"/>
  <c r="H167" i="67"/>
  <c r="F167" i="67"/>
  <c r="H166" i="67"/>
  <c r="F166" i="67"/>
  <c r="H165" i="67"/>
  <c r="F165" i="67"/>
  <c r="H164" i="67"/>
  <c r="F164" i="67"/>
  <c r="H163" i="67"/>
  <c r="F163" i="67"/>
  <c r="H162" i="67"/>
  <c r="F162" i="67"/>
  <c r="H161" i="67"/>
  <c r="F161" i="67"/>
  <c r="H160" i="67"/>
  <c r="F160" i="67"/>
  <c r="H159" i="67"/>
  <c r="F159" i="67"/>
  <c r="H158" i="67"/>
  <c r="F158" i="67"/>
  <c r="H157" i="67"/>
  <c r="F157" i="67"/>
  <c r="H156" i="67"/>
  <c r="F156" i="67"/>
  <c r="H155" i="67"/>
  <c r="F155" i="67"/>
  <c r="H154" i="67"/>
  <c r="F154" i="67"/>
  <c r="H153" i="67"/>
  <c r="F153" i="67"/>
  <c r="H152" i="67"/>
  <c r="F152" i="67"/>
  <c r="H151" i="67"/>
  <c r="F151" i="67"/>
  <c r="H150" i="67"/>
  <c r="F150" i="67"/>
  <c r="H149" i="67"/>
  <c r="F149" i="67"/>
  <c r="H148" i="67"/>
  <c r="F148" i="67"/>
  <c r="H147" i="67"/>
  <c r="F147" i="67"/>
  <c r="H146" i="67"/>
  <c r="F146" i="67"/>
  <c r="H145" i="67"/>
  <c r="F145" i="67"/>
  <c r="H144" i="67"/>
  <c r="F144" i="67"/>
  <c r="H143" i="67"/>
  <c r="F143" i="67"/>
  <c r="H142" i="67"/>
  <c r="F142" i="67"/>
  <c r="H141" i="67"/>
  <c r="F141" i="67"/>
  <c r="H140" i="67"/>
  <c r="F140" i="67"/>
  <c r="H139" i="67"/>
  <c r="F139" i="67"/>
  <c r="H138" i="67"/>
  <c r="F138" i="67"/>
  <c r="H137" i="67"/>
  <c r="F137" i="67"/>
  <c r="H136" i="67"/>
  <c r="F136" i="67"/>
  <c r="H135" i="67"/>
  <c r="F135" i="67"/>
  <c r="H134" i="67"/>
  <c r="F134" i="67"/>
  <c r="H133" i="67"/>
  <c r="F133" i="67"/>
  <c r="H132" i="67"/>
  <c r="F132" i="67"/>
  <c r="H131" i="67"/>
  <c r="F131" i="67"/>
  <c r="H130" i="67"/>
  <c r="F130" i="67"/>
  <c r="H129" i="67"/>
  <c r="F129" i="67"/>
  <c r="H128" i="67"/>
  <c r="F128" i="67"/>
  <c r="H124" i="67"/>
  <c r="F124" i="67"/>
  <c r="H123" i="67"/>
  <c r="F123" i="67"/>
  <c r="H122" i="67"/>
  <c r="F122" i="67"/>
  <c r="H121" i="67"/>
  <c r="F121" i="67"/>
  <c r="H120" i="67"/>
  <c r="F120" i="67"/>
  <c r="H119" i="67"/>
  <c r="F119" i="67"/>
  <c r="H118" i="67"/>
  <c r="F118" i="67"/>
  <c r="H117" i="67"/>
  <c r="F117" i="67"/>
  <c r="H116" i="67"/>
  <c r="F116" i="67"/>
  <c r="H115" i="67"/>
  <c r="F115" i="67"/>
  <c r="H114" i="67"/>
  <c r="F114" i="67"/>
  <c r="H113" i="67"/>
  <c r="F113" i="67"/>
  <c r="H112" i="67"/>
  <c r="F112" i="67"/>
  <c r="H111" i="67"/>
  <c r="F111" i="67"/>
  <c r="H110" i="67"/>
  <c r="F110" i="67"/>
  <c r="H109" i="67"/>
  <c r="F109" i="67"/>
  <c r="H108" i="67"/>
  <c r="F108" i="67"/>
  <c r="H107" i="67"/>
  <c r="F107" i="67"/>
  <c r="H106" i="67"/>
  <c r="F106" i="67"/>
  <c r="H105" i="67"/>
  <c r="F105" i="67"/>
  <c r="H104" i="67"/>
  <c r="F104" i="67"/>
  <c r="H103" i="67"/>
  <c r="F103" i="67"/>
  <c r="H99" i="67"/>
  <c r="H100" i="67" s="1"/>
  <c r="D25" i="66" s="1"/>
  <c r="F99" i="67"/>
  <c r="F100" i="67" s="1"/>
  <c r="F96" i="67"/>
  <c r="F95" i="67"/>
  <c r="F94" i="67"/>
  <c r="F91" i="67"/>
  <c r="F90" i="67"/>
  <c r="F89" i="67"/>
  <c r="F88" i="67"/>
  <c r="I87" i="67"/>
  <c r="H87" i="67"/>
  <c r="F87" i="67"/>
  <c r="H86" i="67"/>
  <c r="F86" i="67"/>
  <c r="H85" i="67"/>
  <c r="F85" i="67"/>
  <c r="H84" i="67"/>
  <c r="F84" i="67"/>
  <c r="F83" i="67"/>
  <c r="F82" i="67"/>
  <c r="F81" i="67"/>
  <c r="H78" i="67"/>
  <c r="F78" i="67"/>
  <c r="F77" i="67"/>
  <c r="H75" i="67"/>
  <c r="F75" i="67"/>
  <c r="F79" i="67" s="1"/>
  <c r="F69" i="67"/>
  <c r="F68" i="67"/>
  <c r="F67" i="67"/>
  <c r="F66" i="67"/>
  <c r="F63" i="67"/>
  <c r="F62" i="67"/>
  <c r="F61" i="67"/>
  <c r="F60" i="67"/>
  <c r="F56" i="67"/>
  <c r="F58" i="67" s="1"/>
  <c r="F50" i="67"/>
  <c r="F49" i="67"/>
  <c r="H48" i="67"/>
  <c r="H47" i="67"/>
  <c r="F46" i="67"/>
  <c r="F45" i="67"/>
  <c r="F43" i="67"/>
  <c r="F42" i="67"/>
  <c r="H37" i="67"/>
  <c r="F37" i="67"/>
  <c r="H36" i="67"/>
  <c r="F36" i="67"/>
  <c r="H33" i="67"/>
  <c r="F33" i="67"/>
  <c r="H32" i="67"/>
  <c r="F32" i="67"/>
  <c r="F31" i="67"/>
  <c r="F30" i="67"/>
  <c r="H29" i="67"/>
  <c r="F29" i="67"/>
  <c r="H28" i="67"/>
  <c r="F28" i="67"/>
  <c r="H27" i="67"/>
  <c r="F27" i="67"/>
  <c r="H26" i="67"/>
  <c r="F26" i="67"/>
  <c r="H25" i="67"/>
  <c r="F25" i="67"/>
  <c r="H24" i="67"/>
  <c r="F24" i="67"/>
  <c r="H22" i="67"/>
  <c r="F22" i="67"/>
  <c r="H21" i="67"/>
  <c r="F21" i="67"/>
  <c r="H20" i="67"/>
  <c r="F20" i="67"/>
  <c r="H19" i="67"/>
  <c r="F19" i="67"/>
  <c r="H18" i="67"/>
  <c r="F18" i="67"/>
  <c r="H17" i="67"/>
  <c r="F17" i="67"/>
  <c r="H14" i="67"/>
  <c r="F14" i="67"/>
  <c r="H13" i="67"/>
  <c r="H12" i="67"/>
  <c r="H11" i="67"/>
  <c r="D11" i="67"/>
  <c r="F11" i="67" s="1"/>
  <c r="H10" i="67"/>
  <c r="D10" i="67"/>
  <c r="F10" i="67" s="1"/>
  <c r="H9" i="67"/>
  <c r="F9" i="67"/>
  <c r="C28" i="66"/>
  <c r="E27" i="66"/>
  <c r="E26" i="66"/>
  <c r="E25" i="66"/>
  <c r="F25" i="66"/>
  <c r="E24" i="66"/>
  <c r="E23" i="66"/>
  <c r="E22" i="66"/>
  <c r="E21" i="66"/>
  <c r="E20" i="66"/>
  <c r="E19" i="66"/>
  <c r="E18" i="66"/>
  <c r="F17" i="66"/>
  <c r="E17" i="66"/>
  <c r="C16" i="66"/>
  <c r="E15" i="66"/>
  <c r="E14" i="66"/>
  <c r="E13" i="66"/>
  <c r="I113" i="65"/>
  <c r="G113" i="65"/>
  <c r="I112" i="65"/>
  <c r="G112" i="65"/>
  <c r="I111" i="65"/>
  <c r="G111" i="65"/>
  <c r="I110" i="65"/>
  <c r="G110" i="65"/>
  <c r="I109" i="65"/>
  <c r="G109" i="65"/>
  <c r="I108" i="65"/>
  <c r="G108" i="65"/>
  <c r="I107" i="65"/>
  <c r="G107" i="65"/>
  <c r="I106" i="65"/>
  <c r="G106" i="65"/>
  <c r="I105" i="65"/>
  <c r="G105" i="65"/>
  <c r="I104" i="65"/>
  <c r="G104" i="65"/>
  <c r="G103" i="65"/>
  <c r="I102" i="65"/>
  <c r="G102" i="65"/>
  <c r="I101" i="65"/>
  <c r="G101" i="65"/>
  <c r="I100" i="65"/>
  <c r="G100" i="65"/>
  <c r="I99" i="65"/>
  <c r="G99" i="65"/>
  <c r="I98" i="65"/>
  <c r="G98" i="65"/>
  <c r="G97" i="65"/>
  <c r="I96" i="65"/>
  <c r="G96" i="65"/>
  <c r="I95" i="65"/>
  <c r="G95" i="65"/>
  <c r="I92" i="65"/>
  <c r="I93" i="65" s="1"/>
  <c r="H25" i="64" s="1"/>
  <c r="J25" i="64" s="1"/>
  <c r="G92" i="65"/>
  <c r="G93" i="65" s="1"/>
  <c r="G89" i="65"/>
  <c r="G88" i="65"/>
  <c r="G87" i="65"/>
  <c r="G84" i="65"/>
  <c r="I83" i="65"/>
  <c r="G83" i="65"/>
  <c r="I82" i="65"/>
  <c r="G82" i="65"/>
  <c r="I81" i="65"/>
  <c r="G81" i="65"/>
  <c r="G80" i="65"/>
  <c r="G79" i="65"/>
  <c r="G78" i="65"/>
  <c r="I75" i="65"/>
  <c r="G75" i="65"/>
  <c r="I74" i="65"/>
  <c r="G74" i="65"/>
  <c r="I73" i="65"/>
  <c r="G73" i="65"/>
  <c r="I72" i="65"/>
  <c r="G72" i="65"/>
  <c r="I71" i="65"/>
  <c r="G71" i="65"/>
  <c r="G67" i="65"/>
  <c r="G66" i="65"/>
  <c r="G65" i="65"/>
  <c r="G64" i="65"/>
  <c r="G61" i="65"/>
  <c r="G60" i="65"/>
  <c r="G59" i="65"/>
  <c r="G58" i="65"/>
  <c r="I55" i="65"/>
  <c r="G55" i="65"/>
  <c r="G54" i="65"/>
  <c r="I51" i="65"/>
  <c r="G51" i="65"/>
  <c r="G50" i="65"/>
  <c r="G49" i="65"/>
  <c r="G45" i="65"/>
  <c r="G44" i="65"/>
  <c r="I43" i="65"/>
  <c r="G43" i="65"/>
  <c r="G42" i="65"/>
  <c r="G41" i="65"/>
  <c r="I36" i="65"/>
  <c r="G36" i="65"/>
  <c r="I35" i="65"/>
  <c r="G35" i="65"/>
  <c r="G37" i="65" s="1"/>
  <c r="I32" i="65"/>
  <c r="G32" i="65"/>
  <c r="I31" i="65"/>
  <c r="G31" i="65"/>
  <c r="I30" i="65"/>
  <c r="G30" i="65"/>
  <c r="I29" i="65"/>
  <c r="G29" i="65"/>
  <c r="I28" i="65"/>
  <c r="G28" i="65"/>
  <c r="I24" i="65"/>
  <c r="G24" i="65"/>
  <c r="I23" i="65"/>
  <c r="G23" i="65"/>
  <c r="I20" i="65"/>
  <c r="G20" i="65"/>
  <c r="I19" i="65"/>
  <c r="G19" i="65"/>
  <c r="I18" i="65"/>
  <c r="G18" i="65"/>
  <c r="G33" i="65" s="1"/>
  <c r="I15" i="65"/>
  <c r="G15" i="65"/>
  <c r="I14" i="65"/>
  <c r="I13" i="65"/>
  <c r="I12" i="65"/>
  <c r="E12" i="65"/>
  <c r="G12" i="65" s="1"/>
  <c r="I11" i="65"/>
  <c r="E11" i="65"/>
  <c r="E13" i="65" s="1"/>
  <c r="G10" i="65"/>
  <c r="G28" i="64"/>
  <c r="I27" i="64"/>
  <c r="I26" i="64"/>
  <c r="I25" i="64"/>
  <c r="I24" i="64"/>
  <c r="I23" i="64"/>
  <c r="I22" i="64"/>
  <c r="I21" i="64"/>
  <c r="I20" i="64"/>
  <c r="I19" i="64"/>
  <c r="I18" i="64"/>
  <c r="J17" i="64"/>
  <c r="I17" i="64"/>
  <c r="G16" i="64"/>
  <c r="I15" i="64"/>
  <c r="I14" i="64"/>
  <c r="I13" i="64"/>
  <c r="D33" i="63"/>
  <c r="F32" i="63"/>
  <c r="F31" i="63"/>
  <c r="F30" i="63"/>
  <c r="F29" i="63"/>
  <c r="F28" i="63"/>
  <c r="F27" i="63"/>
  <c r="F26" i="63"/>
  <c r="F25" i="63"/>
  <c r="F24" i="63"/>
  <c r="F23" i="63"/>
  <c r="D21" i="63"/>
  <c r="F20" i="63"/>
  <c r="F19" i="63"/>
  <c r="F18" i="63"/>
  <c r="I132" i="62"/>
  <c r="I130" i="62"/>
  <c r="G140" i="62"/>
  <c r="I139" i="62"/>
  <c r="G139" i="62"/>
  <c r="G138" i="62"/>
  <c r="G137" i="62"/>
  <c r="I136" i="62"/>
  <c r="G136" i="62"/>
  <c r="G135" i="62"/>
  <c r="G134" i="62"/>
  <c r="G132" i="62"/>
  <c r="G130" i="62"/>
  <c r="G128" i="62"/>
  <c r="G127" i="62"/>
  <c r="G126" i="62"/>
  <c r="G125" i="62"/>
  <c r="G124" i="62"/>
  <c r="G122" i="62"/>
  <c r="G121" i="62"/>
  <c r="G120" i="62"/>
  <c r="G119" i="62"/>
  <c r="G118" i="62"/>
  <c r="G116" i="62"/>
  <c r="G115" i="62"/>
  <c r="G113" i="62"/>
  <c r="G109" i="62"/>
  <c r="G108" i="62"/>
  <c r="G107" i="62"/>
  <c r="I105" i="62"/>
  <c r="G105" i="62"/>
  <c r="G104" i="62"/>
  <c r="I102" i="62"/>
  <c r="G102" i="62"/>
  <c r="G101" i="62"/>
  <c r="G97" i="62"/>
  <c r="E96" i="62"/>
  <c r="G96" i="62" s="1"/>
  <c r="G95" i="62"/>
  <c r="G92" i="62"/>
  <c r="G91" i="62"/>
  <c r="G90" i="62"/>
  <c r="G89" i="62"/>
  <c r="I88" i="62"/>
  <c r="G88" i="62"/>
  <c r="G87" i="62"/>
  <c r="E86" i="62"/>
  <c r="G86" i="62" s="1"/>
  <c r="G85" i="62"/>
  <c r="G84" i="62"/>
  <c r="G81" i="62"/>
  <c r="G80" i="62"/>
  <c r="G79" i="62"/>
  <c r="I77" i="62"/>
  <c r="G77" i="62"/>
  <c r="G76" i="62"/>
  <c r="G75" i="62"/>
  <c r="G74" i="62"/>
  <c r="G70" i="62"/>
  <c r="G69" i="62"/>
  <c r="G68" i="62"/>
  <c r="G66" i="62"/>
  <c r="G65" i="62"/>
  <c r="G64" i="62"/>
  <c r="G63" i="62"/>
  <c r="G60" i="62"/>
  <c r="G59" i="62"/>
  <c r="G58" i="62"/>
  <c r="G57" i="62"/>
  <c r="G54" i="62"/>
  <c r="G53" i="62"/>
  <c r="G50" i="62"/>
  <c r="G49" i="62"/>
  <c r="G46" i="62"/>
  <c r="G45" i="62"/>
  <c r="G44" i="62"/>
  <c r="G41" i="62"/>
  <c r="G40" i="62"/>
  <c r="G39" i="62"/>
  <c r="I34" i="62"/>
  <c r="G34" i="62"/>
  <c r="I33" i="62"/>
  <c r="G33" i="62"/>
  <c r="I30" i="62"/>
  <c r="G30" i="62"/>
  <c r="G29" i="62"/>
  <c r="I28" i="62"/>
  <c r="G28" i="62"/>
  <c r="G27" i="62"/>
  <c r="I25" i="62"/>
  <c r="G25" i="62"/>
  <c r="I24" i="62"/>
  <c r="G24" i="62"/>
  <c r="I22" i="62"/>
  <c r="G22" i="62"/>
  <c r="I21" i="62"/>
  <c r="G21" i="62"/>
  <c r="I20" i="62"/>
  <c r="G20" i="62"/>
  <c r="I19" i="62"/>
  <c r="G19" i="62"/>
  <c r="G16" i="62"/>
  <c r="E12" i="62"/>
  <c r="E13" i="62" s="1"/>
  <c r="E15" i="62" s="1"/>
  <c r="G15" i="62" s="1"/>
  <c r="G11" i="62"/>
  <c r="G10" i="62"/>
  <c r="I173" i="61"/>
  <c r="G173" i="61"/>
  <c r="I172" i="61"/>
  <c r="G172" i="61"/>
  <c r="I171" i="61"/>
  <c r="G171" i="61"/>
  <c r="I170" i="61"/>
  <c r="G170" i="61"/>
  <c r="I169" i="61"/>
  <c r="G169" i="61"/>
  <c r="I168" i="61"/>
  <c r="G168" i="61"/>
  <c r="I167" i="61"/>
  <c r="G167" i="61"/>
  <c r="I166" i="61"/>
  <c r="G166" i="61"/>
  <c r="I165" i="61"/>
  <c r="G165" i="61"/>
  <c r="I164" i="61"/>
  <c r="I174" i="61" s="1"/>
  <c r="G164" i="61"/>
  <c r="I160" i="61"/>
  <c r="G160" i="61"/>
  <c r="I159" i="61"/>
  <c r="G159" i="61"/>
  <c r="I158" i="61"/>
  <c r="G158" i="61"/>
  <c r="I155" i="61"/>
  <c r="G155" i="61"/>
  <c r="I154" i="61"/>
  <c r="G154" i="61"/>
  <c r="I153" i="61"/>
  <c r="G153" i="61"/>
  <c r="I152" i="61"/>
  <c r="G152" i="61"/>
  <c r="I151" i="61"/>
  <c r="I156" i="61" s="1"/>
  <c r="G151" i="61"/>
  <c r="I148" i="61"/>
  <c r="G148" i="61"/>
  <c r="I147" i="61"/>
  <c r="G147" i="61"/>
  <c r="I146" i="61"/>
  <c r="G146" i="61"/>
  <c r="I136" i="61"/>
  <c r="G136" i="61"/>
  <c r="I135" i="61"/>
  <c r="G135" i="61"/>
  <c r="I134" i="61"/>
  <c r="G134" i="61"/>
  <c r="I133" i="61"/>
  <c r="G133" i="61"/>
  <c r="G137" i="61" s="1"/>
  <c r="I130" i="61"/>
  <c r="I131" i="61" s="1"/>
  <c r="G130" i="61"/>
  <c r="G131" i="61" s="1"/>
  <c r="I127" i="61"/>
  <c r="G127" i="61"/>
  <c r="G126" i="61"/>
  <c r="G125" i="61"/>
  <c r="I124" i="61"/>
  <c r="G124" i="61"/>
  <c r="I123" i="61"/>
  <c r="G123" i="61"/>
  <c r="I122" i="61"/>
  <c r="G122" i="61"/>
  <c r="I121" i="61"/>
  <c r="G121" i="61"/>
  <c r="I120" i="61"/>
  <c r="G120" i="61"/>
  <c r="I119" i="61"/>
  <c r="G119" i="61"/>
  <c r="I118" i="61"/>
  <c r="G118" i="61"/>
  <c r="I117" i="61"/>
  <c r="G117" i="61"/>
  <c r="I116" i="61"/>
  <c r="G116" i="61"/>
  <c r="I112" i="61"/>
  <c r="G112" i="61"/>
  <c r="I111" i="61"/>
  <c r="G111" i="61"/>
  <c r="I108" i="61"/>
  <c r="G108" i="61"/>
  <c r="I107" i="61"/>
  <c r="G107" i="61"/>
  <c r="I106" i="61"/>
  <c r="G106" i="61"/>
  <c r="I105" i="61"/>
  <c r="G105" i="61"/>
  <c r="I104" i="61"/>
  <c r="I103" i="61"/>
  <c r="G103" i="61"/>
  <c r="I102" i="61"/>
  <c r="G102" i="61"/>
  <c r="I101" i="61"/>
  <c r="I100" i="61"/>
  <c r="G100" i="61"/>
  <c r="I99" i="61"/>
  <c r="G99" i="61"/>
  <c r="I98" i="61"/>
  <c r="G98" i="61"/>
  <c r="I97" i="61"/>
  <c r="G97" i="61"/>
  <c r="I94" i="61"/>
  <c r="G94" i="61"/>
  <c r="I93" i="61"/>
  <c r="E93" i="61"/>
  <c r="G93" i="61" s="1"/>
  <c r="I92" i="61"/>
  <c r="G92" i="61"/>
  <c r="I91" i="61"/>
  <c r="G91" i="61"/>
  <c r="I90" i="61"/>
  <c r="G90" i="61"/>
  <c r="I89" i="61"/>
  <c r="G89" i="61"/>
  <c r="I84" i="61"/>
  <c r="G84" i="61"/>
  <c r="I83" i="61"/>
  <c r="G83" i="61"/>
  <c r="G82" i="61"/>
  <c r="G77" i="61"/>
  <c r="I76" i="61"/>
  <c r="G76" i="61"/>
  <c r="I75" i="61"/>
  <c r="G75" i="61"/>
  <c r="I74" i="61"/>
  <c r="G74" i="61"/>
  <c r="I73" i="61"/>
  <c r="G72" i="61"/>
  <c r="G71" i="61"/>
  <c r="I68" i="61"/>
  <c r="G68" i="61"/>
  <c r="I66" i="61"/>
  <c r="G66" i="61"/>
  <c r="I62" i="61"/>
  <c r="G62" i="61"/>
  <c r="I61" i="61"/>
  <c r="G61" i="61"/>
  <c r="I60" i="61"/>
  <c r="G60" i="61"/>
  <c r="I59" i="61"/>
  <c r="G59" i="61"/>
  <c r="G56" i="61"/>
  <c r="G55" i="61"/>
  <c r="G54" i="61"/>
  <c r="G53" i="61"/>
  <c r="G50" i="61"/>
  <c r="G51" i="61" s="1"/>
  <c r="G47" i="61"/>
  <c r="G46" i="61"/>
  <c r="I45" i="61"/>
  <c r="G45" i="61"/>
  <c r="G44" i="61"/>
  <c r="G43" i="61"/>
  <c r="G41" i="61"/>
  <c r="G40" i="61"/>
  <c r="I35" i="61"/>
  <c r="G35" i="61"/>
  <c r="I34" i="61"/>
  <c r="G34" i="61"/>
  <c r="I31" i="61"/>
  <c r="G31" i="61"/>
  <c r="G30" i="61"/>
  <c r="G29" i="61"/>
  <c r="I28" i="61"/>
  <c r="G28" i="61"/>
  <c r="I27" i="61"/>
  <c r="G27" i="61"/>
  <c r="I26" i="61"/>
  <c r="G26" i="61"/>
  <c r="I25" i="61"/>
  <c r="G25" i="61"/>
  <c r="I24" i="61"/>
  <c r="G24" i="61"/>
  <c r="I23" i="61"/>
  <c r="G23" i="61"/>
  <c r="I22" i="61"/>
  <c r="G22" i="61"/>
  <c r="I21" i="61"/>
  <c r="G21" i="61"/>
  <c r="I20" i="61"/>
  <c r="G20" i="61"/>
  <c r="I19" i="61"/>
  <c r="G19" i="61"/>
  <c r="I18" i="61"/>
  <c r="G18" i="61"/>
  <c r="I17" i="61"/>
  <c r="G17" i="61"/>
  <c r="I14" i="61"/>
  <c r="G14" i="61"/>
  <c r="I13" i="61"/>
  <c r="I12" i="61"/>
  <c r="I11" i="61"/>
  <c r="E11" i="61"/>
  <c r="G11" i="61" s="1"/>
  <c r="I10" i="61"/>
  <c r="E10" i="61"/>
  <c r="I9" i="61"/>
  <c r="G9" i="61"/>
  <c r="E33" i="60"/>
  <c r="F32" i="60"/>
  <c r="H32" i="60" s="1"/>
  <c r="G31" i="60"/>
  <c r="F31" i="60"/>
  <c r="H31" i="60" s="1"/>
  <c r="H30" i="60"/>
  <c r="G30" i="60"/>
  <c r="G29" i="60"/>
  <c r="G28" i="60"/>
  <c r="G27" i="60"/>
  <c r="H27" i="60"/>
  <c r="G26" i="60"/>
  <c r="G25" i="60"/>
  <c r="G24" i="60"/>
  <c r="G23" i="60"/>
  <c r="E21" i="60"/>
  <c r="G20" i="60"/>
  <c r="G19" i="60"/>
  <c r="G18" i="60"/>
  <c r="G149" i="59"/>
  <c r="I148" i="59"/>
  <c r="G148" i="59"/>
  <c r="I147" i="59"/>
  <c r="G147" i="59"/>
  <c r="I146" i="59"/>
  <c r="G146" i="59"/>
  <c r="I145" i="59"/>
  <c r="G145" i="59"/>
  <c r="I144" i="59"/>
  <c r="G144" i="59"/>
  <c r="G143" i="59"/>
  <c r="I142" i="59"/>
  <c r="G142" i="59"/>
  <c r="G141" i="59"/>
  <c r="G140" i="59"/>
  <c r="G139" i="59"/>
  <c r="G138" i="59"/>
  <c r="G137" i="59"/>
  <c r="I136" i="59"/>
  <c r="G136" i="59"/>
  <c r="G135" i="59"/>
  <c r="G134" i="59"/>
  <c r="I133" i="59"/>
  <c r="G133" i="59"/>
  <c r="G132" i="59"/>
  <c r="I131" i="59"/>
  <c r="G131" i="59"/>
  <c r="G130" i="59"/>
  <c r="I129" i="59"/>
  <c r="G129" i="59"/>
  <c r="G128" i="59"/>
  <c r="G127" i="59"/>
  <c r="G126" i="59"/>
  <c r="I125" i="59"/>
  <c r="G125" i="59"/>
  <c r="G124" i="59"/>
  <c r="G119" i="59"/>
  <c r="G118" i="59"/>
  <c r="G117" i="59"/>
  <c r="I115" i="59"/>
  <c r="G115" i="59"/>
  <c r="G114" i="59"/>
  <c r="I112" i="59"/>
  <c r="G112" i="59"/>
  <c r="G111" i="59"/>
  <c r="I110" i="59"/>
  <c r="G110" i="59"/>
  <c r="G109" i="59"/>
  <c r="G105" i="59"/>
  <c r="G104" i="59"/>
  <c r="G103" i="59"/>
  <c r="G100" i="59"/>
  <c r="G99" i="59"/>
  <c r="G98" i="59"/>
  <c r="I97" i="59"/>
  <c r="G97" i="59"/>
  <c r="G96" i="59"/>
  <c r="G95" i="59"/>
  <c r="G94" i="59"/>
  <c r="G93" i="59"/>
  <c r="E92" i="59"/>
  <c r="G92" i="59" s="1"/>
  <c r="G91" i="59"/>
  <c r="G90" i="59"/>
  <c r="I87" i="59"/>
  <c r="G87" i="59"/>
  <c r="I86" i="59"/>
  <c r="G86" i="59"/>
  <c r="I85" i="59"/>
  <c r="G85" i="59"/>
  <c r="I84" i="59"/>
  <c r="G84" i="59"/>
  <c r="I83" i="59"/>
  <c r="G83" i="59"/>
  <c r="I82" i="59"/>
  <c r="G82" i="59"/>
  <c r="G81" i="59"/>
  <c r="I80" i="59"/>
  <c r="G80" i="59"/>
  <c r="I79" i="59"/>
  <c r="G79" i="59"/>
  <c r="I78" i="59"/>
  <c r="G78" i="59"/>
  <c r="I77" i="59"/>
  <c r="G77" i="59"/>
  <c r="I76" i="59"/>
  <c r="G76" i="59"/>
  <c r="I75" i="59"/>
  <c r="G75" i="59"/>
  <c r="G74" i="59"/>
  <c r="G69" i="59"/>
  <c r="G68" i="59"/>
  <c r="I67" i="59"/>
  <c r="G67" i="59"/>
  <c r="G66" i="59"/>
  <c r="G65" i="59"/>
  <c r="G64" i="59"/>
  <c r="G63" i="59"/>
  <c r="G60" i="59"/>
  <c r="G59" i="59"/>
  <c r="G58" i="59"/>
  <c r="G57" i="59"/>
  <c r="G54" i="59"/>
  <c r="G53" i="59"/>
  <c r="I49" i="59"/>
  <c r="G49" i="59"/>
  <c r="G48" i="59"/>
  <c r="G47" i="59"/>
  <c r="G44" i="59"/>
  <c r="G43" i="59"/>
  <c r="G42" i="59"/>
  <c r="I41" i="59"/>
  <c r="G41" i="59"/>
  <c r="G40" i="59"/>
  <c r="G39" i="59"/>
  <c r="G38" i="59"/>
  <c r="I33" i="59"/>
  <c r="G33" i="59"/>
  <c r="I32" i="59"/>
  <c r="G32" i="59"/>
  <c r="I29" i="59"/>
  <c r="G29" i="59"/>
  <c r="I28" i="59"/>
  <c r="G28" i="59"/>
  <c r="I27" i="59"/>
  <c r="G27" i="59"/>
  <c r="I26" i="59"/>
  <c r="G26" i="59"/>
  <c r="I24" i="59"/>
  <c r="G24" i="59"/>
  <c r="I23" i="59"/>
  <c r="G23" i="59"/>
  <c r="I21" i="59"/>
  <c r="G21" i="59"/>
  <c r="I20" i="59"/>
  <c r="G20" i="59"/>
  <c r="I19" i="59"/>
  <c r="G19" i="59"/>
  <c r="I18" i="59"/>
  <c r="G18" i="59"/>
  <c r="I15" i="59"/>
  <c r="G15" i="59"/>
  <c r="I14" i="59"/>
  <c r="I13" i="59"/>
  <c r="I12" i="59"/>
  <c r="E12" i="59"/>
  <c r="E13" i="59" s="1"/>
  <c r="E14" i="59" s="1"/>
  <c r="G14" i="59" s="1"/>
  <c r="I11" i="59"/>
  <c r="G11" i="59"/>
  <c r="I10" i="59"/>
  <c r="G10" i="59"/>
  <c r="D33" i="58"/>
  <c r="F33" i="58" s="1"/>
  <c r="F32" i="58"/>
  <c r="F31" i="58"/>
  <c r="F30" i="58"/>
  <c r="F29" i="58"/>
  <c r="F28" i="58"/>
  <c r="F27" i="58"/>
  <c r="F26" i="58"/>
  <c r="F25" i="58"/>
  <c r="F24" i="58"/>
  <c r="F23" i="58"/>
  <c r="D21" i="58"/>
  <c r="F20" i="58"/>
  <c r="F19" i="58"/>
  <c r="F18" i="58"/>
  <c r="G140" i="57"/>
  <c r="G139" i="57"/>
  <c r="G138" i="57"/>
  <c r="G137" i="57"/>
  <c r="G136" i="57"/>
  <c r="G135" i="57"/>
  <c r="G134" i="57"/>
  <c r="G133" i="57"/>
  <c r="G132" i="57"/>
  <c r="G131" i="57"/>
  <c r="G130" i="57"/>
  <c r="G124" i="57"/>
  <c r="G123" i="57"/>
  <c r="G122" i="57"/>
  <c r="G120" i="57"/>
  <c r="G119" i="57"/>
  <c r="G118" i="57"/>
  <c r="G117" i="57"/>
  <c r="G116" i="57"/>
  <c r="G115" i="57"/>
  <c r="G114" i="57"/>
  <c r="G113" i="57"/>
  <c r="G112" i="57"/>
  <c r="G111" i="57"/>
  <c r="G110" i="57"/>
  <c r="G109" i="57"/>
  <c r="I108" i="57"/>
  <c r="G108" i="57"/>
  <c r="I107" i="57"/>
  <c r="G107" i="57"/>
  <c r="I104" i="57"/>
  <c r="G104" i="57"/>
  <c r="G103" i="57"/>
  <c r="G102" i="57"/>
  <c r="G101" i="57"/>
  <c r="G98" i="57"/>
  <c r="E97" i="57"/>
  <c r="G97" i="57" s="1"/>
  <c r="G96" i="57"/>
  <c r="G93" i="57"/>
  <c r="G92" i="57"/>
  <c r="G91" i="57"/>
  <c r="G90" i="57"/>
  <c r="G89" i="57"/>
  <c r="E88" i="57"/>
  <c r="G88" i="57" s="1"/>
  <c r="E87" i="57"/>
  <c r="G87" i="57" s="1"/>
  <c r="G86" i="57"/>
  <c r="G85" i="57"/>
  <c r="G82" i="57"/>
  <c r="G81" i="57"/>
  <c r="G77" i="57"/>
  <c r="G75" i="57"/>
  <c r="I71" i="57"/>
  <c r="G71" i="57"/>
  <c r="G70" i="57"/>
  <c r="G68" i="57"/>
  <c r="G67" i="57"/>
  <c r="G66" i="57"/>
  <c r="G65" i="57"/>
  <c r="G62" i="57"/>
  <c r="G61" i="57"/>
  <c r="G60" i="57"/>
  <c r="G59" i="57"/>
  <c r="G56" i="57"/>
  <c r="G55" i="57"/>
  <c r="I52" i="57"/>
  <c r="G52" i="57"/>
  <c r="G51" i="57"/>
  <c r="G50" i="57"/>
  <c r="I48" i="57"/>
  <c r="G48" i="57"/>
  <c r="G47" i="57"/>
  <c r="G46" i="57"/>
  <c r="I44" i="57"/>
  <c r="G44" i="57"/>
  <c r="G43" i="57"/>
  <c r="G42" i="57"/>
  <c r="I37" i="57"/>
  <c r="G37" i="57"/>
  <c r="I36" i="57"/>
  <c r="G36" i="57"/>
  <c r="I33" i="57"/>
  <c r="G33" i="57"/>
  <c r="I32" i="57"/>
  <c r="G32" i="57"/>
  <c r="I31" i="57"/>
  <c r="G31" i="57"/>
  <c r="I30" i="57"/>
  <c r="G30" i="57"/>
  <c r="I28" i="57"/>
  <c r="G28" i="57"/>
  <c r="I27" i="57"/>
  <c r="G27" i="57"/>
  <c r="I26" i="57"/>
  <c r="G26" i="57"/>
  <c r="I25" i="57"/>
  <c r="G25" i="57"/>
  <c r="I24" i="57"/>
  <c r="G24" i="57"/>
  <c r="I23" i="57"/>
  <c r="G23" i="57"/>
  <c r="I22" i="57"/>
  <c r="G22" i="57"/>
  <c r="I21" i="57"/>
  <c r="G21" i="57"/>
  <c r="I20" i="57"/>
  <c r="G20" i="57"/>
  <c r="I19" i="57"/>
  <c r="G19" i="57"/>
  <c r="I18" i="57"/>
  <c r="G18" i="57"/>
  <c r="I15" i="57"/>
  <c r="G15" i="57"/>
  <c r="I14" i="57"/>
  <c r="I13" i="57"/>
  <c r="I12" i="57"/>
  <c r="E12" i="57"/>
  <c r="E13" i="57" s="1"/>
  <c r="E14" i="57" s="1"/>
  <c r="G14" i="57" s="1"/>
  <c r="I11" i="57"/>
  <c r="G11" i="57"/>
  <c r="I10" i="57"/>
  <c r="G10" i="57"/>
  <c r="D34" i="56"/>
  <c r="F33" i="56"/>
  <c r="F32" i="56"/>
  <c r="F31" i="56"/>
  <c r="F30" i="56"/>
  <c r="F29" i="56"/>
  <c r="F28" i="56"/>
  <c r="F27" i="56"/>
  <c r="F26" i="56"/>
  <c r="F25" i="56"/>
  <c r="F24" i="56"/>
  <c r="G23" i="56"/>
  <c r="F23" i="56"/>
  <c r="D22" i="56"/>
  <c r="F21" i="56"/>
  <c r="F20" i="56"/>
  <c r="F19" i="56"/>
  <c r="F22" i="56" s="1"/>
  <c r="G47" i="54"/>
  <c r="F32" i="55"/>
  <c r="H31" i="55"/>
  <c r="H30" i="55"/>
  <c r="H29" i="55"/>
  <c r="H28" i="55"/>
  <c r="H27" i="55"/>
  <c r="H26" i="55"/>
  <c r="H25" i="55"/>
  <c r="H24" i="55"/>
  <c r="H23" i="55"/>
  <c r="H22" i="55"/>
  <c r="F20" i="55"/>
  <c r="H19" i="55"/>
  <c r="H18" i="55"/>
  <c r="H17" i="55"/>
  <c r="G151" i="54"/>
  <c r="I150" i="54"/>
  <c r="G150" i="54"/>
  <c r="G149" i="54"/>
  <c r="I148" i="54"/>
  <c r="G148" i="54"/>
  <c r="I147" i="54"/>
  <c r="G147" i="54"/>
  <c r="G144" i="54"/>
  <c r="G141" i="54"/>
  <c r="G140" i="54"/>
  <c r="G139" i="54"/>
  <c r="G138" i="54"/>
  <c r="G137" i="54"/>
  <c r="I135" i="54"/>
  <c r="G135" i="54"/>
  <c r="G134" i="54"/>
  <c r="G132" i="54"/>
  <c r="G131" i="54"/>
  <c r="G130" i="54"/>
  <c r="G128" i="54"/>
  <c r="G127" i="54"/>
  <c r="G126" i="54"/>
  <c r="G124" i="54"/>
  <c r="G123" i="54"/>
  <c r="G121" i="54"/>
  <c r="G117" i="54"/>
  <c r="I116" i="54"/>
  <c r="G116" i="54"/>
  <c r="G115" i="54"/>
  <c r="G114" i="54"/>
  <c r="G113" i="54"/>
  <c r="G111" i="54"/>
  <c r="G109" i="54"/>
  <c r="G108" i="54"/>
  <c r="I107" i="54"/>
  <c r="G107" i="54"/>
  <c r="G106" i="54"/>
  <c r="G102" i="54"/>
  <c r="G101" i="54"/>
  <c r="G100" i="54"/>
  <c r="G97" i="54"/>
  <c r="G96" i="54"/>
  <c r="G95" i="54"/>
  <c r="G94" i="54"/>
  <c r="G93" i="54"/>
  <c r="G92" i="54"/>
  <c r="G91" i="54"/>
  <c r="G90" i="54"/>
  <c r="G89" i="54"/>
  <c r="G88" i="54"/>
  <c r="G84" i="54"/>
  <c r="G83" i="54"/>
  <c r="G82" i="54"/>
  <c r="I80" i="54"/>
  <c r="G80" i="54"/>
  <c r="G79" i="54"/>
  <c r="G78" i="54"/>
  <c r="G77" i="54"/>
  <c r="G76" i="54"/>
  <c r="G70" i="54"/>
  <c r="G69" i="54"/>
  <c r="G68" i="54"/>
  <c r="G67" i="54"/>
  <c r="G65" i="54"/>
  <c r="G64" i="54"/>
  <c r="G63" i="54"/>
  <c r="G62" i="54"/>
  <c r="G59" i="54"/>
  <c r="G58" i="54"/>
  <c r="G57" i="54"/>
  <c r="G56" i="54"/>
  <c r="G53" i="54"/>
  <c r="G52" i="54"/>
  <c r="G49" i="54"/>
  <c r="G48" i="54"/>
  <c r="G45" i="54"/>
  <c r="G44" i="54"/>
  <c r="G43" i="54"/>
  <c r="G41" i="54"/>
  <c r="G40" i="54"/>
  <c r="G39" i="54"/>
  <c r="I34" i="54"/>
  <c r="G34" i="54"/>
  <c r="I33" i="54"/>
  <c r="G33" i="54"/>
  <c r="G30" i="54"/>
  <c r="G29" i="54"/>
  <c r="G28" i="54"/>
  <c r="I31" i="54"/>
  <c r="G27" i="54"/>
  <c r="G25" i="54"/>
  <c r="G23" i="54"/>
  <c r="G22" i="54"/>
  <c r="G21" i="54"/>
  <c r="G20" i="54"/>
  <c r="G19" i="54"/>
  <c r="G18" i="54"/>
  <c r="G15" i="54"/>
  <c r="E12" i="54"/>
  <c r="E13" i="54" s="1"/>
  <c r="G11" i="54"/>
  <c r="G10" i="54"/>
  <c r="F32" i="52"/>
  <c r="H31" i="52"/>
  <c r="H30" i="52"/>
  <c r="H29" i="52"/>
  <c r="H28" i="52"/>
  <c r="H27" i="52"/>
  <c r="H26" i="52"/>
  <c r="H25" i="52"/>
  <c r="H24" i="52"/>
  <c r="H23" i="52"/>
  <c r="H22" i="52"/>
  <c r="F20" i="52"/>
  <c r="H19" i="52"/>
  <c r="H18" i="52"/>
  <c r="H17" i="52"/>
  <c r="H155" i="51"/>
  <c r="J154" i="51"/>
  <c r="H154" i="51"/>
  <c r="J153" i="51"/>
  <c r="H153" i="51"/>
  <c r="J152" i="51"/>
  <c r="J151" i="51"/>
  <c r="H151" i="51"/>
  <c r="J150" i="51"/>
  <c r="H150" i="51"/>
  <c r="J149" i="51"/>
  <c r="H149" i="51"/>
  <c r="J148" i="51"/>
  <c r="H148" i="51"/>
  <c r="H147" i="51"/>
  <c r="H145" i="51"/>
  <c r="H144" i="51"/>
  <c r="H143" i="51"/>
  <c r="H142" i="51"/>
  <c r="J140" i="51"/>
  <c r="H140" i="51"/>
  <c r="H139" i="51"/>
  <c r="H135" i="51"/>
  <c r="H133" i="51"/>
  <c r="H132" i="51"/>
  <c r="H131" i="51"/>
  <c r="H129" i="51"/>
  <c r="H125" i="51"/>
  <c r="J124" i="51"/>
  <c r="H124" i="51"/>
  <c r="J123" i="51"/>
  <c r="H123" i="51"/>
  <c r="H122" i="51"/>
  <c r="H121" i="51"/>
  <c r="H120" i="51"/>
  <c r="J119" i="51"/>
  <c r="J118" i="51"/>
  <c r="F118" i="51"/>
  <c r="J117" i="51"/>
  <c r="H117" i="51"/>
  <c r="H115" i="51"/>
  <c r="J114" i="51"/>
  <c r="J113" i="51"/>
  <c r="F113" i="51"/>
  <c r="H112" i="51"/>
  <c r="J110" i="51"/>
  <c r="H110" i="51"/>
  <c r="H109" i="51"/>
  <c r="H105" i="51"/>
  <c r="H104" i="51"/>
  <c r="H103" i="51"/>
  <c r="E103" i="51"/>
  <c r="H100" i="51"/>
  <c r="H99" i="51"/>
  <c r="H98" i="51"/>
  <c r="J97" i="51"/>
  <c r="H97" i="51"/>
  <c r="H96" i="51"/>
  <c r="H95" i="51"/>
  <c r="H94" i="51"/>
  <c r="H93" i="51"/>
  <c r="H92" i="51"/>
  <c r="E92" i="51"/>
  <c r="H91" i="51"/>
  <c r="H90" i="51"/>
  <c r="H87" i="51"/>
  <c r="P84" i="51"/>
  <c r="Q84" i="51" s="1"/>
  <c r="H84" i="51"/>
  <c r="H83" i="51"/>
  <c r="H82" i="51"/>
  <c r="H81" i="51"/>
  <c r="H77" i="51"/>
  <c r="H76" i="51"/>
  <c r="H75" i="51"/>
  <c r="H74" i="51"/>
  <c r="H72" i="51"/>
  <c r="H71" i="51"/>
  <c r="H70" i="51"/>
  <c r="H69" i="51"/>
  <c r="H66" i="51"/>
  <c r="H65" i="51"/>
  <c r="F64" i="51"/>
  <c r="H64" i="51" s="1"/>
  <c r="H63" i="51"/>
  <c r="H60" i="51"/>
  <c r="H59" i="51"/>
  <c r="J56" i="51"/>
  <c r="F56" i="51"/>
  <c r="H56" i="51" s="1"/>
  <c r="H55" i="51"/>
  <c r="H54" i="51"/>
  <c r="H53" i="51"/>
  <c r="H50" i="51"/>
  <c r="H49" i="51"/>
  <c r="H48" i="51"/>
  <c r="H46" i="51"/>
  <c r="H45" i="51"/>
  <c r="H44" i="51"/>
  <c r="J39" i="51"/>
  <c r="H39" i="51"/>
  <c r="J38" i="51"/>
  <c r="H38" i="51"/>
  <c r="J35" i="51"/>
  <c r="H35" i="51"/>
  <c r="H34" i="51"/>
  <c r="J33" i="51"/>
  <c r="H33" i="51"/>
  <c r="H32" i="51"/>
  <c r="H30" i="51"/>
  <c r="J29" i="51"/>
  <c r="H29" i="51"/>
  <c r="J28" i="51"/>
  <c r="H28" i="51"/>
  <c r="J27" i="51"/>
  <c r="H27" i="51"/>
  <c r="J25" i="51"/>
  <c r="H25" i="51"/>
  <c r="J24" i="51"/>
  <c r="H24" i="51"/>
  <c r="J23" i="51"/>
  <c r="H23" i="51"/>
  <c r="J21" i="51"/>
  <c r="H21" i="51"/>
  <c r="J20" i="51"/>
  <c r="H20" i="51"/>
  <c r="J19" i="51"/>
  <c r="H19" i="51"/>
  <c r="J16" i="51"/>
  <c r="H16" i="51"/>
  <c r="J13" i="51"/>
  <c r="J12" i="51"/>
  <c r="F12" i="51"/>
  <c r="F13" i="51" s="1"/>
  <c r="J11" i="51"/>
  <c r="H11" i="51"/>
  <c r="J10" i="51"/>
  <c r="H10" i="51"/>
  <c r="F32" i="50"/>
  <c r="H31" i="50"/>
  <c r="H30" i="50"/>
  <c r="H29" i="50"/>
  <c r="H28" i="50"/>
  <c r="H27" i="50"/>
  <c r="H25" i="50"/>
  <c r="H24" i="50"/>
  <c r="H23" i="50"/>
  <c r="H22" i="50"/>
  <c r="F20" i="50"/>
  <c r="H19" i="50"/>
  <c r="H18" i="50"/>
  <c r="H17" i="50"/>
  <c r="I135" i="49"/>
  <c r="J135" i="49" s="1"/>
  <c r="J50" i="49"/>
  <c r="J49" i="49"/>
  <c r="H10" i="49"/>
  <c r="J10" i="49"/>
  <c r="H11" i="49"/>
  <c r="F12" i="49"/>
  <c r="H12" i="49" s="1"/>
  <c r="J12" i="49"/>
  <c r="J13" i="49"/>
  <c r="H15" i="49"/>
  <c r="J15" i="49"/>
  <c r="H18" i="49"/>
  <c r="J18" i="49"/>
  <c r="H19" i="49"/>
  <c r="J19" i="49"/>
  <c r="H20" i="49"/>
  <c r="J20" i="49"/>
  <c r="H21" i="49"/>
  <c r="J21" i="49"/>
  <c r="H22" i="49"/>
  <c r="J22" i="49"/>
  <c r="H23" i="49"/>
  <c r="J23" i="49"/>
  <c r="H25" i="49"/>
  <c r="J25" i="49"/>
  <c r="F26" i="49"/>
  <c r="H26" i="49" s="1"/>
  <c r="J26" i="49"/>
  <c r="H27" i="49"/>
  <c r="J27" i="49"/>
  <c r="H29" i="49"/>
  <c r="J29" i="49"/>
  <c r="H30" i="49"/>
  <c r="J30" i="49"/>
  <c r="H31" i="49"/>
  <c r="J31" i="49"/>
  <c r="H32" i="49"/>
  <c r="J32" i="49"/>
  <c r="H35" i="49"/>
  <c r="J35" i="49"/>
  <c r="H36" i="49"/>
  <c r="J36" i="49"/>
  <c r="H41" i="49"/>
  <c r="H42" i="49"/>
  <c r="H43" i="49"/>
  <c r="H44" i="49"/>
  <c r="J44" i="49"/>
  <c r="H45" i="49"/>
  <c r="H46" i="49"/>
  <c r="H47" i="49"/>
  <c r="H50" i="49"/>
  <c r="H51" i="49"/>
  <c r="H55" i="49"/>
  <c r="H56" i="49"/>
  <c r="H59" i="49"/>
  <c r="H60" i="49"/>
  <c r="H61" i="49"/>
  <c r="H62" i="49"/>
  <c r="H65" i="49"/>
  <c r="H66" i="49"/>
  <c r="H67" i="49"/>
  <c r="H68" i="49"/>
  <c r="H70" i="49"/>
  <c r="H71" i="49"/>
  <c r="H72" i="49"/>
  <c r="H73" i="49"/>
  <c r="H78" i="49"/>
  <c r="H79" i="49"/>
  <c r="H80" i="49"/>
  <c r="H81" i="49"/>
  <c r="J81" i="49"/>
  <c r="H82" i="49"/>
  <c r="H83" i="49"/>
  <c r="H86" i="49"/>
  <c r="H87" i="49"/>
  <c r="H88" i="49"/>
  <c r="H91" i="49"/>
  <c r="H92" i="49"/>
  <c r="E93" i="49"/>
  <c r="H93" i="49"/>
  <c r="H94" i="49"/>
  <c r="H95" i="49"/>
  <c r="H96" i="49"/>
  <c r="H97" i="49"/>
  <c r="H99" i="49"/>
  <c r="H100" i="49"/>
  <c r="H101" i="49"/>
  <c r="H104" i="49"/>
  <c r="E105" i="49"/>
  <c r="H105" i="49"/>
  <c r="H106" i="49"/>
  <c r="H112" i="49"/>
  <c r="H113" i="49"/>
  <c r="J113" i="49"/>
  <c r="H114" i="49"/>
  <c r="H115" i="49"/>
  <c r="H117" i="49"/>
  <c r="H120" i="49"/>
  <c r="H121" i="49"/>
  <c r="F122" i="49"/>
  <c r="H122" i="49" s="1"/>
  <c r="J122" i="49"/>
  <c r="H125" i="49"/>
  <c r="H126" i="49"/>
  <c r="H127" i="49"/>
  <c r="H128" i="49"/>
  <c r="J128" i="49"/>
  <c r="H131" i="49"/>
  <c r="J131" i="49"/>
  <c r="J132" i="49"/>
  <c r="H133" i="49"/>
  <c r="J134" i="49"/>
  <c r="H135" i="49"/>
  <c r="H136" i="49"/>
  <c r="H137" i="49"/>
  <c r="H138" i="49"/>
  <c r="J139" i="49"/>
  <c r="H140" i="49"/>
  <c r="H141" i="49"/>
  <c r="J142" i="49"/>
  <c r="H143" i="49"/>
  <c r="H144" i="49"/>
  <c r="J145" i="49"/>
  <c r="H146" i="49"/>
  <c r="H147" i="49"/>
  <c r="H148" i="49"/>
  <c r="J148" i="49"/>
  <c r="H149" i="49"/>
  <c r="H150" i="49"/>
  <c r="H151" i="49"/>
  <c r="H152" i="49"/>
  <c r="H153" i="49"/>
  <c r="H154" i="49"/>
  <c r="J154" i="49"/>
  <c r="H155" i="49"/>
  <c r="H156" i="49"/>
  <c r="J156" i="49"/>
  <c r="H157" i="49"/>
  <c r="J157" i="49"/>
  <c r="H158" i="49"/>
  <c r="F30" i="48"/>
  <c r="H29" i="48"/>
  <c r="H28" i="48"/>
  <c r="H27" i="48"/>
  <c r="H26" i="48"/>
  <c r="H25" i="48"/>
  <c r="H23" i="48"/>
  <c r="H22" i="48"/>
  <c r="H21" i="48"/>
  <c r="H20" i="48"/>
  <c r="F18" i="48"/>
  <c r="H17" i="48"/>
  <c r="H16" i="48"/>
  <c r="H15" i="48"/>
  <c r="K60" i="40"/>
  <c r="M58" i="40"/>
  <c r="L56" i="40"/>
  <c r="L55" i="40"/>
  <c r="L53" i="40"/>
  <c r="L52" i="40"/>
  <c r="H44" i="40"/>
  <c r="J44" i="40" s="1"/>
  <c r="H43" i="40"/>
  <c r="H41" i="40"/>
  <c r="H40" i="40"/>
  <c r="H39" i="40"/>
  <c r="H38" i="40"/>
  <c r="H37" i="40"/>
  <c r="H36" i="40"/>
  <c r="H35" i="40"/>
  <c r="H34" i="40"/>
  <c r="M31" i="40"/>
  <c r="K31" i="40"/>
  <c r="H21" i="40"/>
  <c r="H16" i="40"/>
  <c r="J16" i="40" s="1"/>
  <c r="H15" i="40"/>
  <c r="H12" i="40"/>
  <c r="H11" i="40"/>
  <c r="L11" i="40" s="1"/>
  <c r="H10" i="40"/>
  <c r="H9" i="40"/>
  <c r="H8" i="40"/>
  <c r="H7" i="40"/>
  <c r="G52" i="65" l="1"/>
  <c r="H79" i="67"/>
  <c r="E34" i="60"/>
  <c r="G63" i="61"/>
  <c r="G69" i="61"/>
  <c r="I113" i="61"/>
  <c r="I33" i="65"/>
  <c r="H14" i="64" s="1"/>
  <c r="J14" i="64" s="1"/>
  <c r="I37" i="65"/>
  <c r="H15" i="64" s="1"/>
  <c r="J15" i="64" s="1"/>
  <c r="G76" i="65"/>
  <c r="F125" i="67"/>
  <c r="I63" i="61"/>
  <c r="H26" i="60" s="1"/>
  <c r="G95" i="61"/>
  <c r="I28" i="64"/>
  <c r="G56" i="65"/>
  <c r="F38" i="67"/>
  <c r="F52" i="67"/>
  <c r="H125" i="67"/>
  <c r="D26" i="66" s="1"/>
  <c r="F26" i="66" s="1"/>
  <c r="H168" i="67"/>
  <c r="D27" i="66" s="1"/>
  <c r="F27" i="66" s="1"/>
  <c r="H38" i="67"/>
  <c r="D15" i="66" s="1"/>
  <c r="F15" i="66" s="1"/>
  <c r="F34" i="67"/>
  <c r="G31" i="62"/>
  <c r="G35" i="62"/>
  <c r="I95" i="61"/>
  <c r="I109" i="61"/>
  <c r="I137" i="61"/>
  <c r="I161" i="61"/>
  <c r="G36" i="61"/>
  <c r="G113" i="61"/>
  <c r="G128" i="61"/>
  <c r="G156" i="61"/>
  <c r="G174" i="61"/>
  <c r="G30" i="59"/>
  <c r="G34" i="59"/>
  <c r="G30" i="58"/>
  <c r="I142" i="57"/>
  <c r="G34" i="57"/>
  <c r="G35" i="54"/>
  <c r="I35" i="54"/>
  <c r="G19" i="55" s="1"/>
  <c r="I19" i="55" s="1"/>
  <c r="J37" i="49"/>
  <c r="G17" i="48" s="1"/>
  <c r="I17" i="48" s="1"/>
  <c r="I36" i="61"/>
  <c r="H20" i="60" s="1"/>
  <c r="I15" i="61"/>
  <c r="H18" i="60" s="1"/>
  <c r="I34" i="57"/>
  <c r="E20" i="56" s="1"/>
  <c r="G20" i="56" s="1"/>
  <c r="I39" i="69"/>
  <c r="E21" i="68" s="1"/>
  <c r="G21" i="68" s="1"/>
  <c r="G35" i="69"/>
  <c r="G39" i="69"/>
  <c r="J40" i="51"/>
  <c r="G19" i="50" s="1"/>
  <c r="I19" i="50" s="1"/>
  <c r="H37" i="49"/>
  <c r="G18" i="55"/>
  <c r="I35" i="69"/>
  <c r="I29" i="52"/>
  <c r="F168" i="67"/>
  <c r="G38" i="57"/>
  <c r="F21" i="58"/>
  <c r="F34" i="58" s="1"/>
  <c r="G33" i="60"/>
  <c r="G149" i="61"/>
  <c r="G161" i="61"/>
  <c r="G62" i="65"/>
  <c r="G68" i="65"/>
  <c r="G90" i="65"/>
  <c r="E28" i="66"/>
  <c r="F64" i="67"/>
  <c r="G58" i="69"/>
  <c r="G87" i="69"/>
  <c r="G157" i="69"/>
  <c r="H32" i="50"/>
  <c r="H33" i="50" s="1"/>
  <c r="H40" i="51"/>
  <c r="I38" i="57"/>
  <c r="E21" i="56" s="1"/>
  <c r="G21" i="56" s="1"/>
  <c r="G142" i="57"/>
  <c r="I30" i="59"/>
  <c r="E19" i="58" s="1"/>
  <c r="G19" i="58" s="1"/>
  <c r="I34" i="59"/>
  <c r="E20" i="58" s="1"/>
  <c r="G20" i="58" s="1"/>
  <c r="E12" i="61"/>
  <c r="G12" i="61" s="1"/>
  <c r="G32" i="61"/>
  <c r="I35" i="62"/>
  <c r="E20" i="63" s="1"/>
  <c r="G20" i="63" s="1"/>
  <c r="I76" i="65"/>
  <c r="H22" i="64" s="1"/>
  <c r="J22" i="64" s="1"/>
  <c r="G114" i="65"/>
  <c r="D22" i="66"/>
  <c r="F22" i="66" s="1"/>
  <c r="G73" i="69"/>
  <c r="H159" i="49"/>
  <c r="H102" i="49"/>
  <c r="H20" i="55"/>
  <c r="G71" i="59"/>
  <c r="I16" i="64"/>
  <c r="G29" i="64"/>
  <c r="G85" i="65"/>
  <c r="E16" i="66"/>
  <c r="H15" i="67"/>
  <c r="D13" i="66" s="1"/>
  <c r="F13" i="66" s="1"/>
  <c r="F97" i="67"/>
  <c r="G64" i="69"/>
  <c r="G106" i="59"/>
  <c r="H89" i="49"/>
  <c r="I134" i="54"/>
  <c r="I19" i="52"/>
  <c r="J9" i="40"/>
  <c r="L7" i="40"/>
  <c r="J12" i="40"/>
  <c r="M33" i="40"/>
  <c r="J35" i="40"/>
  <c r="L37" i="40"/>
  <c r="J41" i="40"/>
  <c r="H20" i="52"/>
  <c r="F72" i="67"/>
  <c r="G93" i="62"/>
  <c r="G82" i="62"/>
  <c r="G55" i="62"/>
  <c r="G71" i="62"/>
  <c r="G61" i="62"/>
  <c r="G109" i="61"/>
  <c r="I29" i="64"/>
  <c r="F33" i="63"/>
  <c r="F34" i="63" s="1"/>
  <c r="F21" i="63"/>
  <c r="F34" i="56"/>
  <c r="F35" i="56" s="1"/>
  <c r="D35" i="68"/>
  <c r="F33" i="52"/>
  <c r="H20" i="50"/>
  <c r="F33" i="50"/>
  <c r="G57" i="57"/>
  <c r="G99" i="57"/>
  <c r="G53" i="57"/>
  <c r="G83" i="57"/>
  <c r="G72" i="57"/>
  <c r="G12" i="57"/>
  <c r="G63" i="57"/>
  <c r="G105" i="57"/>
  <c r="I16" i="57"/>
  <c r="E19" i="56" s="1"/>
  <c r="F22" i="68"/>
  <c r="I31" i="52"/>
  <c r="I18" i="52"/>
  <c r="H106" i="51"/>
  <c r="H36" i="51"/>
  <c r="H88" i="51"/>
  <c r="H156" i="51"/>
  <c r="H78" i="51"/>
  <c r="H61" i="51"/>
  <c r="H107" i="49"/>
  <c r="H75" i="49"/>
  <c r="H63" i="49"/>
  <c r="M60" i="40"/>
  <c r="L8" i="40"/>
  <c r="L10" i="40"/>
  <c r="J15" i="40"/>
  <c r="L34" i="40"/>
  <c r="L36" i="40"/>
  <c r="J38" i="40"/>
  <c r="L39" i="40"/>
  <c r="L40" i="40"/>
  <c r="J43" i="40"/>
  <c r="D12" i="67"/>
  <c r="D13" i="67" s="1"/>
  <c r="F13" i="67" s="1"/>
  <c r="F92" i="67"/>
  <c r="C29" i="66"/>
  <c r="I16" i="65"/>
  <c r="H13" i="64"/>
  <c r="G51" i="62"/>
  <c r="G98" i="62"/>
  <c r="G110" i="62"/>
  <c r="G141" i="62"/>
  <c r="D34" i="63"/>
  <c r="G21" i="60"/>
  <c r="G80" i="61"/>
  <c r="G85" i="61"/>
  <c r="G50" i="59"/>
  <c r="G55" i="59"/>
  <c r="G61" i="59"/>
  <c r="G88" i="59"/>
  <c r="G121" i="59"/>
  <c r="G150" i="59"/>
  <c r="G101" i="59"/>
  <c r="F26" i="60"/>
  <c r="D34" i="58"/>
  <c r="G94" i="57"/>
  <c r="D35" i="56"/>
  <c r="F34" i="68"/>
  <c r="G99" i="69"/>
  <c r="G104" i="69"/>
  <c r="G124" i="69"/>
  <c r="G152" i="54"/>
  <c r="G50" i="54"/>
  <c r="G54" i="54"/>
  <c r="G60" i="54"/>
  <c r="G73" i="54"/>
  <c r="G86" i="54"/>
  <c r="F33" i="55"/>
  <c r="H32" i="55"/>
  <c r="H32" i="52"/>
  <c r="H67" i="51"/>
  <c r="H101" i="51"/>
  <c r="H126" i="51"/>
  <c r="H129" i="49"/>
  <c r="F31" i="48"/>
  <c r="H30" i="48"/>
  <c r="I17" i="69"/>
  <c r="E19" i="68" s="1"/>
  <c r="G54" i="69"/>
  <c r="E15" i="69"/>
  <c r="G15" i="69" s="1"/>
  <c r="G13" i="69"/>
  <c r="G12" i="69"/>
  <c r="F12" i="67"/>
  <c r="E14" i="65"/>
  <c r="G14" i="65" s="1"/>
  <c r="G13" i="65"/>
  <c r="G11" i="65"/>
  <c r="E18" i="63"/>
  <c r="G12" i="62"/>
  <c r="G13" i="62"/>
  <c r="G10" i="61"/>
  <c r="G48" i="61"/>
  <c r="G57" i="61" s="1"/>
  <c r="I16" i="59"/>
  <c r="E18" i="58" s="1"/>
  <c r="G12" i="59"/>
  <c r="G13" i="59"/>
  <c r="G13" i="57"/>
  <c r="G31" i="54"/>
  <c r="G17" i="55"/>
  <c r="I17" i="55" s="1"/>
  <c r="G98" i="54"/>
  <c r="G103" i="54"/>
  <c r="G118" i="54"/>
  <c r="E14" i="54"/>
  <c r="G14" i="54" s="1"/>
  <c r="G13" i="54"/>
  <c r="G12" i="54"/>
  <c r="H57" i="51"/>
  <c r="R84" i="51"/>
  <c r="S84" i="51" s="1"/>
  <c r="F15" i="51"/>
  <c r="H15" i="51" s="1"/>
  <c r="H13" i="51"/>
  <c r="H12" i="51"/>
  <c r="H33" i="49"/>
  <c r="H18" i="48"/>
  <c r="J33" i="49"/>
  <c r="G16" i="48" s="1"/>
  <c r="I16" i="48" s="1"/>
  <c r="F13" i="49"/>
  <c r="H13" i="49" s="1"/>
  <c r="H57" i="49"/>
  <c r="H52" i="49"/>
  <c r="H88" i="67"/>
  <c r="F20" i="60" l="1"/>
  <c r="G16" i="65"/>
  <c r="H33" i="55"/>
  <c r="G34" i="60"/>
  <c r="E29" i="66"/>
  <c r="H16" i="64"/>
  <c r="J13" i="64"/>
  <c r="E13" i="61"/>
  <c r="G13" i="61" s="1"/>
  <c r="G16" i="59"/>
  <c r="G16" i="57"/>
  <c r="E22" i="56"/>
  <c r="E20" i="68"/>
  <c r="G20" i="68" s="1"/>
  <c r="I18" i="55"/>
  <c r="I20" i="55" s="1"/>
  <c r="G20" i="55"/>
  <c r="I17" i="52"/>
  <c r="I20" i="52" s="1"/>
  <c r="G19" i="56"/>
  <c r="G22" i="56" s="1"/>
  <c r="E21" i="58"/>
  <c r="H33" i="52"/>
  <c r="J58" i="40"/>
  <c r="J60" i="40" s="1"/>
  <c r="D53" i="90" s="1"/>
  <c r="G50" i="67" s="1"/>
  <c r="F15" i="67"/>
  <c r="H89" i="67"/>
  <c r="J16" i="64"/>
  <c r="L31" i="40"/>
  <c r="L33" i="40" s="1"/>
  <c r="G17" i="62"/>
  <c r="H31" i="48"/>
  <c r="F35" i="68"/>
  <c r="H17" i="51"/>
  <c r="F14" i="49"/>
  <c r="H14" i="49" s="1"/>
  <c r="H16" i="49" s="1"/>
  <c r="L58" i="40"/>
  <c r="L60" i="40" s="1"/>
  <c r="D50" i="90" s="1"/>
  <c r="G49" i="67" s="1"/>
  <c r="G18" i="63"/>
  <c r="G18" i="58"/>
  <c r="G21" i="58" s="1"/>
  <c r="G15" i="61"/>
  <c r="F18" i="60"/>
  <c r="G19" i="68"/>
  <c r="G16" i="54"/>
  <c r="G17" i="69"/>
  <c r="H91" i="67"/>
  <c r="H67" i="67"/>
  <c r="H43" i="67"/>
  <c r="K33" i="40" l="1"/>
  <c r="G30" i="67"/>
  <c r="H30" i="67" s="1"/>
  <c r="E22" i="68"/>
  <c r="G22" i="68"/>
  <c r="G20" i="52"/>
  <c r="H66" i="67"/>
  <c r="H69" i="67"/>
  <c r="H63" i="67"/>
  <c r="H95" i="67"/>
  <c r="H56" i="67"/>
  <c r="H90" i="67"/>
  <c r="H45" i="67"/>
  <c r="H61" i="67"/>
  <c r="H49" i="67"/>
  <c r="H81" i="67"/>
  <c r="H94" i="67"/>
  <c r="H68" i="67"/>
  <c r="H42" i="67"/>
  <c r="H60" i="67"/>
  <c r="H64" i="67" s="1"/>
  <c r="H62" i="67"/>
  <c r="H46" i="67"/>
  <c r="N65" i="39"/>
  <c r="L65" i="39"/>
  <c r="M61" i="39"/>
  <c r="M60" i="39"/>
  <c r="M58" i="39"/>
  <c r="M57" i="39"/>
  <c r="M56" i="39"/>
  <c r="I52" i="39"/>
  <c r="I51" i="39"/>
  <c r="I50" i="39"/>
  <c r="I49" i="39"/>
  <c r="I48" i="39"/>
  <c r="I47" i="39"/>
  <c r="I46" i="39"/>
  <c r="I45" i="39"/>
  <c r="I44" i="39"/>
  <c r="I43" i="39"/>
  <c r="I42" i="39"/>
  <c r="I41" i="39"/>
  <c r="I40" i="39"/>
  <c r="I39" i="39"/>
  <c r="N34" i="39"/>
  <c r="M30" i="39"/>
  <c r="M29" i="39"/>
  <c r="M28" i="39"/>
  <c r="M22" i="39"/>
  <c r="L22" i="39"/>
  <c r="K16" i="39"/>
  <c r="I16" i="39"/>
  <c r="J15" i="39"/>
  <c r="I15" i="39"/>
  <c r="M14" i="39"/>
  <c r="L14" i="39"/>
  <c r="K14" i="39"/>
  <c r="J14" i="39"/>
  <c r="I14" i="39"/>
  <c r="M13" i="39"/>
  <c r="L13" i="39"/>
  <c r="J13" i="39"/>
  <c r="I13" i="39"/>
  <c r="L12" i="39"/>
  <c r="K12" i="39"/>
  <c r="J12" i="39"/>
  <c r="I12" i="39"/>
  <c r="L11" i="39"/>
  <c r="K11" i="39"/>
  <c r="J11" i="39"/>
  <c r="I11" i="39"/>
  <c r="M10" i="39"/>
  <c r="L10" i="39"/>
  <c r="J10" i="39"/>
  <c r="I10" i="39"/>
  <c r="L9" i="39"/>
  <c r="K9" i="39"/>
  <c r="J9" i="39"/>
  <c r="I9" i="39"/>
  <c r="L8" i="39"/>
  <c r="K8" i="39"/>
  <c r="J8" i="39"/>
  <c r="I8" i="39"/>
  <c r="I103" i="65"/>
  <c r="I97" i="65"/>
  <c r="I84" i="65"/>
  <c r="I67" i="65"/>
  <c r="I58" i="65"/>
  <c r="I54" i="65"/>
  <c r="I56" i="65" s="1"/>
  <c r="H19" i="64" s="1"/>
  <c r="J19" i="64" s="1"/>
  <c r="I42" i="65"/>
  <c r="I41" i="65"/>
  <c r="L111" i="37"/>
  <c r="I108" i="37"/>
  <c r="I107" i="37"/>
  <c r="I106" i="37"/>
  <c r="I105" i="37"/>
  <c r="I104" i="37"/>
  <c r="I103" i="37"/>
  <c r="I102" i="37"/>
  <c r="I101" i="37"/>
  <c r="I100" i="37"/>
  <c r="K99" i="37" s="1"/>
  <c r="I99" i="37"/>
  <c r="I98" i="37"/>
  <c r="I97" i="37"/>
  <c r="I96" i="37"/>
  <c r="M95" i="37" s="1"/>
  <c r="I95" i="37"/>
  <c r="I94" i="37"/>
  <c r="I93" i="37"/>
  <c r="I92" i="37"/>
  <c r="M91" i="37" s="1"/>
  <c r="I91" i="37"/>
  <c r="I90" i="37"/>
  <c r="I89" i="37"/>
  <c r="I88" i="37"/>
  <c r="M87" i="37" s="1"/>
  <c r="I87" i="37"/>
  <c r="I86" i="37"/>
  <c r="I85" i="37"/>
  <c r="I84" i="37"/>
  <c r="M83" i="37" s="1"/>
  <c r="I83" i="37"/>
  <c r="I82" i="37"/>
  <c r="I81" i="37"/>
  <c r="I80" i="37"/>
  <c r="M79" i="37" s="1"/>
  <c r="I79" i="37"/>
  <c r="I78" i="37"/>
  <c r="I77" i="37"/>
  <c r="I76" i="37"/>
  <c r="M75" i="37" s="1"/>
  <c r="I75" i="37"/>
  <c r="N66" i="37"/>
  <c r="M66" i="37"/>
  <c r="L66" i="37"/>
  <c r="I54" i="37"/>
  <c r="I53" i="37"/>
  <c r="I52" i="37"/>
  <c r="I51" i="37"/>
  <c r="K50" i="37" s="1"/>
  <c r="I50" i="37"/>
  <c r="I49" i="37"/>
  <c r="I46" i="37"/>
  <c r="I45" i="37"/>
  <c r="K44" i="37" s="1"/>
  <c r="I44" i="37"/>
  <c r="I43" i="37"/>
  <c r="I42" i="37"/>
  <c r="I41" i="37"/>
  <c r="M28" i="37"/>
  <c r="L28" i="37"/>
  <c r="I21" i="37"/>
  <c r="I20" i="37"/>
  <c r="N19" i="37" s="1"/>
  <c r="I19" i="37"/>
  <c r="I18" i="37"/>
  <c r="I17" i="37"/>
  <c r="N15" i="37"/>
  <c r="I15" i="37"/>
  <c r="I14" i="37"/>
  <c r="I13" i="37"/>
  <c r="I12" i="37"/>
  <c r="N11" i="37" s="1"/>
  <c r="I11" i="37"/>
  <c r="I10" i="37"/>
  <c r="K40" i="39" l="1"/>
  <c r="M44" i="39"/>
  <c r="M48" i="39"/>
  <c r="K52" i="39"/>
  <c r="H58" i="67"/>
  <c r="D19" i="66" s="1"/>
  <c r="F19" i="66" s="1"/>
  <c r="H72" i="67"/>
  <c r="D21" i="66" s="1"/>
  <c r="F21" i="66" s="1"/>
  <c r="N17" i="37"/>
  <c r="K42" i="37"/>
  <c r="K46" i="37"/>
  <c r="M77" i="37"/>
  <c r="K81" i="37"/>
  <c r="M85" i="37"/>
  <c r="M89" i="37"/>
  <c r="K93" i="37"/>
  <c r="M97" i="37"/>
  <c r="M101" i="37"/>
  <c r="L32" i="39"/>
  <c r="M42" i="39"/>
  <c r="K46" i="39"/>
  <c r="M50" i="39"/>
  <c r="N13" i="37"/>
  <c r="K52" i="37"/>
  <c r="I114" i="65"/>
  <c r="H27" i="64" s="1"/>
  <c r="J27" i="64" s="1"/>
  <c r="H82" i="67"/>
  <c r="H92" i="67" s="1"/>
  <c r="M103" i="37"/>
  <c r="K105" i="37"/>
  <c r="M107" i="37"/>
  <c r="H83" i="67"/>
  <c r="H96" i="67"/>
  <c r="D20" i="66"/>
  <c r="F20" i="66" s="1"/>
  <c r="K15" i="39"/>
  <c r="M8" i="39"/>
  <c r="M9" i="39"/>
  <c r="K10" i="39"/>
  <c r="M11" i="39"/>
  <c r="M12" i="39"/>
  <c r="K13" i="39"/>
  <c r="M39" i="39"/>
  <c r="M41" i="39"/>
  <c r="K43" i="39"/>
  <c r="M45" i="39"/>
  <c r="M47" i="39"/>
  <c r="K49" i="39"/>
  <c r="M51" i="39"/>
  <c r="I44" i="65"/>
  <c r="I45" i="65"/>
  <c r="I59" i="65"/>
  <c r="I61" i="65"/>
  <c r="I80" i="65"/>
  <c r="I60" i="65"/>
  <c r="I64" i="65"/>
  <c r="I65" i="65"/>
  <c r="I66" i="65"/>
  <c r="N68" i="37"/>
  <c r="N10" i="37"/>
  <c r="N12" i="37"/>
  <c r="N14" i="37"/>
  <c r="K16" i="37"/>
  <c r="N18" i="37"/>
  <c r="N20" i="37"/>
  <c r="K41" i="37"/>
  <c r="K43" i="37"/>
  <c r="K45" i="37"/>
  <c r="K49" i="37"/>
  <c r="K51" i="37"/>
  <c r="K53" i="37"/>
  <c r="N73" i="37"/>
  <c r="M76" i="37"/>
  <c r="M78" i="37"/>
  <c r="M80" i="37"/>
  <c r="M82" i="37"/>
  <c r="M84" i="37"/>
  <c r="M86" i="37"/>
  <c r="K88" i="37"/>
  <c r="M90" i="37"/>
  <c r="M92" i="37"/>
  <c r="M94" i="37"/>
  <c r="K96" i="37"/>
  <c r="M98" i="37"/>
  <c r="M100" i="37"/>
  <c r="K102" i="37"/>
  <c r="M104" i="37"/>
  <c r="M106" i="37"/>
  <c r="M68" i="37"/>
  <c r="L68" i="37" s="1"/>
  <c r="I140" i="62"/>
  <c r="I138" i="62"/>
  <c r="I137" i="62"/>
  <c r="I116" i="62"/>
  <c r="I124" i="62"/>
  <c r="I109" i="62"/>
  <c r="I107" i="62"/>
  <c r="I104" i="62"/>
  <c r="I101" i="62"/>
  <c r="I59" i="62"/>
  <c r="I69" i="62"/>
  <c r="D24" i="66" l="1"/>
  <c r="F24" i="66" s="1"/>
  <c r="H97" i="67"/>
  <c r="D23" i="66"/>
  <c r="F23" i="66" s="1"/>
  <c r="I89" i="65"/>
  <c r="I62" i="65"/>
  <c r="H20" i="64" s="1"/>
  <c r="J20" i="64" s="1"/>
  <c r="K63" i="39"/>
  <c r="K65" i="39" s="1"/>
  <c r="D48" i="89" s="1"/>
  <c r="K32" i="39"/>
  <c r="M32" i="39"/>
  <c r="M34" i="39" s="1"/>
  <c r="L34" i="39" s="1"/>
  <c r="M63" i="39"/>
  <c r="M65" i="39" s="1"/>
  <c r="D45" i="89" s="1"/>
  <c r="I78" i="65"/>
  <c r="I87" i="65"/>
  <c r="I79" i="65"/>
  <c r="I68" i="65"/>
  <c r="H21" i="64" s="1"/>
  <c r="J21" i="64" s="1"/>
  <c r="M109" i="37"/>
  <c r="N28" i="37"/>
  <c r="N30" i="37" s="1"/>
  <c r="I60" i="62"/>
  <c r="I75" i="62"/>
  <c r="I85" i="62"/>
  <c r="I91" i="62"/>
  <c r="I92" i="62"/>
  <c r="I58" i="62"/>
  <c r="I79" i="62"/>
  <c r="I90" i="62"/>
  <c r="I113" i="62"/>
  <c r="I115" i="62"/>
  <c r="I128" i="62"/>
  <c r="I118" i="62"/>
  <c r="I119" i="62"/>
  <c r="I120" i="62"/>
  <c r="I134" i="62"/>
  <c r="I121" i="62"/>
  <c r="I135" i="62"/>
  <c r="I66" i="62"/>
  <c r="I70" i="62"/>
  <c r="I74" i="62"/>
  <c r="I63" i="62"/>
  <c r="I76" i="62"/>
  <c r="I80" i="62"/>
  <c r="I87" i="62"/>
  <c r="I108" i="62"/>
  <c r="I125" i="62"/>
  <c r="I126" i="62"/>
  <c r="I127" i="62"/>
  <c r="I122" i="62"/>
  <c r="I53" i="62"/>
  <c r="I86" i="62"/>
  <c r="I89" i="62"/>
  <c r="I54" i="62"/>
  <c r="I41" i="62"/>
  <c r="I46" i="62"/>
  <c r="N44" i="9"/>
  <c r="K34" i="39" l="1"/>
  <c r="M30" i="37"/>
  <c r="L30" i="37" s="1"/>
  <c r="D107" i="120"/>
  <c r="H27" i="62" s="1"/>
  <c r="I27" i="62" s="1"/>
  <c r="H50" i="65"/>
  <c r="I50" i="65" s="1"/>
  <c r="I45" i="111"/>
  <c r="H49" i="65"/>
  <c r="I49" i="65" s="1"/>
  <c r="I44" i="111"/>
  <c r="I61" i="62"/>
  <c r="I141" i="62"/>
  <c r="E32" i="63" s="1"/>
  <c r="G32" i="63" s="1"/>
  <c r="I55" i="62"/>
  <c r="E24" i="63" s="1"/>
  <c r="G24" i="63" s="1"/>
  <c r="I110" i="62"/>
  <c r="E31" i="63" s="1"/>
  <c r="G31" i="63" s="1"/>
  <c r="I88" i="65"/>
  <c r="I90" i="65" s="1"/>
  <c r="H24" i="64" s="1"/>
  <c r="J24" i="64" s="1"/>
  <c r="I95" i="62"/>
  <c r="I85" i="65"/>
  <c r="H23" i="64" s="1"/>
  <c r="I40" i="62"/>
  <c r="I81" i="62"/>
  <c r="I82" i="62" s="1"/>
  <c r="E27" i="63" s="1"/>
  <c r="G27" i="63" s="1"/>
  <c r="I64" i="62"/>
  <c r="I84" i="62"/>
  <c r="I65" i="62"/>
  <c r="I45" i="62"/>
  <c r="N46" i="9"/>
  <c r="L44" i="9"/>
  <c r="M42" i="9"/>
  <c r="M40" i="9"/>
  <c r="I33" i="9"/>
  <c r="I32" i="9"/>
  <c r="M32" i="9" s="1"/>
  <c r="I31" i="9"/>
  <c r="I30" i="9"/>
  <c r="I29" i="9"/>
  <c r="I28" i="9"/>
  <c r="I27" i="9"/>
  <c r="I26" i="9"/>
  <c r="M26" i="9" s="1"/>
  <c r="N23" i="9"/>
  <c r="L23" i="9"/>
  <c r="I18" i="9"/>
  <c r="K18" i="9" s="1"/>
  <c r="I17" i="9"/>
  <c r="I15" i="9"/>
  <c r="I14" i="9"/>
  <c r="I13" i="9"/>
  <c r="I12" i="9"/>
  <c r="I11" i="9"/>
  <c r="I10" i="9"/>
  <c r="N53" i="35"/>
  <c r="L53" i="35"/>
  <c r="M51" i="35"/>
  <c r="M50" i="35"/>
  <c r="M49" i="35"/>
  <c r="M47" i="35"/>
  <c r="M46" i="35"/>
  <c r="M45" i="35"/>
  <c r="I38" i="35"/>
  <c r="I37" i="35"/>
  <c r="I36" i="35"/>
  <c r="I35" i="35"/>
  <c r="I34" i="35"/>
  <c r="I33" i="35"/>
  <c r="I32" i="35"/>
  <c r="I31" i="35"/>
  <c r="M28" i="35"/>
  <c r="L28" i="35"/>
  <c r="K23" i="35"/>
  <c r="I18" i="35"/>
  <c r="K18" i="35" s="1"/>
  <c r="I17" i="35"/>
  <c r="I15" i="35"/>
  <c r="I14" i="35"/>
  <c r="I13" i="35"/>
  <c r="I12" i="35"/>
  <c r="I11" i="35"/>
  <c r="I10" i="35"/>
  <c r="I52" i="65" l="1"/>
  <c r="H18" i="64" s="1"/>
  <c r="J18" i="64" s="1"/>
  <c r="I71" i="62"/>
  <c r="E26" i="63" s="1"/>
  <c r="G26" i="63" s="1"/>
  <c r="I93" i="62"/>
  <c r="E28" i="63" s="1"/>
  <c r="G28" i="63" s="1"/>
  <c r="E25" i="63"/>
  <c r="G25" i="63" s="1"/>
  <c r="J23" i="64"/>
  <c r="I97" i="62"/>
  <c r="I44" i="62"/>
  <c r="I39" i="62"/>
  <c r="M11" i="9"/>
  <c r="M13" i="9"/>
  <c r="K15" i="9"/>
  <c r="M28" i="9"/>
  <c r="K30" i="9"/>
  <c r="K33" i="9"/>
  <c r="M10" i="9"/>
  <c r="K12" i="9"/>
  <c r="M14" i="9"/>
  <c r="K17" i="9"/>
  <c r="K27" i="9"/>
  <c r="M29" i="9"/>
  <c r="M31" i="9"/>
  <c r="N25" i="9"/>
  <c r="N11" i="35"/>
  <c r="N13" i="35"/>
  <c r="K15" i="35"/>
  <c r="K32" i="35"/>
  <c r="M34" i="35"/>
  <c r="M36" i="35"/>
  <c r="K38" i="35"/>
  <c r="N10" i="35"/>
  <c r="K12" i="35"/>
  <c r="N14" i="35"/>
  <c r="K17" i="35"/>
  <c r="M31" i="35"/>
  <c r="M33" i="35"/>
  <c r="K35" i="35"/>
  <c r="M37" i="35"/>
  <c r="N55" i="35"/>
  <c r="J28" i="64" l="1"/>
  <c r="J29" i="64" s="1"/>
  <c r="D20" i="47" s="1"/>
  <c r="H28" i="64"/>
  <c r="H29" i="64" s="1"/>
  <c r="K53" i="35"/>
  <c r="I96" i="62"/>
  <c r="K44" i="9"/>
  <c r="M23" i="9"/>
  <c r="M25" i="9" s="1"/>
  <c r="L25" i="9" s="1"/>
  <c r="M44" i="9"/>
  <c r="M46" i="9" s="1"/>
  <c r="K23" i="9"/>
  <c r="K25" i="9" s="1"/>
  <c r="K28" i="35"/>
  <c r="M53" i="35"/>
  <c r="M55" i="35" s="1"/>
  <c r="N28" i="35"/>
  <c r="N30" i="35" s="1"/>
  <c r="I77" i="61"/>
  <c r="I71" i="61"/>
  <c r="I55" i="61"/>
  <c r="I56" i="61"/>
  <c r="I54" i="61"/>
  <c r="I53" i="61"/>
  <c r="I43" i="61"/>
  <c r="N121" i="33"/>
  <c r="L121" i="33"/>
  <c r="I118" i="33"/>
  <c r="I117" i="33"/>
  <c r="I116" i="33"/>
  <c r="I115" i="33"/>
  <c r="I114" i="33"/>
  <c r="I113" i="33"/>
  <c r="I112" i="33"/>
  <c r="I111" i="33"/>
  <c r="I110" i="33"/>
  <c r="I109" i="33"/>
  <c r="I108" i="33"/>
  <c r="I107" i="33"/>
  <c r="I106" i="33"/>
  <c r="I105" i="33"/>
  <c r="I104" i="33"/>
  <c r="I103" i="33"/>
  <c r="I102" i="33"/>
  <c r="I101" i="33"/>
  <c r="I100" i="33"/>
  <c r="I99" i="33"/>
  <c r="I98" i="33"/>
  <c r="L89" i="33"/>
  <c r="I89" i="33"/>
  <c r="K89" i="33" s="1"/>
  <c r="L88" i="33"/>
  <c r="K88" i="33"/>
  <c r="I88" i="33"/>
  <c r="L87" i="33"/>
  <c r="K87" i="33"/>
  <c r="I87" i="33"/>
  <c r="L86" i="33"/>
  <c r="K86" i="33"/>
  <c r="I86" i="33"/>
  <c r="L85" i="33"/>
  <c r="I85" i="33"/>
  <c r="L84" i="33"/>
  <c r="K84" i="33"/>
  <c r="I84" i="33"/>
  <c r="L83" i="33"/>
  <c r="K83" i="33"/>
  <c r="I83" i="33"/>
  <c r="L82" i="33"/>
  <c r="I82" i="33"/>
  <c r="K82" i="33" s="1"/>
  <c r="L81" i="33"/>
  <c r="K81" i="33"/>
  <c r="I81" i="33"/>
  <c r="L80" i="33"/>
  <c r="I80" i="33"/>
  <c r="L78" i="33"/>
  <c r="I78" i="33"/>
  <c r="L77" i="33"/>
  <c r="K77" i="33"/>
  <c r="I77" i="33"/>
  <c r="L76" i="33"/>
  <c r="K76" i="33"/>
  <c r="I76" i="33"/>
  <c r="L75" i="33"/>
  <c r="K75" i="33"/>
  <c r="I75" i="33"/>
  <c r="L74" i="33"/>
  <c r="K74" i="33"/>
  <c r="I74" i="33"/>
  <c r="L73" i="33"/>
  <c r="K73" i="33"/>
  <c r="I73" i="33"/>
  <c r="L72" i="33"/>
  <c r="I72" i="33"/>
  <c r="L71" i="33"/>
  <c r="K71" i="33"/>
  <c r="I71" i="33"/>
  <c r="L70" i="33"/>
  <c r="K70" i="33"/>
  <c r="I70" i="33"/>
  <c r="L69" i="33"/>
  <c r="K69" i="33"/>
  <c r="I69" i="33"/>
  <c r="L68" i="33"/>
  <c r="K68" i="33"/>
  <c r="I68" i="33"/>
  <c r="L67" i="33"/>
  <c r="K67" i="33"/>
  <c r="I67" i="33"/>
  <c r="L66" i="33"/>
  <c r="I66" i="33"/>
  <c r="L65" i="33"/>
  <c r="K65" i="33"/>
  <c r="I65" i="33"/>
  <c r="N65" i="33" s="1"/>
  <c r="N90" i="33" s="1"/>
  <c r="L64" i="33"/>
  <c r="I64" i="33"/>
  <c r="L63" i="33"/>
  <c r="K63" i="33"/>
  <c r="I63" i="33"/>
  <c r="N57" i="33"/>
  <c r="L57" i="33"/>
  <c r="K57" i="33"/>
  <c r="J57" i="33"/>
  <c r="N56" i="33"/>
  <c r="M56" i="33"/>
  <c r="L56" i="33"/>
  <c r="K56" i="33"/>
  <c r="J56" i="33"/>
  <c r="N55" i="33"/>
  <c r="M55" i="33"/>
  <c r="L55" i="33"/>
  <c r="K55" i="33"/>
  <c r="J55" i="33"/>
  <c r="N54" i="33"/>
  <c r="M54" i="33"/>
  <c r="L54" i="33"/>
  <c r="K54" i="33"/>
  <c r="J54" i="33"/>
  <c r="N53" i="33"/>
  <c r="M53" i="33"/>
  <c r="L53" i="33"/>
  <c r="I53" i="33"/>
  <c r="I52" i="33"/>
  <c r="I51" i="33"/>
  <c r="I50" i="33"/>
  <c r="J49" i="33"/>
  <c r="I49" i="33"/>
  <c r="J48" i="33"/>
  <c r="I48" i="33"/>
  <c r="J47" i="33"/>
  <c r="I47" i="33"/>
  <c r="J46" i="33"/>
  <c r="I46" i="33"/>
  <c r="J45" i="33"/>
  <c r="I45" i="33"/>
  <c r="J44" i="33"/>
  <c r="I44" i="33"/>
  <c r="N43" i="33"/>
  <c r="I43" i="33"/>
  <c r="N42" i="33"/>
  <c r="I42" i="33"/>
  <c r="N41" i="33"/>
  <c r="I41" i="33"/>
  <c r="N40" i="33"/>
  <c r="I40" i="33"/>
  <c r="N39" i="33"/>
  <c r="M39" i="33"/>
  <c r="L39" i="33"/>
  <c r="I39" i="33"/>
  <c r="N38" i="33"/>
  <c r="M38" i="33"/>
  <c r="L38" i="33"/>
  <c r="I38" i="33"/>
  <c r="N37" i="33"/>
  <c r="M37" i="33"/>
  <c r="L37" i="33"/>
  <c r="I37" i="33"/>
  <c r="N36" i="33"/>
  <c r="M36" i="33"/>
  <c r="L36" i="33"/>
  <c r="I36" i="33"/>
  <c r="N35" i="33"/>
  <c r="M35" i="33"/>
  <c r="L35" i="33"/>
  <c r="I35" i="33"/>
  <c r="N34" i="33"/>
  <c r="M34" i="33"/>
  <c r="L34" i="33"/>
  <c r="J34" i="33"/>
  <c r="I34" i="33"/>
  <c r="N33" i="33"/>
  <c r="M33" i="33"/>
  <c r="L33" i="33"/>
  <c r="N16" i="33"/>
  <c r="M16" i="33"/>
  <c r="L16" i="33"/>
  <c r="J16" i="33"/>
  <c r="I16" i="33"/>
  <c r="M15" i="33"/>
  <c r="L15" i="33"/>
  <c r="K15" i="33"/>
  <c r="J15" i="33"/>
  <c r="I15" i="33"/>
  <c r="M14" i="33"/>
  <c r="L14" i="33"/>
  <c r="K14" i="33"/>
  <c r="J14" i="33"/>
  <c r="I14" i="33"/>
  <c r="M13" i="33"/>
  <c r="L13" i="33"/>
  <c r="K13" i="33"/>
  <c r="J13" i="33"/>
  <c r="I13" i="33"/>
  <c r="N12" i="33"/>
  <c r="M12" i="33"/>
  <c r="L12" i="33"/>
  <c r="J12" i="33"/>
  <c r="I12" i="33"/>
  <c r="M11" i="33"/>
  <c r="L11" i="33"/>
  <c r="K11" i="33"/>
  <c r="J11" i="33"/>
  <c r="I11" i="33"/>
  <c r="M10" i="33"/>
  <c r="L10" i="33"/>
  <c r="K10" i="33"/>
  <c r="J10" i="33"/>
  <c r="I10" i="33"/>
  <c r="M9" i="33"/>
  <c r="L9" i="33"/>
  <c r="K9" i="33"/>
  <c r="J9" i="33"/>
  <c r="I9" i="33"/>
  <c r="M8" i="33"/>
  <c r="L8" i="33"/>
  <c r="K8" i="33"/>
  <c r="J8" i="33"/>
  <c r="I8" i="33"/>
  <c r="I135" i="59"/>
  <c r="I134" i="59"/>
  <c r="I130" i="59"/>
  <c r="I143" i="59"/>
  <c r="I119" i="59"/>
  <c r="I118" i="59"/>
  <c r="I117" i="59"/>
  <c r="I114" i="59"/>
  <c r="I111" i="59"/>
  <c r="M30" i="35" l="1"/>
  <c r="L30" i="35" s="1"/>
  <c r="H29" i="61"/>
  <c r="I29" i="61" s="1"/>
  <c r="I57" i="61"/>
  <c r="H25" i="60" s="1"/>
  <c r="I98" i="62"/>
  <c r="E29" i="63" s="1"/>
  <c r="G29" i="63" s="1"/>
  <c r="L46" i="9"/>
  <c r="K46" i="9" s="1"/>
  <c r="D48" i="87" s="1"/>
  <c r="D45" i="87"/>
  <c r="H125" i="61" s="1"/>
  <c r="I125" i="61" s="1"/>
  <c r="K30" i="35"/>
  <c r="I30" i="61" s="1"/>
  <c r="L55" i="35"/>
  <c r="K55" i="35" s="1"/>
  <c r="D46" i="86" s="1"/>
  <c r="H47" i="61" s="1"/>
  <c r="D43" i="86"/>
  <c r="H46" i="61" s="1"/>
  <c r="M58" i="33"/>
  <c r="K35" i="33"/>
  <c r="K36" i="33"/>
  <c r="I41" i="61"/>
  <c r="I50" i="61"/>
  <c r="I51" i="61" s="1"/>
  <c r="H24" i="60" s="1"/>
  <c r="I44" i="61"/>
  <c r="I72" i="61"/>
  <c r="I80" i="61" s="1"/>
  <c r="H28" i="60" s="1"/>
  <c r="J58" i="33"/>
  <c r="K51" i="33"/>
  <c r="K53" i="33"/>
  <c r="L90" i="33"/>
  <c r="N58" i="33"/>
  <c r="M68" i="33"/>
  <c r="M70" i="33"/>
  <c r="K72" i="33"/>
  <c r="M75" i="33"/>
  <c r="M77" i="33"/>
  <c r="M82" i="33"/>
  <c r="M84" i="33"/>
  <c r="M86" i="33"/>
  <c r="M98" i="33"/>
  <c r="K100" i="33"/>
  <c r="M102" i="33"/>
  <c r="M104" i="33"/>
  <c r="K106" i="33"/>
  <c r="M108" i="33"/>
  <c r="M110" i="33"/>
  <c r="K112" i="33"/>
  <c r="M114" i="33"/>
  <c r="M116" i="33"/>
  <c r="K37" i="33"/>
  <c r="M88" i="33"/>
  <c r="K38" i="33"/>
  <c r="J28" i="33"/>
  <c r="L28" i="33"/>
  <c r="K39" i="33"/>
  <c r="K40" i="33"/>
  <c r="M63" i="33"/>
  <c r="N8" i="33"/>
  <c r="N10" i="33"/>
  <c r="N14" i="33"/>
  <c r="K34" i="33"/>
  <c r="K41" i="33"/>
  <c r="K42" i="33"/>
  <c r="K43" i="33"/>
  <c r="K50" i="33"/>
  <c r="K52" i="33"/>
  <c r="K64" i="33"/>
  <c r="K66" i="33"/>
  <c r="M69" i="33"/>
  <c r="M71" i="33"/>
  <c r="M74" i="33"/>
  <c r="M76" i="33"/>
  <c r="K78" i="33"/>
  <c r="K80" i="33"/>
  <c r="M83" i="33"/>
  <c r="K85" i="33"/>
  <c r="M87" i="33"/>
  <c r="N92" i="33"/>
  <c r="M99" i="33"/>
  <c r="M101" i="33"/>
  <c r="K103" i="33"/>
  <c r="M105" i="33"/>
  <c r="M107" i="33"/>
  <c r="K109" i="33"/>
  <c r="M111" i="33"/>
  <c r="M113" i="33"/>
  <c r="K115" i="33"/>
  <c r="M117" i="33"/>
  <c r="N9" i="33"/>
  <c r="N11" i="33"/>
  <c r="K12" i="33"/>
  <c r="N13" i="33"/>
  <c r="N15" i="33"/>
  <c r="K16" i="33"/>
  <c r="K44" i="33"/>
  <c r="K45" i="33"/>
  <c r="K46" i="33"/>
  <c r="K47" i="33"/>
  <c r="K48" i="33"/>
  <c r="K49" i="33"/>
  <c r="L58" i="33"/>
  <c r="I100" i="59"/>
  <c r="I109" i="59"/>
  <c r="I137" i="59"/>
  <c r="I124" i="59"/>
  <c r="I126" i="59"/>
  <c r="I127" i="59"/>
  <c r="I132" i="59"/>
  <c r="I149" i="59"/>
  <c r="I120" i="59"/>
  <c r="I138" i="59"/>
  <c r="I139" i="59"/>
  <c r="I140" i="59"/>
  <c r="I141" i="59"/>
  <c r="I128" i="59"/>
  <c r="I46" i="61"/>
  <c r="I98" i="59"/>
  <c r="I32" i="61" l="1"/>
  <c r="I47" i="61"/>
  <c r="H126" i="61"/>
  <c r="I126" i="61" s="1"/>
  <c r="I128" i="61"/>
  <c r="I121" i="59"/>
  <c r="F24" i="60"/>
  <c r="F28" i="60"/>
  <c r="I150" i="59"/>
  <c r="E32" i="58" s="1"/>
  <c r="G32" i="58" s="1"/>
  <c r="E31" i="58"/>
  <c r="G31" i="58" s="1"/>
  <c r="I40" i="61"/>
  <c r="I48" i="61" s="1"/>
  <c r="M28" i="33"/>
  <c r="M30" i="33" s="1"/>
  <c r="L30" i="33" s="1"/>
  <c r="M121" i="33"/>
  <c r="N28" i="33"/>
  <c r="N30" i="33" s="1"/>
  <c r="K28" i="33"/>
  <c r="K30" i="33" s="1"/>
  <c r="J30" i="33" s="1"/>
  <c r="M90" i="33"/>
  <c r="M92" i="33" s="1"/>
  <c r="L92" i="33" s="1"/>
  <c r="K90" i="33"/>
  <c r="K58" i="33"/>
  <c r="K60" i="33" s="1"/>
  <c r="J60" i="33" s="1"/>
  <c r="I99" i="59"/>
  <c r="I96" i="59"/>
  <c r="I66" i="59"/>
  <c r="I65" i="59"/>
  <c r="I81" i="59"/>
  <c r="I58" i="59"/>
  <c r="N90" i="31"/>
  <c r="L90" i="31"/>
  <c r="I89" i="31"/>
  <c r="I88" i="31"/>
  <c r="I87" i="31"/>
  <c r="I86" i="31"/>
  <c r="I85" i="31"/>
  <c r="I84" i="31"/>
  <c r="I83" i="31"/>
  <c r="I82" i="31"/>
  <c r="I81" i="31"/>
  <c r="I80" i="31"/>
  <c r="I79" i="31"/>
  <c r="I78" i="31"/>
  <c r="I77" i="31"/>
  <c r="I76" i="31"/>
  <c r="I75" i="31"/>
  <c r="I74" i="31"/>
  <c r="I72" i="31"/>
  <c r="I71" i="31"/>
  <c r="I70" i="31"/>
  <c r="I69" i="31"/>
  <c r="I68" i="31"/>
  <c r="I67" i="31"/>
  <c r="I66" i="31"/>
  <c r="I65" i="31"/>
  <c r="I64" i="31"/>
  <c r="I62" i="31"/>
  <c r="I61" i="31"/>
  <c r="N58" i="31"/>
  <c r="M58" i="31"/>
  <c r="L58" i="31"/>
  <c r="I51" i="31"/>
  <c r="I50" i="31"/>
  <c r="I49" i="31"/>
  <c r="I48" i="31"/>
  <c r="I47" i="31"/>
  <c r="I46" i="31"/>
  <c r="I45" i="31"/>
  <c r="I44" i="31"/>
  <c r="I43" i="31"/>
  <c r="I42" i="31"/>
  <c r="I41" i="31"/>
  <c r="I40" i="31"/>
  <c r="I39" i="31"/>
  <c r="I38" i="31"/>
  <c r="I37" i="31"/>
  <c r="I36" i="31"/>
  <c r="I18" i="31"/>
  <c r="K17" i="31"/>
  <c r="I17" i="31"/>
  <c r="D17" i="31"/>
  <c r="K16" i="31"/>
  <c r="I16" i="31"/>
  <c r="D16" i="31"/>
  <c r="K15" i="31"/>
  <c r="I15" i="31"/>
  <c r="K14" i="31"/>
  <c r="I14" i="31"/>
  <c r="N13" i="31"/>
  <c r="I13" i="31"/>
  <c r="K12" i="31"/>
  <c r="I12" i="31"/>
  <c r="K11" i="31"/>
  <c r="I11" i="31"/>
  <c r="K10" i="31"/>
  <c r="I10" i="31"/>
  <c r="K9" i="31"/>
  <c r="I9" i="31"/>
  <c r="K8" i="31"/>
  <c r="I8" i="31"/>
  <c r="L32" i="31"/>
  <c r="I103" i="57"/>
  <c r="I101" i="57"/>
  <c r="I91" i="57"/>
  <c r="I66" i="57"/>
  <c r="I75" i="57"/>
  <c r="I83" i="57" s="1"/>
  <c r="I70" i="57"/>
  <c r="I47" i="57"/>
  <c r="N242" i="28"/>
  <c r="L242" i="28"/>
  <c r="I230" i="28"/>
  <c r="I229" i="28"/>
  <c r="I228" i="28"/>
  <c r="I227" i="28"/>
  <c r="I226" i="28"/>
  <c r="I225" i="28"/>
  <c r="I224" i="28"/>
  <c r="I223" i="28"/>
  <c r="I221" i="28"/>
  <c r="I220" i="28"/>
  <c r="L193" i="28"/>
  <c r="H23" i="60" l="1"/>
  <c r="H19" i="60"/>
  <c r="H21" i="60" s="1"/>
  <c r="F19" i="60"/>
  <c r="F21" i="60" s="1"/>
  <c r="F23" i="60"/>
  <c r="D15" i="31"/>
  <c r="I56" i="57"/>
  <c r="I92" i="57"/>
  <c r="I93" i="57"/>
  <c r="I43" i="57"/>
  <c r="I46" i="57"/>
  <c r="I62" i="57"/>
  <c r="I89" i="57"/>
  <c r="I88" i="57"/>
  <c r="I90" i="57"/>
  <c r="I60" i="57"/>
  <c r="I98" i="57"/>
  <c r="I55" i="57"/>
  <c r="I102" i="57"/>
  <c r="I105" i="57" s="1"/>
  <c r="E32" i="56" s="1"/>
  <c r="G32" i="56" s="1"/>
  <c r="I42" i="57"/>
  <c r="I59" i="57"/>
  <c r="I68" i="57"/>
  <c r="E28" i="56"/>
  <c r="G28" i="56" s="1"/>
  <c r="I61" i="57"/>
  <c r="I65" i="57"/>
  <c r="I67" i="57"/>
  <c r="F25" i="60"/>
  <c r="N60" i="33"/>
  <c r="M60" i="33" s="1"/>
  <c r="L60" i="33" s="1"/>
  <c r="K92" i="33"/>
  <c r="I44" i="59"/>
  <c r="I54" i="59"/>
  <c r="I53" i="59"/>
  <c r="I59" i="59"/>
  <c r="I64" i="59"/>
  <c r="I94" i="59"/>
  <c r="I93" i="59"/>
  <c r="I92" i="59"/>
  <c r="I43" i="59"/>
  <c r="I90" i="59"/>
  <c r="I103" i="59"/>
  <c r="I95" i="59"/>
  <c r="I42" i="59"/>
  <c r="I39" i="59"/>
  <c r="I57" i="59"/>
  <c r="I104" i="59"/>
  <c r="I40" i="59"/>
  <c r="I38" i="59"/>
  <c r="I60" i="59"/>
  <c r="I63" i="59"/>
  <c r="I68" i="59"/>
  <c r="I69" i="59"/>
  <c r="M61" i="31"/>
  <c r="M64" i="31"/>
  <c r="M66" i="31"/>
  <c r="M68" i="31"/>
  <c r="M70" i="31"/>
  <c r="M72" i="31"/>
  <c r="M75" i="31"/>
  <c r="M77" i="31"/>
  <c r="M79" i="31"/>
  <c r="K81" i="31"/>
  <c r="M83" i="31"/>
  <c r="M85" i="31"/>
  <c r="M87" i="31"/>
  <c r="K36" i="31"/>
  <c r="K38" i="31"/>
  <c r="K40" i="31"/>
  <c r="K42" i="31"/>
  <c r="K44" i="31"/>
  <c r="K46" i="31"/>
  <c r="K48" i="31"/>
  <c r="K50" i="31"/>
  <c r="N92" i="31"/>
  <c r="K13" i="31"/>
  <c r="N16" i="31"/>
  <c r="K37" i="31"/>
  <c r="K39" i="31"/>
  <c r="K41" i="31"/>
  <c r="K43" i="31"/>
  <c r="K45" i="31"/>
  <c r="K47" i="31"/>
  <c r="K49" i="31"/>
  <c r="K62" i="31"/>
  <c r="M65" i="31"/>
  <c r="M67" i="31"/>
  <c r="K69" i="31"/>
  <c r="M71" i="31"/>
  <c r="M74" i="31"/>
  <c r="K76" i="31"/>
  <c r="M78" i="31"/>
  <c r="M80" i="31"/>
  <c r="M82" i="31"/>
  <c r="M84" i="31"/>
  <c r="K86" i="31"/>
  <c r="M88" i="31"/>
  <c r="N8" i="31"/>
  <c r="N9" i="31"/>
  <c r="N10" i="31"/>
  <c r="N11" i="31"/>
  <c r="N12" i="31"/>
  <c r="N14" i="31"/>
  <c r="N15" i="31"/>
  <c r="N17" i="31"/>
  <c r="I74" i="59"/>
  <c r="K221" i="28"/>
  <c r="M224" i="28"/>
  <c r="M226" i="28"/>
  <c r="M228" i="28"/>
  <c r="N244" i="28"/>
  <c r="M220" i="28"/>
  <c r="M223" i="28"/>
  <c r="M225" i="28"/>
  <c r="K227" i="28"/>
  <c r="M229" i="28"/>
  <c r="I71" i="59" l="1"/>
  <c r="E26" i="58" s="1"/>
  <c r="G26" i="58" s="1"/>
  <c r="I88" i="59"/>
  <c r="E27" i="58" s="1"/>
  <c r="G27" i="58" s="1"/>
  <c r="I61" i="59"/>
  <c r="E25" i="58" s="1"/>
  <c r="G25" i="58" s="1"/>
  <c r="I55" i="59"/>
  <c r="E24" i="58" s="1"/>
  <c r="G24" i="58" s="1"/>
  <c r="I72" i="57"/>
  <c r="E27" i="56" s="1"/>
  <c r="G27" i="56" s="1"/>
  <c r="I63" i="57"/>
  <c r="E26" i="56" s="1"/>
  <c r="G26" i="56" s="1"/>
  <c r="I91" i="59"/>
  <c r="I105" i="59"/>
  <c r="I106" i="59" s="1"/>
  <c r="E29" i="58" s="1"/>
  <c r="G29" i="58" s="1"/>
  <c r="I87" i="57"/>
  <c r="I57" i="57"/>
  <c r="E25" i="56" s="1"/>
  <c r="G25" i="56" s="1"/>
  <c r="E33" i="56"/>
  <c r="G33" i="56" s="1"/>
  <c r="I96" i="57"/>
  <c r="I97" i="57"/>
  <c r="N32" i="31"/>
  <c r="N34" i="31" s="1"/>
  <c r="M90" i="31"/>
  <c r="M92" i="31" s="1"/>
  <c r="M32" i="31"/>
  <c r="M242" i="28"/>
  <c r="M244" i="28" s="1"/>
  <c r="L244" i="28" s="1"/>
  <c r="M164" i="28"/>
  <c r="L164" i="28"/>
  <c r="J164" i="28"/>
  <c r="I164" i="28"/>
  <c r="N164" i="28" s="1"/>
  <c r="M163" i="28"/>
  <c r="L163" i="28"/>
  <c r="K163" i="28"/>
  <c r="J163" i="28"/>
  <c r="I163" i="28"/>
  <c r="M162" i="28"/>
  <c r="L162" i="28"/>
  <c r="K162" i="28"/>
  <c r="J162" i="28"/>
  <c r="I162" i="28"/>
  <c r="N161" i="28"/>
  <c r="M161" i="28"/>
  <c r="L161" i="28"/>
  <c r="J161" i="28"/>
  <c r="I161" i="28"/>
  <c r="M160" i="28"/>
  <c r="I160" i="28"/>
  <c r="M159" i="28"/>
  <c r="I159" i="28"/>
  <c r="M158" i="28"/>
  <c r="L158" i="28"/>
  <c r="K158" i="28"/>
  <c r="J158" i="28"/>
  <c r="I158" i="28"/>
  <c r="M157" i="28"/>
  <c r="L157" i="28"/>
  <c r="K157" i="28"/>
  <c r="J157" i="28"/>
  <c r="I157" i="28"/>
  <c r="L147" i="28"/>
  <c r="L149" i="28" s="1"/>
  <c r="I146" i="28"/>
  <c r="I145" i="28"/>
  <c r="I144" i="28"/>
  <c r="I143" i="28"/>
  <c r="I142" i="28"/>
  <c r="I141" i="28"/>
  <c r="I140" i="28"/>
  <c r="I139" i="28"/>
  <c r="I138" i="28"/>
  <c r="I137" i="28"/>
  <c r="I136" i="28"/>
  <c r="I135" i="28"/>
  <c r="I134" i="28"/>
  <c r="I133" i="28"/>
  <c r="I132" i="28"/>
  <c r="I131" i="28"/>
  <c r="I130" i="28"/>
  <c r="I129" i="28"/>
  <c r="I128" i="28"/>
  <c r="I127" i="28"/>
  <c r="I126" i="28"/>
  <c r="I125" i="28"/>
  <c r="I124" i="28"/>
  <c r="I123" i="28"/>
  <c r="I122" i="28"/>
  <c r="I121" i="28"/>
  <c r="I120" i="28"/>
  <c r="I119" i="28"/>
  <c r="I118" i="28"/>
  <c r="I117" i="28"/>
  <c r="I116" i="28"/>
  <c r="I115" i="28"/>
  <c r="I114" i="28"/>
  <c r="I113" i="28"/>
  <c r="I112" i="28"/>
  <c r="I111" i="28"/>
  <c r="N68" i="28"/>
  <c r="M68" i="28"/>
  <c r="L68" i="28"/>
  <c r="L82" i="28" s="1"/>
  <c r="I67" i="28"/>
  <c r="I66" i="28"/>
  <c r="I65" i="28"/>
  <c r="I64" i="28"/>
  <c r="I63" i="28"/>
  <c r="I62" i="28"/>
  <c r="I61" i="28"/>
  <c r="I60" i="28"/>
  <c r="I59" i="28"/>
  <c r="I58" i="28"/>
  <c r="I57" i="28"/>
  <c r="I56" i="28"/>
  <c r="I55" i="28"/>
  <c r="I54" i="28"/>
  <c r="I53" i="28"/>
  <c r="I52" i="28"/>
  <c r="I51" i="28"/>
  <c r="I50" i="28"/>
  <c r="I49" i="28"/>
  <c r="I48" i="28"/>
  <c r="I47" i="28"/>
  <c r="I46" i="28"/>
  <c r="I45" i="28"/>
  <c r="I44" i="28"/>
  <c r="I43" i="28"/>
  <c r="I42" i="28"/>
  <c r="I41" i="28"/>
  <c r="I40" i="28"/>
  <c r="I39" i="28"/>
  <c r="I38" i="28"/>
  <c r="N18" i="28"/>
  <c r="M18" i="28"/>
  <c r="L18" i="28"/>
  <c r="J18" i="28"/>
  <c r="I18" i="28"/>
  <c r="M17" i="28"/>
  <c r="L17" i="28"/>
  <c r="K17" i="28"/>
  <c r="J17" i="28"/>
  <c r="I17" i="28"/>
  <c r="M16" i="28"/>
  <c r="L16" i="28"/>
  <c r="K16" i="28"/>
  <c r="J16" i="28"/>
  <c r="I16" i="28"/>
  <c r="M15" i="28"/>
  <c r="L15" i="28"/>
  <c r="K15" i="28"/>
  <c r="J15" i="28"/>
  <c r="I15" i="28"/>
  <c r="N14" i="28"/>
  <c r="M14" i="28"/>
  <c r="L14" i="28"/>
  <c r="J14" i="28"/>
  <c r="I14" i="28"/>
  <c r="M13" i="28"/>
  <c r="L13" i="28"/>
  <c r="K13" i="28"/>
  <c r="J13" i="28"/>
  <c r="I13" i="28"/>
  <c r="M12" i="28"/>
  <c r="L12" i="28"/>
  <c r="K12" i="28"/>
  <c r="J12" i="28"/>
  <c r="I12" i="28"/>
  <c r="M11" i="28"/>
  <c r="L11" i="28"/>
  <c r="K11" i="28"/>
  <c r="J11" i="28"/>
  <c r="I11" i="28"/>
  <c r="M10" i="28"/>
  <c r="L10" i="28"/>
  <c r="K10" i="28"/>
  <c r="J10" i="28"/>
  <c r="I10" i="28"/>
  <c r="M9" i="28"/>
  <c r="L9" i="28"/>
  <c r="K9" i="28"/>
  <c r="J9" i="28"/>
  <c r="I9" i="28"/>
  <c r="M8" i="28"/>
  <c r="L8" i="28"/>
  <c r="K8" i="28"/>
  <c r="J8" i="28"/>
  <c r="I8" i="28"/>
  <c r="I101" i="59" l="1"/>
  <c r="E28" i="58" s="1"/>
  <c r="G28" i="58" s="1"/>
  <c r="L92" i="31"/>
  <c r="H9" i="84"/>
  <c r="H50" i="57" s="1"/>
  <c r="I99" i="57"/>
  <c r="E30" i="56" s="1"/>
  <c r="G30" i="56" s="1"/>
  <c r="M34" i="31"/>
  <c r="L34" i="31" s="1"/>
  <c r="L28" i="28"/>
  <c r="N8" i="28"/>
  <c r="N10" i="28"/>
  <c r="N12" i="28"/>
  <c r="M111" i="28"/>
  <c r="N113" i="28"/>
  <c r="M115" i="28"/>
  <c r="M117" i="28"/>
  <c r="M119" i="28"/>
  <c r="K121" i="28"/>
  <c r="M123" i="28"/>
  <c r="M125" i="28"/>
  <c r="M127" i="28"/>
  <c r="M129" i="28"/>
  <c r="K131" i="28"/>
  <c r="M133" i="28"/>
  <c r="M135" i="28"/>
  <c r="K137" i="28"/>
  <c r="M139" i="28"/>
  <c r="M141" i="28"/>
  <c r="K143" i="28"/>
  <c r="M180" i="28"/>
  <c r="M194" i="28" s="1"/>
  <c r="N158" i="28"/>
  <c r="N162" i="28"/>
  <c r="M28" i="28"/>
  <c r="M30" i="28" s="1"/>
  <c r="L30" i="28" s="1"/>
  <c r="K38" i="28"/>
  <c r="K40" i="28"/>
  <c r="K42" i="28"/>
  <c r="K44" i="28"/>
  <c r="K46" i="28"/>
  <c r="K48" i="28"/>
  <c r="K50" i="28"/>
  <c r="K52" i="28"/>
  <c r="K54" i="28"/>
  <c r="K56" i="28"/>
  <c r="K58" i="28"/>
  <c r="K60" i="28"/>
  <c r="K62" i="28"/>
  <c r="K64" i="28"/>
  <c r="K66" i="28"/>
  <c r="L180" i="28"/>
  <c r="M145" i="28"/>
  <c r="N9" i="28"/>
  <c r="N11" i="28"/>
  <c r="N13" i="28"/>
  <c r="K14" i="28"/>
  <c r="N15" i="28"/>
  <c r="N16" i="28"/>
  <c r="N17" i="28"/>
  <c r="K18" i="28"/>
  <c r="K39" i="28"/>
  <c r="K41" i="28"/>
  <c r="K43" i="28"/>
  <c r="K45" i="28"/>
  <c r="K47" i="28"/>
  <c r="K49" i="28"/>
  <c r="K51" i="28"/>
  <c r="K53" i="28"/>
  <c r="K55" i="28"/>
  <c r="K57" i="28"/>
  <c r="K59" i="28"/>
  <c r="K61" i="28"/>
  <c r="K63" i="28"/>
  <c r="K65" i="28"/>
  <c r="L70" i="28"/>
  <c r="K112" i="28"/>
  <c r="K114" i="28"/>
  <c r="M116" i="28"/>
  <c r="M118" i="28"/>
  <c r="M120" i="28"/>
  <c r="M122" i="28"/>
  <c r="M124" i="28"/>
  <c r="M126" i="28"/>
  <c r="K128" i="28"/>
  <c r="M130" i="28"/>
  <c r="M132" i="28"/>
  <c r="K134" i="28"/>
  <c r="M136" i="28"/>
  <c r="M138" i="28"/>
  <c r="K140" i="28"/>
  <c r="M142" i="28"/>
  <c r="M144" i="28"/>
  <c r="N157" i="28"/>
  <c r="N163" i="28"/>
  <c r="K164" i="28"/>
  <c r="N159" i="28"/>
  <c r="N160" i="28"/>
  <c r="K161" i="28"/>
  <c r="K180" i="28" l="1"/>
  <c r="K182" i="28" s="1"/>
  <c r="M83" i="28"/>
  <c r="M182" i="28"/>
  <c r="L182" i="28"/>
  <c r="M147" i="28"/>
  <c r="M149" i="28" s="1"/>
  <c r="K28" i="28"/>
  <c r="K30" i="28" s="1"/>
  <c r="N28" i="28"/>
  <c r="N84" i="28" s="1"/>
  <c r="N180" i="28"/>
  <c r="I138" i="69"/>
  <c r="N30" i="28" l="1"/>
  <c r="N195" i="28"/>
  <c r="N182" i="28"/>
  <c r="I137" i="69" l="1"/>
  <c r="I132" i="69"/>
  <c r="I130" i="69"/>
  <c r="I128" i="69"/>
  <c r="I119" i="69"/>
  <c r="I112" i="69"/>
  <c r="I108" i="69"/>
  <c r="I120" i="69"/>
  <c r="I96" i="69"/>
  <c r="I98" i="69"/>
  <c r="I97" i="69"/>
  <c r="I94" i="69"/>
  <c r="I93" i="69"/>
  <c r="I72" i="69"/>
  <c r="I71" i="69"/>
  <c r="I70" i="69"/>
  <c r="I69" i="69"/>
  <c r="I68" i="69"/>
  <c r="I86" i="69"/>
  <c r="I61" i="69"/>
  <c r="I60" i="69"/>
  <c r="I52" i="69"/>
  <c r="I64" i="69" l="1"/>
  <c r="I57" i="69"/>
  <c r="I45" i="69"/>
  <c r="I92" i="69"/>
  <c r="I49" i="69"/>
  <c r="I83" i="69"/>
  <c r="I87" i="69" s="1"/>
  <c r="I67" i="69"/>
  <c r="I90" i="69"/>
  <c r="I117" i="69"/>
  <c r="I118" i="69"/>
  <c r="I140" i="69"/>
  <c r="I141" i="69"/>
  <c r="I131" i="69"/>
  <c r="I145" i="69"/>
  <c r="I134" i="69"/>
  <c r="I149" i="69"/>
  <c r="I66" i="69"/>
  <c r="I102" i="69"/>
  <c r="I107" i="69"/>
  <c r="I109" i="69"/>
  <c r="I143" i="69"/>
  <c r="I144" i="69"/>
  <c r="I146" i="69"/>
  <c r="I135" i="69"/>
  <c r="I47" i="69"/>
  <c r="I53" i="69"/>
  <c r="N100" i="26"/>
  <c r="L100" i="26"/>
  <c r="I97" i="26"/>
  <c r="I96" i="26"/>
  <c r="I95" i="26"/>
  <c r="I94" i="26"/>
  <c r="I93" i="26"/>
  <c r="I92" i="26"/>
  <c r="I91" i="26"/>
  <c r="I90" i="26"/>
  <c r="I89" i="26"/>
  <c r="I88" i="26"/>
  <c r="I87" i="26"/>
  <c r="I86" i="26"/>
  <c r="I85" i="26"/>
  <c r="I84" i="26"/>
  <c r="I83" i="26"/>
  <c r="I82" i="26"/>
  <c r="I81" i="26"/>
  <c r="I80" i="26"/>
  <c r="I79" i="26"/>
  <c r="I78" i="26"/>
  <c r="I77" i="26"/>
  <c r="I76" i="26"/>
  <c r="I75" i="26"/>
  <c r="I74" i="26"/>
  <c r="I73" i="26"/>
  <c r="I72" i="26"/>
  <c r="I71" i="26"/>
  <c r="I70" i="26"/>
  <c r="I69" i="26"/>
  <c r="L66" i="26"/>
  <c r="I65" i="26"/>
  <c r="I64" i="26"/>
  <c r="I63" i="26"/>
  <c r="I62" i="26"/>
  <c r="I61" i="26"/>
  <c r="I60" i="26"/>
  <c r="I59" i="26"/>
  <c r="I58" i="26"/>
  <c r="I57" i="26"/>
  <c r="I56" i="26"/>
  <c r="I55" i="26"/>
  <c r="I54" i="26"/>
  <c r="I53" i="26"/>
  <c r="I52" i="26"/>
  <c r="I51" i="26"/>
  <c r="I50" i="26"/>
  <c r="I49" i="26"/>
  <c r="I48" i="26"/>
  <c r="I47" i="26"/>
  <c r="I46" i="26"/>
  <c r="I45" i="26"/>
  <c r="I44" i="26"/>
  <c r="I43" i="26"/>
  <c r="I40" i="26"/>
  <c r="I39" i="26"/>
  <c r="I38" i="26"/>
  <c r="I37" i="26"/>
  <c r="N22" i="26"/>
  <c r="M22" i="26"/>
  <c r="L22" i="26"/>
  <c r="J22" i="26"/>
  <c r="I22" i="26"/>
  <c r="M21" i="26"/>
  <c r="L21" i="26"/>
  <c r="J21" i="26"/>
  <c r="I21" i="26"/>
  <c r="K21" i="26" s="1"/>
  <c r="M20" i="26"/>
  <c r="L20" i="26"/>
  <c r="K20" i="26"/>
  <c r="J20" i="26"/>
  <c r="I20" i="26"/>
  <c r="M19" i="26"/>
  <c r="L19" i="26"/>
  <c r="K19" i="26"/>
  <c r="J19" i="26"/>
  <c r="I19" i="26"/>
  <c r="M18" i="26"/>
  <c r="L18" i="26"/>
  <c r="K18" i="26"/>
  <c r="J18" i="26"/>
  <c r="I18" i="26"/>
  <c r="M17" i="26"/>
  <c r="L17" i="26"/>
  <c r="J17" i="26"/>
  <c r="I17" i="26"/>
  <c r="N17" i="26" s="1"/>
  <c r="M16" i="26"/>
  <c r="L16" i="26"/>
  <c r="K16" i="26"/>
  <c r="J16" i="26"/>
  <c r="I16" i="26"/>
  <c r="M15" i="26"/>
  <c r="L15" i="26"/>
  <c r="K15" i="26"/>
  <c r="J15" i="26"/>
  <c r="I15" i="26"/>
  <c r="M14" i="26"/>
  <c r="L14" i="26"/>
  <c r="K14" i="26"/>
  <c r="J14" i="26"/>
  <c r="I14" i="26"/>
  <c r="M13" i="26"/>
  <c r="L13" i="26"/>
  <c r="K13" i="26"/>
  <c r="J13" i="26"/>
  <c r="I13" i="26"/>
  <c r="M12" i="26"/>
  <c r="L12" i="26"/>
  <c r="K12" i="26"/>
  <c r="J12" i="26"/>
  <c r="I12" i="26"/>
  <c r="M11" i="26"/>
  <c r="L11" i="26"/>
  <c r="K11" i="26"/>
  <c r="J11" i="26"/>
  <c r="I11" i="26"/>
  <c r="M10" i="26"/>
  <c r="L10" i="26"/>
  <c r="K10" i="26"/>
  <c r="J10" i="26"/>
  <c r="I10" i="26"/>
  <c r="M9" i="26"/>
  <c r="L9" i="26"/>
  <c r="K9" i="26"/>
  <c r="J9" i="26"/>
  <c r="I9" i="26"/>
  <c r="E28" i="68" l="1"/>
  <c r="G28" i="68" s="1"/>
  <c r="E26" i="68"/>
  <c r="G26" i="68" s="1"/>
  <c r="I73" i="69"/>
  <c r="L34" i="26"/>
  <c r="L36" i="26" s="1"/>
  <c r="M52" i="26"/>
  <c r="M56" i="26"/>
  <c r="K60" i="26"/>
  <c r="M64" i="26"/>
  <c r="M70" i="26"/>
  <c r="M50" i="26"/>
  <c r="M54" i="26"/>
  <c r="M58" i="26"/>
  <c r="M62" i="26"/>
  <c r="M92" i="26"/>
  <c r="M96" i="26"/>
  <c r="M34" i="26"/>
  <c r="M36" i="26" s="1"/>
  <c r="I157" i="69"/>
  <c r="N10" i="26"/>
  <c r="N12" i="26"/>
  <c r="N14" i="26"/>
  <c r="N16" i="26"/>
  <c r="K17" i="26"/>
  <c r="N18" i="26"/>
  <c r="N20" i="26"/>
  <c r="M37" i="26"/>
  <c r="N39" i="26"/>
  <c r="M43" i="26"/>
  <c r="M45" i="26"/>
  <c r="M47" i="26"/>
  <c r="M49" i="26"/>
  <c r="K51" i="26"/>
  <c r="M53" i="26"/>
  <c r="M55" i="26"/>
  <c r="M57" i="26"/>
  <c r="M59" i="26"/>
  <c r="M61" i="26"/>
  <c r="M63" i="26"/>
  <c r="M72" i="26"/>
  <c r="M74" i="26"/>
  <c r="K76" i="26"/>
  <c r="M78" i="26"/>
  <c r="M80" i="26"/>
  <c r="K82" i="26"/>
  <c r="M84" i="26"/>
  <c r="M86" i="26"/>
  <c r="K88" i="26"/>
  <c r="M90" i="26"/>
  <c r="K94" i="26"/>
  <c r="I43" i="69"/>
  <c r="I44" i="69"/>
  <c r="I48" i="69"/>
  <c r="I124" i="69"/>
  <c r="N9" i="26"/>
  <c r="N11" i="26"/>
  <c r="N13" i="26"/>
  <c r="N15" i="26"/>
  <c r="N19" i="26"/>
  <c r="N21" i="26"/>
  <c r="K22" i="26"/>
  <c r="K38" i="26"/>
  <c r="K40" i="26"/>
  <c r="M44" i="26"/>
  <c r="M46" i="26"/>
  <c r="M48" i="26"/>
  <c r="M69" i="26"/>
  <c r="M71" i="26"/>
  <c r="K73" i="26"/>
  <c r="M75" i="26"/>
  <c r="M77" i="26"/>
  <c r="K79" i="26"/>
  <c r="M81" i="26"/>
  <c r="M83" i="26"/>
  <c r="K85" i="26"/>
  <c r="M87" i="26"/>
  <c r="M89" i="26"/>
  <c r="K91" i="26"/>
  <c r="M93" i="26"/>
  <c r="M95" i="26"/>
  <c r="I103" i="69"/>
  <c r="I151" i="54"/>
  <c r="I149" i="54"/>
  <c r="I131" i="54"/>
  <c r="I130" i="54"/>
  <c r="I128" i="54"/>
  <c r="I139" i="54"/>
  <c r="I132" i="54"/>
  <c r="I115" i="54"/>
  <c r="I114" i="54"/>
  <c r="I113" i="54"/>
  <c r="H111" i="54"/>
  <c r="I111" i="54" s="1"/>
  <c r="I108" i="54"/>
  <c r="I106" i="54"/>
  <c r="H117" i="54"/>
  <c r="I117" i="54" s="1"/>
  <c r="E33" i="68" l="1"/>
  <c r="G33" i="68" s="1"/>
  <c r="E32" i="68"/>
  <c r="G32" i="68" s="1"/>
  <c r="E27" i="68"/>
  <c r="G27" i="68" s="1"/>
  <c r="I140" i="54"/>
  <c r="K34" i="26"/>
  <c r="K36" i="26" s="1"/>
  <c r="I54" i="69"/>
  <c r="I109" i="54"/>
  <c r="I121" i="54"/>
  <c r="I137" i="54"/>
  <c r="I123" i="54"/>
  <c r="I138" i="54"/>
  <c r="I141" i="54"/>
  <c r="I127" i="54"/>
  <c r="I144" i="54"/>
  <c r="M98" i="26"/>
  <c r="M100" i="26" s="1"/>
  <c r="N34" i="26"/>
  <c r="N36" i="26" s="1"/>
  <c r="M66" i="26"/>
  <c r="I126" i="54"/>
  <c r="I84" i="54"/>
  <c r="I83" i="54"/>
  <c r="I82" i="54"/>
  <c r="I79" i="54"/>
  <c r="I78" i="54"/>
  <c r="I77" i="54"/>
  <c r="I76" i="54"/>
  <c r="I70" i="54"/>
  <c r="I69" i="54"/>
  <c r="I67" i="54"/>
  <c r="I56" i="54"/>
  <c r="I43" i="54"/>
  <c r="I40" i="54"/>
  <c r="I39" i="54"/>
  <c r="N118" i="24"/>
  <c r="L118" i="24"/>
  <c r="I106" i="24"/>
  <c r="I105" i="24"/>
  <c r="I104" i="24"/>
  <c r="I103" i="24"/>
  <c r="I102" i="24"/>
  <c r="I101" i="24"/>
  <c r="I100" i="24"/>
  <c r="I99" i="24"/>
  <c r="I98" i="24"/>
  <c r="I97" i="24"/>
  <c r="I79" i="24"/>
  <c r="I78" i="24"/>
  <c r="I77" i="24"/>
  <c r="N76" i="24"/>
  <c r="M76" i="24"/>
  <c r="L76" i="24"/>
  <c r="J76" i="24"/>
  <c r="I76" i="24"/>
  <c r="M75" i="24"/>
  <c r="L75" i="24"/>
  <c r="K75" i="24"/>
  <c r="J75" i="24"/>
  <c r="I75" i="24"/>
  <c r="M74" i="24"/>
  <c r="L74" i="24"/>
  <c r="K74" i="24"/>
  <c r="J74" i="24"/>
  <c r="I74" i="24"/>
  <c r="N73" i="24"/>
  <c r="M73" i="24"/>
  <c r="L73" i="24"/>
  <c r="J73" i="24"/>
  <c r="I73" i="24"/>
  <c r="I72" i="24"/>
  <c r="M71" i="24"/>
  <c r="L71" i="24"/>
  <c r="K71" i="24"/>
  <c r="J71" i="24"/>
  <c r="I71" i="24"/>
  <c r="M70" i="24"/>
  <c r="L70" i="24"/>
  <c r="K70" i="24"/>
  <c r="J70" i="24"/>
  <c r="I70" i="24"/>
  <c r="M69" i="24"/>
  <c r="L69" i="24"/>
  <c r="K69" i="24"/>
  <c r="J69" i="24"/>
  <c r="I69" i="24"/>
  <c r="N58" i="24"/>
  <c r="L58" i="24"/>
  <c r="I56" i="24"/>
  <c r="I55" i="24"/>
  <c r="I54" i="24"/>
  <c r="I53" i="24"/>
  <c r="I52" i="24"/>
  <c r="I51" i="24"/>
  <c r="I50" i="24"/>
  <c r="I49" i="24"/>
  <c r="I48" i="24"/>
  <c r="I46" i="24"/>
  <c r="I45" i="24"/>
  <c r="I44" i="24"/>
  <c r="I43" i="24"/>
  <c r="I42" i="24"/>
  <c r="I41" i="24"/>
  <c r="I40" i="24"/>
  <c r="I39" i="24"/>
  <c r="I37" i="24"/>
  <c r="I36" i="24"/>
  <c r="M97" i="24" l="1"/>
  <c r="N72" i="24"/>
  <c r="K101" i="24"/>
  <c r="M105" i="24"/>
  <c r="E24" i="68"/>
  <c r="G24" i="68" s="1"/>
  <c r="I118" i="54"/>
  <c r="G30" i="55" s="1"/>
  <c r="I30" i="55" s="1"/>
  <c r="I86" i="54"/>
  <c r="G26" i="55" s="1"/>
  <c r="I26" i="55" s="1"/>
  <c r="I97" i="54"/>
  <c r="I94" i="54"/>
  <c r="I95" i="54"/>
  <c r="I45" i="54"/>
  <c r="I93" i="54"/>
  <c r="I92" i="54"/>
  <c r="I90" i="54"/>
  <c r="I89" i="54"/>
  <c r="I53" i="54"/>
  <c r="I52" i="54"/>
  <c r="M40" i="24"/>
  <c r="M44" i="24"/>
  <c r="M49" i="24"/>
  <c r="K53" i="24"/>
  <c r="K78" i="24"/>
  <c r="M99" i="24"/>
  <c r="M103" i="24"/>
  <c r="K37" i="24"/>
  <c r="M42" i="24"/>
  <c r="K46" i="24"/>
  <c r="M51" i="24"/>
  <c r="M55" i="24"/>
  <c r="L84" i="24"/>
  <c r="M36" i="24"/>
  <c r="M39" i="24"/>
  <c r="M41" i="24"/>
  <c r="K43" i="24"/>
  <c r="M45" i="24"/>
  <c r="M48" i="24"/>
  <c r="K50" i="24"/>
  <c r="M52" i="24"/>
  <c r="M54" i="24"/>
  <c r="N70" i="24"/>
  <c r="K73" i="24"/>
  <c r="N74" i="24"/>
  <c r="I62" i="54"/>
  <c r="I63" i="54"/>
  <c r="I64" i="54"/>
  <c r="I88" i="54"/>
  <c r="M68" i="26"/>
  <c r="N60" i="24"/>
  <c r="N69" i="24"/>
  <c r="N71" i="24"/>
  <c r="N75" i="24"/>
  <c r="K76" i="24"/>
  <c r="M84" i="24"/>
  <c r="M86" i="24" s="1"/>
  <c r="M98" i="24"/>
  <c r="M100" i="24"/>
  <c r="M102" i="24"/>
  <c r="K104" i="24"/>
  <c r="I41" i="54"/>
  <c r="I44" i="54"/>
  <c r="I91" i="54"/>
  <c r="I96" i="54"/>
  <c r="I124" i="54"/>
  <c r="I152" i="54" s="1"/>
  <c r="G31" i="55" s="1"/>
  <c r="I31" i="55" s="1"/>
  <c r="I58" i="54"/>
  <c r="I59" i="54"/>
  <c r="I65" i="54"/>
  <c r="I68" i="54"/>
  <c r="I19" i="24"/>
  <c r="I18" i="24"/>
  <c r="I17" i="24"/>
  <c r="N15" i="24"/>
  <c r="M15" i="24"/>
  <c r="L15" i="24"/>
  <c r="J15" i="24"/>
  <c r="I15" i="24"/>
  <c r="M14" i="24"/>
  <c r="L14" i="24"/>
  <c r="K14" i="24"/>
  <c r="J14" i="24"/>
  <c r="I14" i="24"/>
  <c r="M13" i="24"/>
  <c r="L13" i="24"/>
  <c r="K13" i="24"/>
  <c r="J13" i="24"/>
  <c r="I13" i="24"/>
  <c r="N12" i="24"/>
  <c r="M12" i="24"/>
  <c r="L12" i="24"/>
  <c r="J12" i="24"/>
  <c r="I12" i="24"/>
  <c r="M11" i="24"/>
  <c r="L11" i="24"/>
  <c r="K11" i="24"/>
  <c r="J11" i="24"/>
  <c r="I11" i="24"/>
  <c r="M10" i="24"/>
  <c r="L10" i="24"/>
  <c r="K10" i="24"/>
  <c r="J10" i="24"/>
  <c r="I10" i="24"/>
  <c r="M9" i="24"/>
  <c r="L9" i="24"/>
  <c r="K9" i="24"/>
  <c r="J9" i="24"/>
  <c r="I9" i="24"/>
  <c r="M8" i="24"/>
  <c r="L8" i="24"/>
  <c r="K8" i="24"/>
  <c r="J8" i="24"/>
  <c r="I8" i="24"/>
  <c r="L68" i="26" l="1"/>
  <c r="C84" i="83"/>
  <c r="D85" i="83" s="1"/>
  <c r="H48" i="54" s="1"/>
  <c r="I48" i="54" s="1"/>
  <c r="L86" i="24"/>
  <c r="I73" i="54"/>
  <c r="G25" i="55" s="1"/>
  <c r="I98" i="54"/>
  <c r="G27" i="55" s="1"/>
  <c r="I27" i="55" s="1"/>
  <c r="I54" i="54"/>
  <c r="G23" i="55" s="1"/>
  <c r="I23" i="55" s="1"/>
  <c r="L24" i="24"/>
  <c r="N10" i="24"/>
  <c r="N14" i="24"/>
  <c r="N8" i="24"/>
  <c r="M116" i="24"/>
  <c r="M118" i="24" s="1"/>
  <c r="K15" i="24"/>
  <c r="N84" i="24"/>
  <c r="N86" i="24" s="1"/>
  <c r="M24" i="24"/>
  <c r="M26" i="24" s="1"/>
  <c r="N9" i="24"/>
  <c r="N11" i="24"/>
  <c r="K12" i="24"/>
  <c r="N13" i="24"/>
  <c r="K18" i="24"/>
  <c r="M58" i="24"/>
  <c r="M60" i="24" s="1"/>
  <c r="L60" i="24" s="1"/>
  <c r="I57" i="54"/>
  <c r="I101" i="54"/>
  <c r="L26" i="24" l="1"/>
  <c r="I25" i="55"/>
  <c r="I60" i="54"/>
  <c r="G24" i="55" s="1"/>
  <c r="I24" i="55" s="1"/>
  <c r="N24" i="24"/>
  <c r="N26" i="24" s="1"/>
  <c r="M101" i="20"/>
  <c r="N97" i="20"/>
  <c r="M97" i="20"/>
  <c r="I97" i="20"/>
  <c r="N96" i="20"/>
  <c r="K96" i="20"/>
  <c r="I96" i="20"/>
  <c r="N95" i="20"/>
  <c r="K95" i="20"/>
  <c r="I95" i="20"/>
  <c r="N94" i="20"/>
  <c r="M94" i="20"/>
  <c r="I94" i="20"/>
  <c r="N93" i="20"/>
  <c r="K93" i="20"/>
  <c r="I93" i="20"/>
  <c r="N92" i="20"/>
  <c r="K92" i="20"/>
  <c r="I92" i="20"/>
  <c r="N91" i="20"/>
  <c r="M91" i="20"/>
  <c r="L91" i="20"/>
  <c r="J91" i="20"/>
  <c r="I91" i="20"/>
  <c r="N90" i="20"/>
  <c r="L90" i="20"/>
  <c r="K90" i="20"/>
  <c r="J90" i="20"/>
  <c r="I90" i="20"/>
  <c r="N89" i="20"/>
  <c r="L89" i="20"/>
  <c r="K89" i="20"/>
  <c r="J89" i="20"/>
  <c r="I89" i="20"/>
  <c r="N88" i="20"/>
  <c r="M88" i="20"/>
  <c r="L88" i="20"/>
  <c r="J88" i="20"/>
  <c r="I88" i="20"/>
  <c r="N87" i="20"/>
  <c r="L87" i="20"/>
  <c r="K87" i="20"/>
  <c r="J87" i="20"/>
  <c r="I87" i="20"/>
  <c r="I86" i="20"/>
  <c r="N85" i="20"/>
  <c r="M85" i="20"/>
  <c r="L85" i="20"/>
  <c r="J85" i="20"/>
  <c r="I85" i="20"/>
  <c r="N84" i="20"/>
  <c r="L84" i="20"/>
  <c r="K84" i="20"/>
  <c r="J84" i="20"/>
  <c r="I84" i="20"/>
  <c r="I83" i="20"/>
  <c r="N79" i="20"/>
  <c r="N81" i="20" s="1"/>
  <c r="L79" i="20"/>
  <c r="L81" i="20" s="1"/>
  <c r="I78" i="20"/>
  <c r="I77" i="20"/>
  <c r="I76" i="20"/>
  <c r="I75" i="20"/>
  <c r="I74" i="20"/>
  <c r="I73" i="20"/>
  <c r="I72" i="20"/>
  <c r="I71" i="20"/>
  <c r="I70" i="20"/>
  <c r="I69" i="20"/>
  <c r="I68" i="20"/>
  <c r="I67" i="20"/>
  <c r="I66" i="20"/>
  <c r="I65" i="20"/>
  <c r="I64" i="20"/>
  <c r="I63" i="20"/>
  <c r="I62" i="20"/>
  <c r="I61" i="20"/>
  <c r="I60" i="20"/>
  <c r="I59" i="20"/>
  <c r="I58" i="20"/>
  <c r="I57" i="20"/>
  <c r="I56" i="20"/>
  <c r="I55" i="20"/>
  <c r="I53" i="20"/>
  <c r="I52" i="20"/>
  <c r="N49" i="20"/>
  <c r="M49" i="20"/>
  <c r="L49" i="20"/>
  <c r="I43" i="20"/>
  <c r="I42" i="20"/>
  <c r="I41" i="20"/>
  <c r="I40" i="20"/>
  <c r="I39" i="20"/>
  <c r="I38" i="20"/>
  <c r="I37" i="20"/>
  <c r="I36" i="20"/>
  <c r="I35" i="20"/>
  <c r="I34" i="20"/>
  <c r="I33" i="20"/>
  <c r="I32" i="20"/>
  <c r="N20" i="20"/>
  <c r="M20" i="20"/>
  <c r="L20" i="20"/>
  <c r="J20" i="20"/>
  <c r="I20" i="20"/>
  <c r="D20" i="20"/>
  <c r="M19" i="20"/>
  <c r="L19" i="20"/>
  <c r="K19" i="20"/>
  <c r="J19" i="20"/>
  <c r="I19" i="20"/>
  <c r="M18" i="20"/>
  <c r="L18" i="20"/>
  <c r="K18" i="20"/>
  <c r="J18" i="20"/>
  <c r="I18" i="20"/>
  <c r="N17" i="20"/>
  <c r="M17" i="20"/>
  <c r="L17" i="20"/>
  <c r="J17" i="20"/>
  <c r="I17" i="20"/>
  <c r="M16" i="20"/>
  <c r="L16" i="20"/>
  <c r="K16" i="20"/>
  <c r="J16" i="20"/>
  <c r="I16" i="20"/>
  <c r="M15" i="20"/>
  <c r="L15" i="20"/>
  <c r="K15" i="20"/>
  <c r="J15" i="20"/>
  <c r="I15" i="20"/>
  <c r="M14" i="20"/>
  <c r="L14" i="20"/>
  <c r="K14" i="20"/>
  <c r="J14" i="20"/>
  <c r="I14" i="20"/>
  <c r="M13" i="20"/>
  <c r="L13" i="20"/>
  <c r="K13" i="20"/>
  <c r="J13" i="20"/>
  <c r="I13" i="20"/>
  <c r="M12" i="20"/>
  <c r="L12" i="20"/>
  <c r="K12" i="20"/>
  <c r="J12" i="20"/>
  <c r="I12" i="20"/>
  <c r="M11" i="20"/>
  <c r="L11" i="20"/>
  <c r="K11" i="20"/>
  <c r="J11" i="20"/>
  <c r="I11" i="20"/>
  <c r="M10" i="20"/>
  <c r="L10" i="20"/>
  <c r="K10" i="20"/>
  <c r="J10" i="20"/>
  <c r="I10" i="20"/>
  <c r="M9" i="20"/>
  <c r="L9" i="20"/>
  <c r="K9" i="20"/>
  <c r="J9" i="20"/>
  <c r="I9" i="20"/>
  <c r="J139" i="51"/>
  <c r="N11" i="20" l="1"/>
  <c r="N15" i="20"/>
  <c r="N19" i="20"/>
  <c r="K33" i="20"/>
  <c r="K37" i="20"/>
  <c r="K41" i="20"/>
  <c r="N9" i="20"/>
  <c r="N13" i="20"/>
  <c r="K35" i="20"/>
  <c r="K39" i="20"/>
  <c r="I26" i="52"/>
  <c r="L28" i="20"/>
  <c r="L30" i="20" s="1"/>
  <c r="I30" i="52"/>
  <c r="M83" i="20"/>
  <c r="K97" i="20"/>
  <c r="M28" i="20"/>
  <c r="M30" i="20" s="1"/>
  <c r="N51" i="20"/>
  <c r="K53" i="20"/>
  <c r="M56" i="20"/>
  <c r="M58" i="20"/>
  <c r="M60" i="20"/>
  <c r="M62" i="20"/>
  <c r="M64" i="20"/>
  <c r="M66" i="20"/>
  <c r="M68" i="20"/>
  <c r="M70" i="20"/>
  <c r="K72" i="20"/>
  <c r="M74" i="20"/>
  <c r="M76" i="20"/>
  <c r="L104" i="20"/>
  <c r="N10" i="20"/>
  <c r="N12" i="20"/>
  <c r="N14" i="20"/>
  <c r="N16" i="20"/>
  <c r="K17" i="20"/>
  <c r="N18" i="20"/>
  <c r="K20" i="20"/>
  <c r="K32" i="20"/>
  <c r="K34" i="20"/>
  <c r="K36" i="20"/>
  <c r="K38" i="20"/>
  <c r="K40" i="20"/>
  <c r="K42" i="20"/>
  <c r="M52" i="20"/>
  <c r="M55" i="20"/>
  <c r="M57" i="20"/>
  <c r="M59" i="20"/>
  <c r="M61" i="20"/>
  <c r="K63" i="20"/>
  <c r="M65" i="20"/>
  <c r="M67" i="20"/>
  <c r="M69" i="20"/>
  <c r="M71" i="20"/>
  <c r="M73" i="20"/>
  <c r="K75" i="20"/>
  <c r="M77" i="20"/>
  <c r="K85" i="20"/>
  <c r="M86" i="20"/>
  <c r="M87" i="20"/>
  <c r="M89" i="20"/>
  <c r="K91" i="20"/>
  <c r="M93" i="20"/>
  <c r="K94" i="20"/>
  <c r="M95" i="20"/>
  <c r="M51" i="20"/>
  <c r="L51" i="20" s="1"/>
  <c r="M84" i="20"/>
  <c r="K88" i="20"/>
  <c r="M90" i="20"/>
  <c r="M92" i="20"/>
  <c r="M96" i="20"/>
  <c r="N104" i="20"/>
  <c r="J137" i="51"/>
  <c r="J132" i="51"/>
  <c r="J131" i="51"/>
  <c r="J143" i="51"/>
  <c r="J129" i="51"/>
  <c r="J142" i="51"/>
  <c r="J120" i="51"/>
  <c r="J125" i="51"/>
  <c r="J115" i="51"/>
  <c r="J109" i="51"/>
  <c r="J121" i="51"/>
  <c r="M79" i="20" l="1"/>
  <c r="I24" i="52"/>
  <c r="I25" i="52"/>
  <c r="I23" i="52"/>
  <c r="K28" i="20"/>
  <c r="K30" i="20" s="1"/>
  <c r="M104" i="20"/>
  <c r="N28" i="20"/>
  <c r="N30" i="20" s="1"/>
  <c r="C100" i="79" s="1"/>
  <c r="D101" i="79" s="1"/>
  <c r="I32" i="51" s="1"/>
  <c r="J32" i="51" s="1"/>
  <c r="K104" i="20"/>
  <c r="K106" i="20" s="1"/>
  <c r="J100" i="51"/>
  <c r="J111" i="51"/>
  <c r="J145" i="51"/>
  <c r="J147" i="51"/>
  <c r="J155" i="51"/>
  <c r="J122" i="51"/>
  <c r="J112" i="51"/>
  <c r="J144" i="51"/>
  <c r="J133" i="51"/>
  <c r="J135" i="51"/>
  <c r="J96" i="51"/>
  <c r="J83" i="51"/>
  <c r="J82" i="51"/>
  <c r="J81" i="51"/>
  <c r="J77" i="51"/>
  <c r="J76" i="51"/>
  <c r="J66" i="51"/>
  <c r="J75" i="51"/>
  <c r="J65" i="51"/>
  <c r="J74" i="51"/>
  <c r="J144" i="49"/>
  <c r="I143" i="49"/>
  <c r="J143" i="49" s="1"/>
  <c r="I158" i="49"/>
  <c r="J158" i="49" s="1"/>
  <c r="I141" i="49"/>
  <c r="J141" i="49" s="1"/>
  <c r="I140" i="49"/>
  <c r="J140" i="49" s="1"/>
  <c r="I136" i="49"/>
  <c r="J136" i="49" s="1"/>
  <c r="J150" i="49"/>
  <c r="J147" i="49"/>
  <c r="I146" i="49"/>
  <c r="J146" i="49" s="1"/>
  <c r="J156" i="51" l="1"/>
  <c r="J88" i="51"/>
  <c r="J126" i="51"/>
  <c r="J70" i="51"/>
  <c r="M81" i="20"/>
  <c r="I149" i="49"/>
  <c r="J149" i="49" s="1"/>
  <c r="I137" i="49"/>
  <c r="J137" i="49" s="1"/>
  <c r="I138" i="49"/>
  <c r="J138" i="49" s="1"/>
  <c r="I133" i="49"/>
  <c r="J133" i="49" s="1"/>
  <c r="J151" i="49"/>
  <c r="J152" i="49"/>
  <c r="I153" i="49"/>
  <c r="J153" i="49" s="1"/>
  <c r="I155" i="49"/>
  <c r="J155" i="49" s="1"/>
  <c r="J92" i="51"/>
  <c r="J94" i="51"/>
  <c r="J98" i="51"/>
  <c r="J49" i="51"/>
  <c r="J45" i="51"/>
  <c r="J46" i="51"/>
  <c r="J59" i="51"/>
  <c r="J60" i="51"/>
  <c r="J93" i="51"/>
  <c r="J63" i="51"/>
  <c r="J95" i="51"/>
  <c r="J99" i="51"/>
  <c r="J64" i="51"/>
  <c r="J127" i="49"/>
  <c r="J126" i="49"/>
  <c r="J125" i="49"/>
  <c r="J121" i="49"/>
  <c r="J120" i="49"/>
  <c r="J117" i="49"/>
  <c r="J114" i="49"/>
  <c r="J112" i="49"/>
  <c r="J61" i="51" l="1"/>
  <c r="J67" i="51"/>
  <c r="J159" i="49"/>
  <c r="J90" i="51"/>
  <c r="G31" i="50"/>
  <c r="I31" i="50" s="1"/>
  <c r="G30" i="50"/>
  <c r="I30" i="50" s="1"/>
  <c r="G26" i="50"/>
  <c r="I26" i="50" s="1"/>
  <c r="J115" i="49"/>
  <c r="J129" i="49" s="1"/>
  <c r="J91" i="51"/>
  <c r="J103" i="51"/>
  <c r="J48" i="51"/>
  <c r="J44" i="51"/>
  <c r="J105" i="51"/>
  <c r="J101" i="51" l="1"/>
  <c r="I27" i="52"/>
  <c r="G23" i="50"/>
  <c r="I23" i="50" s="1"/>
  <c r="G24" i="50"/>
  <c r="I24" i="50" s="1"/>
  <c r="G28" i="48"/>
  <c r="I28" i="48" s="1"/>
  <c r="G29" i="48"/>
  <c r="I29" i="48" s="1"/>
  <c r="G27" i="50" l="1"/>
  <c r="I27" i="50" s="1"/>
  <c r="J73" i="49"/>
  <c r="J72" i="49"/>
  <c r="J71" i="49"/>
  <c r="J70" i="49"/>
  <c r="J59" i="49"/>
  <c r="J62" i="49"/>
  <c r="J51" i="49"/>
  <c r="J45" i="49"/>
  <c r="J41" i="49"/>
  <c r="I50" i="57"/>
  <c r="H50" i="67"/>
  <c r="H52" i="67" s="1"/>
  <c r="K192" i="28"/>
  <c r="K210" i="28" s="1"/>
  <c r="K212" i="28" s="1"/>
  <c r="K67" i="28"/>
  <c r="K68" i="28"/>
  <c r="K81" i="28" s="1"/>
  <c r="K101" i="28" s="1"/>
  <c r="K103" i="28" s="1"/>
  <c r="K146" i="28"/>
  <c r="K147" i="28" s="1"/>
  <c r="K149" i="28" s="1"/>
  <c r="K230" i="28"/>
  <c r="K242" i="28" s="1"/>
  <c r="K244" i="28" s="1"/>
  <c r="N101" i="28"/>
  <c r="N103" i="28" s="1"/>
  <c r="M101" i="28"/>
  <c r="M103" i="28" s="1"/>
  <c r="L101" i="28"/>
  <c r="L103" i="28" s="1"/>
  <c r="N147" i="28"/>
  <c r="N149" i="28" s="1"/>
  <c r="N70" i="28"/>
  <c r="M70" i="28"/>
  <c r="N210" i="28"/>
  <c r="N212" i="28" s="1"/>
  <c r="M210" i="28"/>
  <c r="M212" i="28" s="1"/>
  <c r="L210" i="28"/>
  <c r="L212" i="28" s="1"/>
  <c r="D18" i="66" l="1"/>
  <c r="J43" i="49"/>
  <c r="J66" i="49"/>
  <c r="J42" i="49"/>
  <c r="J56" i="49"/>
  <c r="J46" i="49"/>
  <c r="J68" i="49"/>
  <c r="J61" i="49"/>
  <c r="J55" i="49"/>
  <c r="J47" i="49"/>
  <c r="J65" i="49"/>
  <c r="J67" i="49"/>
  <c r="J79" i="49"/>
  <c r="J82" i="49"/>
  <c r="J78" i="49"/>
  <c r="J80" i="49"/>
  <c r="J83" i="49"/>
  <c r="K70" i="28"/>
  <c r="I102" i="54"/>
  <c r="I100" i="54"/>
  <c r="F18" i="66" l="1"/>
  <c r="F28" i="66" s="1"/>
  <c r="D28" i="66"/>
  <c r="J89" i="49"/>
  <c r="J75" i="49"/>
  <c r="G23" i="48" s="1"/>
  <c r="I23" i="48" s="1"/>
  <c r="I103" i="54"/>
  <c r="G28" i="55" s="1"/>
  <c r="J57" i="49"/>
  <c r="J52" i="49"/>
  <c r="J106" i="49"/>
  <c r="J60" i="49"/>
  <c r="J63" i="49" s="1"/>
  <c r="J104" i="51"/>
  <c r="J106" i="51" s="1"/>
  <c r="I28" i="55" l="1"/>
  <c r="G28" i="50"/>
  <c r="I28" i="50" s="1"/>
  <c r="G21" i="48"/>
  <c r="I21" i="48" s="1"/>
  <c r="G20" i="48"/>
  <c r="I20" i="48" s="1"/>
  <c r="G24" i="48"/>
  <c r="I24" i="48" s="1"/>
  <c r="G22" i="48"/>
  <c r="J104" i="49"/>
  <c r="I22" i="48" l="1"/>
  <c r="K78" i="20" l="1"/>
  <c r="K79" i="20" s="1"/>
  <c r="K43" i="20"/>
  <c r="K49" i="20" s="1"/>
  <c r="N106" i="20"/>
  <c r="M106" i="20"/>
  <c r="G150" i="79" s="1"/>
  <c r="H151" i="79" s="1"/>
  <c r="I54" i="51" s="1"/>
  <c r="J54" i="51" s="1"/>
  <c r="L106" i="20"/>
  <c r="K81" i="20" l="1"/>
  <c r="G154" i="79" s="1"/>
  <c r="H155" i="79" s="1"/>
  <c r="I55" i="51" s="1"/>
  <c r="J55" i="51" s="1"/>
  <c r="K51" i="20"/>
  <c r="C104" i="79" s="1"/>
  <c r="D105" i="79" s="1"/>
  <c r="I34" i="51" s="1"/>
  <c r="J34" i="51" s="1"/>
  <c r="J36" i="51" s="1"/>
  <c r="G18" i="50" s="1"/>
  <c r="I18" i="50" s="1"/>
  <c r="K89" i="31"/>
  <c r="K90" i="31" s="1"/>
  <c r="K92" i="31" s="1"/>
  <c r="K51" i="31"/>
  <c r="K58" i="31" s="1"/>
  <c r="K60" i="31" s="1"/>
  <c r="K18" i="31"/>
  <c r="K32" i="31" s="1"/>
  <c r="K34" i="31" s="1"/>
  <c r="N60" i="31"/>
  <c r="M60" i="31"/>
  <c r="L60" i="31"/>
  <c r="H13" i="84" l="1"/>
  <c r="H51" i="57" s="1"/>
  <c r="I51" i="57" s="1"/>
  <c r="M123" i="33"/>
  <c r="K118" i="33"/>
  <c r="K121" i="33" s="1"/>
  <c r="K123" i="33" s="1"/>
  <c r="L123" i="33"/>
  <c r="N123" i="33"/>
  <c r="H64" i="85" l="1"/>
  <c r="H48" i="59" s="1"/>
  <c r="I48" i="59" s="1"/>
  <c r="H60" i="85"/>
  <c r="H47" i="59" s="1"/>
  <c r="I47" i="59" s="1"/>
  <c r="I53" i="57"/>
  <c r="E24" i="56" s="1"/>
  <c r="G24" i="56" s="1"/>
  <c r="I50" i="59" l="1"/>
  <c r="E23" i="58" s="1"/>
  <c r="G23" i="58" s="1"/>
  <c r="G33" i="58" s="1"/>
  <c r="G34" i="58" s="1"/>
  <c r="D17" i="47" s="1"/>
  <c r="I82" i="61"/>
  <c r="I85" i="61" s="1"/>
  <c r="E33" i="58" l="1"/>
  <c r="E34" i="58" s="1"/>
  <c r="F29" i="60"/>
  <c r="N109" i="37"/>
  <c r="N111" i="37" s="1"/>
  <c r="M111" i="37"/>
  <c r="K21" i="37"/>
  <c r="K28" i="37" s="1"/>
  <c r="K30" i="37" s="1"/>
  <c r="D110" i="120" s="1"/>
  <c r="H29" i="62" s="1"/>
  <c r="I29" i="62" s="1"/>
  <c r="I31" i="62" s="1"/>
  <c r="E19" i="63" s="1"/>
  <c r="K54" i="37"/>
  <c r="K66" i="37" s="1"/>
  <c r="K68" i="37" s="1"/>
  <c r="K108" i="37"/>
  <c r="K109" i="37" s="1"/>
  <c r="K111" i="37" s="1"/>
  <c r="H34" i="88" s="1"/>
  <c r="H50" i="62" s="1"/>
  <c r="I50" i="62" s="1"/>
  <c r="G19" i="63" l="1"/>
  <c r="G21" i="63" s="1"/>
  <c r="E21" i="63"/>
  <c r="H29" i="60"/>
  <c r="H33" i="60" s="1"/>
  <c r="H34" i="60" s="1"/>
  <c r="F33" i="60"/>
  <c r="H28" i="88"/>
  <c r="H48" i="62" s="1"/>
  <c r="I48" i="62" s="1"/>
  <c r="H31" i="88"/>
  <c r="H49" i="62" s="1"/>
  <c r="I49" i="62" s="1"/>
  <c r="I51" i="62" l="1"/>
  <c r="E23" i="63" s="1"/>
  <c r="G23" i="63" s="1"/>
  <c r="G33" i="63" s="1"/>
  <c r="G34" i="63" s="1"/>
  <c r="D19" i="47" s="1"/>
  <c r="D18" i="47"/>
  <c r="F34" i="60"/>
  <c r="E33" i="63" l="1"/>
  <c r="E34" i="63" s="1"/>
  <c r="J21" i="40"/>
  <c r="J31" i="40" s="1"/>
  <c r="J33" i="40" s="1"/>
  <c r="G31" i="67" s="1"/>
  <c r="H31" i="67" s="1"/>
  <c r="H34" i="67" s="1"/>
  <c r="D14" i="66" s="1"/>
  <c r="K56" i="24"/>
  <c r="K58" i="24" s="1"/>
  <c r="K60" i="24" s="1"/>
  <c r="K19" i="24"/>
  <c r="K79" i="24"/>
  <c r="K84" i="24" s="1"/>
  <c r="K86" i="24" s="1"/>
  <c r="K106" i="24"/>
  <c r="K116" i="24" s="1"/>
  <c r="K118" i="24" s="1"/>
  <c r="K97" i="26"/>
  <c r="K98" i="26" s="1"/>
  <c r="K100" i="26" s="1"/>
  <c r="K65" i="26"/>
  <c r="K66" i="26" s="1"/>
  <c r="N66" i="26"/>
  <c r="F14" i="66" l="1"/>
  <c r="F16" i="66" s="1"/>
  <c r="F29" i="66" s="1"/>
  <c r="D21" i="47" s="1"/>
  <c r="D16" i="66"/>
  <c r="D29" i="66" s="1"/>
  <c r="N68" i="26"/>
  <c r="C80" i="83" s="1"/>
  <c r="D81" i="83" s="1"/>
  <c r="H47" i="54" s="1"/>
  <c r="I47" i="54" s="1"/>
  <c r="K68" i="26"/>
  <c r="C88" i="83" s="1"/>
  <c r="D89" i="83" s="1"/>
  <c r="H49" i="54" s="1"/>
  <c r="I49" i="54" s="1"/>
  <c r="K24" i="24"/>
  <c r="K26" i="24" s="1"/>
  <c r="I50" i="54" l="1"/>
  <c r="G22" i="55" s="1"/>
  <c r="I28" i="52"/>
  <c r="J105" i="49"/>
  <c r="J107" i="49" s="1"/>
  <c r="I22" i="55" l="1"/>
  <c r="I32" i="55" s="1"/>
  <c r="I33" i="55" s="1"/>
  <c r="D14" i="47" s="1"/>
  <c r="G32" i="55"/>
  <c r="G33" i="55" s="1"/>
  <c r="G26" i="48"/>
  <c r="I26" i="48" s="1"/>
  <c r="H29" i="79" l="1"/>
  <c r="I86" i="57"/>
  <c r="I56" i="69"/>
  <c r="I58" i="69" s="1"/>
  <c r="I91" i="69"/>
  <c r="J15" i="51" l="1"/>
  <c r="J17" i="51" s="1"/>
  <c r="I15" i="51"/>
  <c r="G17" i="50"/>
  <c r="E25" i="68"/>
  <c r="I101" i="69"/>
  <c r="I104" i="69" s="1"/>
  <c r="I50" i="51"/>
  <c r="J50" i="51" s="1"/>
  <c r="J57" i="51" s="1"/>
  <c r="G20" i="50" l="1"/>
  <c r="I17" i="50"/>
  <c r="I20" i="50" s="1"/>
  <c r="G25" i="68"/>
  <c r="E30" i="68"/>
  <c r="G30" i="68" s="1"/>
  <c r="G22" i="50"/>
  <c r="I22" i="50" l="1"/>
  <c r="I69" i="51"/>
  <c r="J69" i="51" s="1"/>
  <c r="I71" i="51"/>
  <c r="J71" i="51" s="1"/>
  <c r="I72" i="51"/>
  <c r="J72" i="51" s="1"/>
  <c r="J78" i="51" l="1"/>
  <c r="G25" i="50" l="1"/>
  <c r="G32" i="50" s="1"/>
  <c r="G33" i="50" s="1"/>
  <c r="H85" i="57"/>
  <c r="I85" i="57" s="1"/>
  <c r="I94" i="57" s="1"/>
  <c r="E29" i="56" s="1"/>
  <c r="I25" i="50" l="1"/>
  <c r="I32" i="50" s="1"/>
  <c r="I33" i="50" s="1"/>
  <c r="D12" i="47" s="1"/>
  <c r="E34" i="56"/>
  <c r="E35" i="56" s="1"/>
  <c r="G29" i="56"/>
  <c r="G34" i="56" s="1"/>
  <c r="G35" i="56" s="1"/>
  <c r="D16" i="47" s="1"/>
  <c r="I45" i="119" l="1"/>
  <c r="I56" i="119" s="1"/>
  <c r="G22" i="52" s="1"/>
  <c r="I22" i="52" l="1"/>
  <c r="I32" i="52" s="1"/>
  <c r="I33" i="52" s="1"/>
  <c r="D13" i="47" s="1"/>
  <c r="G32" i="52"/>
  <c r="G33" i="52" s="1"/>
  <c r="I95" i="69"/>
  <c r="I99" i="69" s="1"/>
  <c r="E29" i="68" s="1"/>
  <c r="E34" i="68" s="1"/>
  <c r="E35" i="68" s="1"/>
  <c r="G25" i="48"/>
  <c r="G30" i="48" s="1"/>
  <c r="G29" i="68" l="1"/>
  <c r="G34" i="68" s="1"/>
  <c r="G35" i="68" s="1"/>
  <c r="D15" i="47" s="1"/>
  <c r="I25" i="48"/>
  <c r="I30" i="48" s="1"/>
  <c r="H90" i="112"/>
  <c r="H94" i="112" s="1"/>
  <c r="I14" i="49" s="1"/>
  <c r="J14" i="49" s="1"/>
  <c r="I11" i="49"/>
  <c r="J11" i="49" s="1"/>
  <c r="J16" i="49" l="1"/>
  <c r="G15" i="48" l="1"/>
  <c r="I15" i="48" l="1"/>
  <c r="I18" i="48" s="1"/>
  <c r="I31" i="48" s="1"/>
  <c r="D11" i="47" s="1"/>
  <c r="D23" i="47" s="1"/>
  <c r="D25" i="47" s="1"/>
  <c r="G18" i="48"/>
  <c r="G31" i="48" s="1"/>
  <c r="I108" i="78" l="1"/>
  <c r="I113" i="78"/>
  <c r="I112" i="78"/>
  <c r="I111" i="78"/>
  <c r="D617" i="78"/>
  <c r="I101" i="49"/>
  <c r="J101" i="49"/>
  <c r="D604" i="78"/>
  <c r="I99" i="49"/>
  <c r="J99" i="49"/>
  <c r="D581" i="78"/>
  <c r="I96" i="49"/>
  <c r="J96" i="49"/>
  <c r="D78" i="100"/>
  <c r="H349" i="102"/>
  <c r="D611" i="78"/>
  <c r="I100" i="49"/>
  <c r="J100" i="49"/>
  <c r="H95" i="99"/>
</calcChain>
</file>

<file path=xl/sharedStrings.xml><?xml version="1.0" encoding="utf-8"?>
<sst xmlns="http://schemas.openxmlformats.org/spreadsheetml/2006/main" count="11320" uniqueCount="3579">
  <si>
    <t>Description</t>
  </si>
  <si>
    <t>Grade beam</t>
  </si>
  <si>
    <t>Steps</t>
  </si>
  <si>
    <t>Lintel</t>
  </si>
  <si>
    <t>No</t>
  </si>
  <si>
    <t>10. Electrical Installations</t>
  </si>
  <si>
    <t xml:space="preserve">2.Light point </t>
  </si>
  <si>
    <t>5. Socket out lets</t>
  </si>
  <si>
    <t>7. Type of light fittings</t>
  </si>
  <si>
    <t>9)SANITARY INSTALLATION</t>
  </si>
  <si>
    <r>
      <t xml:space="preserve">Internal </t>
    </r>
    <r>
      <rPr>
        <sz val="9"/>
        <color theme="1"/>
        <rFont val="Calibri"/>
        <family val="2"/>
      </rPr>
      <t>ф 25mm</t>
    </r>
  </si>
  <si>
    <t>made of rigid UPVC</t>
  </si>
  <si>
    <r>
      <t xml:space="preserve"> </t>
    </r>
    <r>
      <rPr>
        <sz val="8"/>
        <color theme="1"/>
        <rFont val="Calibri"/>
        <family val="2"/>
      </rPr>
      <t>ф 50mm of min. wall thickness=2mm</t>
    </r>
  </si>
  <si>
    <r>
      <t xml:space="preserve"> </t>
    </r>
    <r>
      <rPr>
        <sz val="8"/>
        <color theme="1"/>
        <rFont val="Calibri"/>
        <family val="2"/>
      </rPr>
      <t>ф 75mm of min. wall thickness=3mm</t>
    </r>
  </si>
  <si>
    <r>
      <t xml:space="preserve"> </t>
    </r>
    <r>
      <rPr>
        <sz val="8"/>
        <color theme="1"/>
        <rFont val="Calibri"/>
        <family val="2"/>
      </rPr>
      <t>ф 100mm of min. wall thickness=3.2mm</t>
    </r>
  </si>
  <si>
    <t>of metal roller of size 150x150x25mm</t>
  </si>
  <si>
    <t>8.00)TV point</t>
  </si>
  <si>
    <t>TV points fed thoughRG6 coaxial 75ohm</t>
  </si>
  <si>
    <t>6.00)Telephone data point</t>
  </si>
  <si>
    <t>10. Electrical Installation</t>
  </si>
  <si>
    <t>Kitchen</t>
  </si>
  <si>
    <t>B.SUPER STRUCTURE</t>
  </si>
  <si>
    <t>Summary</t>
  </si>
  <si>
    <t>Contractor</t>
  </si>
  <si>
    <t>CONTRACTOR</t>
  </si>
  <si>
    <t>1.CONCRETE WORK</t>
  </si>
  <si>
    <t>W20(1PC)</t>
  </si>
  <si>
    <t>1.1)In elevation column</t>
  </si>
  <si>
    <t>D10(5Pcs)</t>
  </si>
  <si>
    <t>1.2)In beam &amp; step</t>
  </si>
  <si>
    <t>TTB1=2Pcs</t>
  </si>
  <si>
    <t>Axis x/01 &amp; x/o4 from  (y/01 - y/08)</t>
  </si>
  <si>
    <t>FORM WORK</t>
  </si>
  <si>
    <t>1.4)Elevation column</t>
  </si>
  <si>
    <t>TTB2=3Pcs</t>
  </si>
  <si>
    <t xml:space="preserve">Axis x/02,x/03 &amp; x/04 </t>
  </si>
  <si>
    <t>from ( y/01 - y/08)</t>
  </si>
  <si>
    <t>TTB3=2Pcs</t>
  </si>
  <si>
    <t>1.5)Beam</t>
  </si>
  <si>
    <t>Axis y/01 &amp; y/08 from ( x/01 - x/04)</t>
  </si>
  <si>
    <t>Dev.L=0.30*2+0.20=0.80mt</t>
  </si>
  <si>
    <t>TTB4=6Pcs</t>
  </si>
  <si>
    <t>Axis y/02 - y/07 from ( x/01 - x/04)</t>
  </si>
  <si>
    <t>Axis x/02,x/03 &amp; x/04 from ( y/01 - y/08)</t>
  </si>
  <si>
    <t>1.3)Lintel</t>
  </si>
  <si>
    <t>D5(2Pcs)</t>
  </si>
  <si>
    <t>D8(2Pcs)</t>
  </si>
  <si>
    <t>D7(5Pcs)</t>
  </si>
  <si>
    <t>1.6)Lintel</t>
  </si>
  <si>
    <t>L=0.2X2+0.2=0.60mt</t>
  </si>
  <si>
    <t>D9(5PCS)</t>
  </si>
  <si>
    <t>D8(1Pcs)</t>
  </si>
  <si>
    <t>L=0.2X2+0.15=0.55mt</t>
  </si>
  <si>
    <t>W7(4PCS)</t>
  </si>
  <si>
    <t>W18 (1Pc)</t>
  </si>
  <si>
    <t>W20 (1Pcs)</t>
  </si>
  <si>
    <t>Axis X/01' from (Y/01 - Y/01')</t>
  </si>
  <si>
    <t>Axis X/02 from (Y/02' - Y/02)</t>
  </si>
  <si>
    <t>D7(4Pcs)</t>
  </si>
  <si>
    <t>D9(3Pcs)</t>
  </si>
  <si>
    <t>D11(1Ps)</t>
  </si>
  <si>
    <r>
      <t>1.9)</t>
    </r>
    <r>
      <rPr>
        <sz val="10"/>
        <color theme="1"/>
        <rFont val="Calibri"/>
        <family val="2"/>
      </rPr>
      <t>ф8mm deformed bars</t>
    </r>
  </si>
  <si>
    <t>Opening</t>
  </si>
  <si>
    <t>Axis X/03 from (Y/01 - Y/08)</t>
  </si>
  <si>
    <t>WD1(3Pcs)</t>
  </si>
  <si>
    <t>2.1)20cm thick  HCB wall</t>
  </si>
  <si>
    <t>Axis X/01 from (Y/01 - Y/08)</t>
  </si>
  <si>
    <t>WD2(2Pcs)</t>
  </si>
  <si>
    <t>ddt</t>
  </si>
  <si>
    <t>W2(5Pcs)</t>
  </si>
  <si>
    <t>Nurse station</t>
  </si>
  <si>
    <t>W4 (3Pcs)</t>
  </si>
  <si>
    <t>D9(1Pc)</t>
  </si>
  <si>
    <t>W5 (1Pcs)</t>
  </si>
  <si>
    <t>W7(1Pc)</t>
  </si>
  <si>
    <t>Axis X/04 from (Y/01 - Y/08)</t>
  </si>
  <si>
    <t>W15 (2Pcs)</t>
  </si>
  <si>
    <t>WD3(3Pcs)</t>
  </si>
  <si>
    <t>WD4(2Pcs)</t>
  </si>
  <si>
    <t>W2(3Pcs)</t>
  </si>
  <si>
    <t>Gable side</t>
  </si>
  <si>
    <t>Axis Y/O1&amp;Y/08 from (X/01 - X/05)</t>
  </si>
  <si>
    <t>Axis X/05 from (Y/01 - Y/08)</t>
  </si>
  <si>
    <t>Axis X/01 &amp;X/05 from (Y/01 - Y/08)</t>
  </si>
  <si>
    <t>Toilet</t>
  </si>
  <si>
    <t>W15(5Pcs)</t>
  </si>
  <si>
    <t>2.2)15cm thick  HCB wall</t>
  </si>
  <si>
    <t>Axis Y/01 from (X/01 - X/05)</t>
  </si>
  <si>
    <t>Axis Y/02 - Y/07 from (X/03 - X/04)</t>
  </si>
  <si>
    <t>Axis Y/07'  from (X/03 - X/04)</t>
  </si>
  <si>
    <t>W2(1Pc)</t>
  </si>
  <si>
    <t>Toilet area b/n X04 &amp; X/05</t>
  </si>
  <si>
    <t>Axis Y/01'  from (X/01 - X/02)</t>
  </si>
  <si>
    <t>D9(2Pcs)</t>
  </si>
  <si>
    <t xml:space="preserve">Axis Y/01', Y/02,Y/03&amp;Y/03' </t>
  </si>
  <si>
    <t>Axis Y/04',04'' ,Y/05',05'',05''' ,</t>
  </si>
  <si>
    <t>from (X/01 - X/02)</t>
  </si>
  <si>
    <t>y/06',06''  from (X/01- X/02)</t>
  </si>
  <si>
    <t>D9(4Pcs)</t>
  </si>
  <si>
    <t>D7(2Pcs)</t>
  </si>
  <si>
    <t>W7(4Pcs)</t>
  </si>
  <si>
    <t>Axis b/n X/03 &amp; X/04 from (Y/01-03)</t>
  </si>
  <si>
    <t>Axis Y/07 from (X/03 - X/04)</t>
  </si>
  <si>
    <t>Axis Y/08 from (X/01 - X/05)</t>
  </si>
  <si>
    <t>Axis b/n X/03 &amp; X/04 from (Y/07'-08)</t>
  </si>
  <si>
    <t>3.4)Supply &amp; fix G-28 gutter dev.</t>
  </si>
  <si>
    <t>Axis b/n X/01 &amp; X/02 from (Y/01''-02)</t>
  </si>
  <si>
    <t>length=50cm</t>
  </si>
  <si>
    <t>Axis b/n X/01 &amp; X/02 from (Y/04'-08)</t>
  </si>
  <si>
    <t>4)CARPENTRY</t>
  </si>
  <si>
    <t>4.1)Uper &amp; lower chord size 10-12cm</t>
  </si>
  <si>
    <t>D7(3Pcs)</t>
  </si>
  <si>
    <t>lower=9.67x2=19.34mt</t>
  </si>
  <si>
    <t>D8(3Pcs)</t>
  </si>
  <si>
    <t>4.2)Vertical &amp; Diagonal member</t>
  </si>
  <si>
    <t>V=23.70mt</t>
  </si>
  <si>
    <t>H=29.17mt</t>
  </si>
  <si>
    <t>4.3)Purlin zigba 5/7cm</t>
  </si>
  <si>
    <t>TOILET</t>
  </si>
  <si>
    <t>No .pur =10.02/0.9+1=12.13=12</t>
  </si>
  <si>
    <t>L=38.50+1.00=38.50mt</t>
  </si>
  <si>
    <t>"</t>
  </si>
  <si>
    <t>4.4)Zigba wooden fascia board</t>
  </si>
  <si>
    <t>D8(8Pcs)</t>
  </si>
  <si>
    <t>3)ROOFING WORK</t>
  </si>
  <si>
    <t>3.1)G-28 CIS Roof covering</t>
  </si>
  <si>
    <t>4.5)Type D5 ,Size 100/273</t>
  </si>
  <si>
    <t>L=18.70+0.60x2=19.90mt</t>
  </si>
  <si>
    <t>4.6)Type D7 ,Size 80/273</t>
  </si>
  <si>
    <t>3.2)G-28 Ribbed sheet ceiling</t>
  </si>
  <si>
    <t>4.7)Type D8 ,Size 70/273</t>
  </si>
  <si>
    <t>3.3)Flashing in metal sheet</t>
  </si>
  <si>
    <t>4.8)Type D9 ,Size 90/273</t>
  </si>
  <si>
    <t>Dev. Length 33cm</t>
  </si>
  <si>
    <t>Ridge cover</t>
  </si>
  <si>
    <t>5)METAL WORK</t>
  </si>
  <si>
    <t>DOORS</t>
  </si>
  <si>
    <t>5.1)Type W2 ,Size 150/273</t>
  </si>
  <si>
    <t>5.2)Type W4 ,Size 130/273</t>
  </si>
  <si>
    <t>5.18)Type D10 ,Size 80/273</t>
  </si>
  <si>
    <t>6)FINISHING WORK</t>
  </si>
  <si>
    <t>6.1)Apply two coats of plastering &amp;</t>
  </si>
  <si>
    <t>one coat rendering</t>
  </si>
  <si>
    <t>Axis Y/01 &amp; Y/08 from (X/01- 05)</t>
  </si>
  <si>
    <t>5.6)Type W18 ,Size 600/60</t>
  </si>
  <si>
    <t>h=2.2+0.2/2=1.2mt</t>
  </si>
  <si>
    <t>W2(4Pcs)</t>
  </si>
  <si>
    <t>Axis X/01  from (Y/01- 08)</t>
  </si>
  <si>
    <t>W4(3Pcs)</t>
  </si>
  <si>
    <t>W5(1Pc)</t>
  </si>
  <si>
    <t>W15(2Pcs)</t>
  </si>
  <si>
    <t>6.2)Apply three coats of plastering to</t>
  </si>
  <si>
    <t>W18(1Pc)</t>
  </si>
  <si>
    <t>internal wall &amp; external beam &amp; colu.</t>
  </si>
  <si>
    <t>Linen/pajama store</t>
  </si>
  <si>
    <t>L=2.30x2+2.3x2=9.20mt</t>
  </si>
  <si>
    <t>W20(1Pc)</t>
  </si>
  <si>
    <t>W4(1Pc)</t>
  </si>
  <si>
    <t>REC.</t>
  </si>
  <si>
    <t>L=3.55x2+2.3=9.40mt</t>
  </si>
  <si>
    <t>Corridor</t>
  </si>
  <si>
    <t>L=6.05x2+1.50=13.60mt</t>
  </si>
  <si>
    <t>D6(5Pcs)</t>
  </si>
  <si>
    <t>Changing room</t>
  </si>
  <si>
    <t>L=1.70x2+2.85x2=9.10mt</t>
  </si>
  <si>
    <t>W20(2Pc)</t>
  </si>
  <si>
    <t>Pharmacy</t>
  </si>
  <si>
    <t>L=2.30x2+5.85x2=16.30mt</t>
  </si>
  <si>
    <t>Procedure</t>
  </si>
  <si>
    <t>L=4.75x2+5.85x2=21.20mt</t>
  </si>
  <si>
    <t>D11(1Pc)</t>
  </si>
  <si>
    <t>Sluice</t>
  </si>
  <si>
    <t>L=2.13x2+1.30x2=6.86mt</t>
  </si>
  <si>
    <t>Doctors Room</t>
  </si>
  <si>
    <t>duity room</t>
  </si>
  <si>
    <t>L=3.95x2+5.85x2=19.60mt</t>
  </si>
  <si>
    <t>L=2.13x2+4.40x2=13.06mt</t>
  </si>
  <si>
    <t>D7(2Pc)</t>
  </si>
  <si>
    <t>Clean utility room</t>
  </si>
  <si>
    <t>Nurse station dupty room</t>
  </si>
  <si>
    <t>L=2.30x2+1.30x2=7.70mt</t>
  </si>
  <si>
    <t>L=2.15+4x2=10.15mt</t>
  </si>
  <si>
    <t>D7(1Pc)</t>
  </si>
  <si>
    <t>Store</t>
  </si>
  <si>
    <t>L=2.15x2+1.98x2=8.26mt</t>
  </si>
  <si>
    <t>Duity</t>
  </si>
  <si>
    <t>L=2.30x2+4.4x2=13.40mt</t>
  </si>
  <si>
    <t>W7(2Pcs)</t>
  </si>
  <si>
    <t>L=1.33x2+3.40x2=9.46mt</t>
  </si>
  <si>
    <t>L=1.33x2+2.30x2=7.26mt</t>
  </si>
  <si>
    <t>D8</t>
  </si>
  <si>
    <t>D9</t>
  </si>
  <si>
    <t>D5(2Pc)</t>
  </si>
  <si>
    <t>Isolation rooms</t>
  </si>
  <si>
    <t>L=4.65x2+2.85x2=15.00mt</t>
  </si>
  <si>
    <t>L=1.25x2+4.35x2=11.20mt</t>
  </si>
  <si>
    <t>Main corridor</t>
  </si>
  <si>
    <t>D7(4Pc)</t>
  </si>
  <si>
    <t>l=38.3*2+2.5=79.10mt</t>
  </si>
  <si>
    <t>D8(16Pc)</t>
  </si>
  <si>
    <t>Janitor</t>
  </si>
  <si>
    <t>L=2.50x2+1.35x2=7.70mt</t>
  </si>
  <si>
    <t>L=4.20x2+1.85x2=12.10mt</t>
  </si>
  <si>
    <t>L=1.85x2+1.70x2=7.10mt</t>
  </si>
  <si>
    <t>D8(1Pc)</t>
  </si>
  <si>
    <t>OPENING</t>
  </si>
  <si>
    <t>L=1.50+7.40x2=16.30mt</t>
  </si>
  <si>
    <t>Maternity ward</t>
  </si>
  <si>
    <t>Assisted bath</t>
  </si>
  <si>
    <t>L=6x2+7.2x2=26.40mt</t>
  </si>
  <si>
    <t>L=3x2+3.52x2=13.04mt</t>
  </si>
  <si>
    <t>WD1(1Pc)</t>
  </si>
  <si>
    <t>W2(2Pcs)</t>
  </si>
  <si>
    <t>Nurse station room</t>
  </si>
  <si>
    <t>L=2.50x2+3.80x2=12.60mt</t>
  </si>
  <si>
    <t>L=2.50x2+3.25x2=11.50mt</t>
  </si>
  <si>
    <t>General ward</t>
  </si>
  <si>
    <t>Top tie beam</t>
  </si>
  <si>
    <t>L=5.9x2+7.20x2=26.20mt</t>
  </si>
  <si>
    <t>WD1(2Pcs)</t>
  </si>
  <si>
    <t>Column</t>
  </si>
  <si>
    <t>Below grade beam</t>
  </si>
  <si>
    <t>Isolated beam</t>
  </si>
  <si>
    <t>corridor</t>
  </si>
  <si>
    <t>Axis Y/03-Y/06 from X/01-X/02</t>
  </si>
  <si>
    <t>Axis x/05 from y/01-y/08</t>
  </si>
  <si>
    <t>6.3)Chipwood ceiling</t>
  </si>
  <si>
    <t>Duity Room</t>
  </si>
  <si>
    <t>Janitors</t>
  </si>
  <si>
    <t xml:space="preserve">6.5)Approved type 9mm thick </t>
  </si>
  <si>
    <t>Duty room</t>
  </si>
  <si>
    <t>non slipery cearmic floor tile</t>
  </si>
  <si>
    <t>Bed room</t>
  </si>
  <si>
    <t>D6</t>
  </si>
  <si>
    <t>D10</t>
  </si>
  <si>
    <t>WD3&amp;  WD4</t>
  </si>
  <si>
    <t>6.6)Approved type cearmic skirting 10/0.9</t>
  </si>
  <si>
    <t>L=2.5*2+3.8*2+0.1X2-0.9*2=11.00mt</t>
  </si>
  <si>
    <t>L=2.5*2+3.2*2-0.90=10.50mt</t>
  </si>
  <si>
    <t>Assisting bath corridor</t>
  </si>
  <si>
    <t>L=7.4*2+1.50-1.0*2=14.30mt</t>
  </si>
  <si>
    <t>l=55.70mt</t>
  </si>
  <si>
    <t>L=3.35*2+2.30-0.9=8.10mt</t>
  </si>
  <si>
    <t>L=2.30*4-0.9=8.30mt</t>
  </si>
  <si>
    <t>L=6.05*2+1.5-0.9*4=10.00ml</t>
  </si>
  <si>
    <t>Varanda</t>
  </si>
  <si>
    <t>L=2.85*2+1.7*2-0.9=8.20mt</t>
  </si>
  <si>
    <t>D5</t>
  </si>
  <si>
    <t>L=2.30*2+5.85*2-0.9=15.30mt</t>
  </si>
  <si>
    <t>L=4.75*2+5.85*2-1.30=19.90mt</t>
  </si>
  <si>
    <t>D7</t>
  </si>
  <si>
    <t>L=3.95*2+5.85*2-0.90=18.70mt</t>
  </si>
  <si>
    <t>L=1.3*2+2.3*2-0.80=6.40mt</t>
  </si>
  <si>
    <t>Duity room</t>
  </si>
  <si>
    <t>L=2.3*2+4.4*2-0.80=12.60mt</t>
  </si>
  <si>
    <t>Toilet corridor</t>
  </si>
  <si>
    <t>L=1.33*2+3.4*2-0.80*2+0.9+0.7=6.26mt</t>
  </si>
  <si>
    <t>D11</t>
  </si>
  <si>
    <t>L=1.3*2+2.13*2-0.80=6.06mt</t>
  </si>
  <si>
    <t>L=2.13*2+4.4*2-0.80=12.26mt</t>
  </si>
  <si>
    <t>WD1 - WD3</t>
  </si>
  <si>
    <t>L=2.15+4.00*2-0.80=9.35mt</t>
  </si>
  <si>
    <t>L=2.15*2+2.00*2-0.80=7.50mt</t>
  </si>
  <si>
    <t>L=2.5*2+1.35*2-1.00=6.90mt</t>
  </si>
  <si>
    <t>L=2.35*2+4.65*2-0.80=14mt</t>
  </si>
  <si>
    <t>L=3.05+4.95+0.3+1.45*5+2.35+0.6*4=20.30</t>
  </si>
  <si>
    <t xml:space="preserve">6.7)Approved type terrazzo  </t>
  </si>
  <si>
    <t>window cill Size, 27/3cm</t>
  </si>
  <si>
    <t>W2(12Pcs)</t>
  </si>
  <si>
    <t>L=18.55+1.2X2+.4X2+.15x2=22.50mt</t>
  </si>
  <si>
    <t>W15(7Pcs)</t>
  </si>
  <si>
    <t>7)PAINTING</t>
  </si>
  <si>
    <t>7.2)Chip wood ceiling surface</t>
  </si>
  <si>
    <t>7.3)External rendered surface</t>
  </si>
  <si>
    <t>6.9)10cm thick C-20 RC 1.2mt wide</t>
  </si>
  <si>
    <t>pavement</t>
  </si>
  <si>
    <t>L=38.50+1.2=39.70mt</t>
  </si>
  <si>
    <t>L=18.55mt</t>
  </si>
  <si>
    <t>9.1)Supplay &amp; install PP-R water pipe</t>
  </si>
  <si>
    <t>9.5)Supply &amp; install waste water pipe</t>
  </si>
  <si>
    <r>
      <t xml:space="preserve"> </t>
    </r>
    <r>
      <rPr>
        <sz val="9"/>
        <color theme="1"/>
        <rFont val="Calibri"/>
        <family val="2"/>
      </rPr>
      <t xml:space="preserve">ф 75mm </t>
    </r>
  </si>
  <si>
    <r>
      <t xml:space="preserve"> </t>
    </r>
    <r>
      <rPr>
        <sz val="9"/>
        <color theme="1"/>
        <rFont val="Calibri"/>
        <family val="2"/>
      </rPr>
      <t xml:space="preserve">ф 100mm </t>
    </r>
  </si>
  <si>
    <t>6.01)Telephone points fed though cat 5E</t>
  </si>
  <si>
    <t>2.1points conduti of 16mm  3*2.5mm2</t>
  </si>
  <si>
    <t xml:space="preserve"> 7.01)Philips TCS 098/1/1xTL-D 36W</t>
  </si>
  <si>
    <t>7.03)RZB 59251.002</t>
  </si>
  <si>
    <t>7.05)Massive</t>
  </si>
  <si>
    <t>4.)Socket outlet point</t>
  </si>
  <si>
    <t>4.01)Socket outlet point 3x2.5mm2</t>
  </si>
  <si>
    <t>4.02)Ditto 4.01 but water heater</t>
  </si>
  <si>
    <r>
      <t xml:space="preserve">TV cable in a rigid conduit </t>
    </r>
    <r>
      <rPr>
        <sz val="11"/>
        <color theme="1"/>
        <rFont val="Calibri"/>
        <family val="2"/>
      </rPr>
      <t>ф25mm</t>
    </r>
  </si>
  <si>
    <t>5.01)Socket out lets 16A1ph</t>
  </si>
  <si>
    <t xml:space="preserve">                                     Take off sheet  for Steel reinforsment               </t>
  </si>
  <si>
    <t>Location</t>
  </si>
  <si>
    <t>Dia</t>
  </si>
  <si>
    <t>Length</t>
  </si>
  <si>
    <t>No.of member .</t>
  </si>
  <si>
    <t>No.of       bar.</t>
  </si>
  <si>
    <t>Total No.   of bar</t>
  </si>
  <si>
    <t>GB1 &amp; GB2</t>
  </si>
  <si>
    <t>GB3 &amp; GB4</t>
  </si>
  <si>
    <t xml:space="preserve">TOTAL LENGTH  </t>
  </si>
  <si>
    <t>UINT WEIGHT in KG/ML</t>
  </si>
  <si>
    <t>0.395</t>
  </si>
  <si>
    <t>0.617</t>
  </si>
  <si>
    <t>0.888</t>
  </si>
  <si>
    <t>1.21</t>
  </si>
  <si>
    <t>TOTAL WEIGHT IN KG</t>
  </si>
  <si>
    <t>SUPERVISOR</t>
  </si>
  <si>
    <t>Shape</t>
  </si>
  <si>
    <t>Ømm</t>
  </si>
  <si>
    <t>No. of Members</t>
  </si>
  <si>
    <t xml:space="preserve">              TOTAL LENGTH IN METER</t>
  </si>
  <si>
    <t>ML</t>
  </si>
  <si>
    <t>Membs.</t>
  </si>
  <si>
    <t>b/memb.</t>
  </si>
  <si>
    <t>T/bars</t>
  </si>
  <si>
    <t>Ø6</t>
  </si>
  <si>
    <t>Ø8</t>
  </si>
  <si>
    <t>Ø10</t>
  </si>
  <si>
    <t>Ø12</t>
  </si>
  <si>
    <t>Ø14</t>
  </si>
  <si>
    <t>(x/01-x/02)    (y/01-y/02)</t>
  </si>
  <si>
    <t>(x/01-x/02)    (y/02-y/03)</t>
  </si>
  <si>
    <t>(x/01-x/02)    (y/03-y/04)</t>
  </si>
  <si>
    <t>(x/01-x/02)    (y/04-y/05)</t>
  </si>
  <si>
    <t>(x/01-x/02)    (y/05-y/06)</t>
  </si>
  <si>
    <t>(x/02-x/03)    (y/01-y/02)</t>
  </si>
  <si>
    <t>(x/02-x/03)    (y/02-y/03)</t>
  </si>
  <si>
    <t>(x/02-x/03)    (y/03-y/04)</t>
  </si>
  <si>
    <t>(x/02-x/03)    (y/04-y/05)</t>
  </si>
  <si>
    <t>(x/02-x/03)    (y/05-y/06)</t>
  </si>
  <si>
    <t>(x/03-x/04)    (y/01-y/02)</t>
  </si>
  <si>
    <t>(x/03-x/04)   (y/02-y/03)</t>
  </si>
  <si>
    <t>(x/03-x/04)    (y/03-y/04)</t>
  </si>
  <si>
    <t>(x/03-x/04)    (y/04-y/05)</t>
  </si>
  <si>
    <t>(x/03-x/04)    (y/05-y/06)</t>
  </si>
  <si>
    <t>COLUMN  (C1)</t>
  </si>
  <si>
    <t>TOP TIE BEAM</t>
  </si>
  <si>
    <t>TTB1</t>
  </si>
  <si>
    <t>TTB2</t>
  </si>
  <si>
    <t>TTB3</t>
  </si>
  <si>
    <t>TTB4</t>
  </si>
  <si>
    <t>LENTEL</t>
  </si>
  <si>
    <t>W7</t>
  </si>
  <si>
    <t>TTB4=7Pcs</t>
  </si>
  <si>
    <t>D8(5Pcs)</t>
  </si>
  <si>
    <t>D9(1Pcs)</t>
  </si>
  <si>
    <t>W9(1Pcs)</t>
  </si>
  <si>
    <t>D9(5Pcs)</t>
  </si>
  <si>
    <t>2)BLOCK WORK</t>
  </si>
  <si>
    <t>D1(2Pcs)</t>
  </si>
  <si>
    <t>W2(6Pcs)</t>
  </si>
  <si>
    <t>W9(1Pc)</t>
  </si>
  <si>
    <t>W2(7Pcs)</t>
  </si>
  <si>
    <t>W4(2Pcs)</t>
  </si>
  <si>
    <t>D5(1Pc)</t>
  </si>
  <si>
    <t>6)FINISHING</t>
  </si>
  <si>
    <t xml:space="preserve">6.2)Apply three coats of plastering </t>
  </si>
  <si>
    <t>to internal wall &amp; external beam &amp; colu.</t>
  </si>
  <si>
    <t>W2(1Pcs)</t>
  </si>
  <si>
    <t>D8(4Pcs)</t>
  </si>
  <si>
    <t>W9</t>
  </si>
  <si>
    <t>D7(1Pcs)</t>
  </si>
  <si>
    <t>Cashier</t>
  </si>
  <si>
    <t>W4(1Pcs)</t>
  </si>
  <si>
    <t>D5(1Pcs)</t>
  </si>
  <si>
    <t>W9(2Pcs)</t>
  </si>
  <si>
    <t>6.9)Half Concrete  pipe ditch</t>
  </si>
  <si>
    <t>7)Painting</t>
  </si>
  <si>
    <t>Internal ф 25mm</t>
  </si>
  <si>
    <t>Internal ф 32mm</t>
  </si>
  <si>
    <t xml:space="preserve">9.9)Supply &amp; fix toilet paper holder </t>
  </si>
  <si>
    <t>15mm diameter</t>
  </si>
  <si>
    <t>9.3)Supply &amp; fix bronze gate valve</t>
  </si>
  <si>
    <t xml:space="preserve">6.03)Flush mounted Telephone </t>
  </si>
  <si>
    <t xml:space="preserve">outlets RJ11 type </t>
  </si>
  <si>
    <t>2)LIGHT POINT</t>
  </si>
  <si>
    <t xml:space="preserve"> 7.01)Philips TCS 098/136/1xTL-D 36W</t>
  </si>
  <si>
    <t>2.1)points conduti of 16mm  3*2.5mm2</t>
  </si>
  <si>
    <t>7.02)Philips TCS 098/236/2xTL-D 36W</t>
  </si>
  <si>
    <t>3)SWITCH</t>
  </si>
  <si>
    <t xml:space="preserve">3.01)Single Switch legrand </t>
  </si>
  <si>
    <t>7.03)RZB 59251.002Q/E27/60W</t>
  </si>
  <si>
    <t xml:space="preserve">3.02)Double Switch legrand </t>
  </si>
  <si>
    <t>7.04)RZB 59222.002Q/E27/60W</t>
  </si>
  <si>
    <t xml:space="preserve">3.03)Two way Switch legrand </t>
  </si>
  <si>
    <t>8)TV POINTS</t>
  </si>
  <si>
    <t>8.01)TV point fed through RG6</t>
  </si>
  <si>
    <t>Coaxial 75ohm Tv cable</t>
  </si>
  <si>
    <t>5)Socket outlets</t>
  </si>
  <si>
    <t>5.01)Socket outlets LEGRAND SUNO</t>
  </si>
  <si>
    <t>6)Telephone/data point</t>
  </si>
  <si>
    <t xml:space="preserve">6.01)Telephone point feed through </t>
  </si>
  <si>
    <t>cat 5E UTP Cable</t>
  </si>
  <si>
    <t>st</t>
  </si>
  <si>
    <t>GB-1 ,2</t>
  </si>
  <si>
    <t>GB-3,4</t>
  </si>
  <si>
    <t>(x/01-x/02)  &amp;  (x/03-x/04)</t>
  </si>
  <si>
    <t>(y/01 - y/02)</t>
  </si>
  <si>
    <t>(y/02 - y/07)</t>
  </si>
  <si>
    <t>(y/07 - y/08)</t>
  </si>
  <si>
    <t>(x/02-x/03)  (y/01 - y/02)</t>
  </si>
  <si>
    <t>(x/02-x/03)  (y/02 - y/07)</t>
  </si>
  <si>
    <t>(x/02-x/03)  (y/07 - y/08)</t>
  </si>
  <si>
    <t>Stirrups</t>
  </si>
  <si>
    <t>Ditto on D8</t>
  </si>
  <si>
    <t>TTB2=5Pcs</t>
  </si>
  <si>
    <t xml:space="preserve">Axis Y/01 - Y/05 from ( X/01 - X/02) </t>
  </si>
  <si>
    <t>Axis x/01 &amp; x/02 from  (y/01 - y/05)</t>
  </si>
  <si>
    <r>
      <t>1.6)</t>
    </r>
    <r>
      <rPr>
        <sz val="9"/>
        <rFont val="Calibri"/>
        <family val="2"/>
      </rPr>
      <t>ф12mm deformed bar</t>
    </r>
  </si>
  <si>
    <t>2.1)20cm thick HCB wall</t>
  </si>
  <si>
    <t>Axis Y/01 - Y/05 from (X/01 - X/02)</t>
  </si>
  <si>
    <t>Axis X/01 - X/02 from (Y/01 - Y/05)</t>
  </si>
  <si>
    <t xml:space="preserve">C1=20Pcs </t>
  </si>
  <si>
    <t>W10</t>
  </si>
  <si>
    <t>W11</t>
  </si>
  <si>
    <t>Above top tie beam</t>
  </si>
  <si>
    <t>Axis X/01 &amp; X/02 from (Y/01 - Y/05)</t>
  </si>
  <si>
    <t>Axis Y/01 &amp; Y/05 from (X/01 - X/02)</t>
  </si>
  <si>
    <t>2.2)15cm thick HCB wall</t>
  </si>
  <si>
    <t>4.1)Uper &amp; lower chord</t>
  </si>
  <si>
    <t>Upper =2x4.40=8.80mt</t>
  </si>
  <si>
    <t>D4</t>
  </si>
  <si>
    <t>Lower =2x4.1=8.20mt</t>
  </si>
  <si>
    <t>TOTAL=255.00ml</t>
  </si>
  <si>
    <t>V= 5.98mt</t>
  </si>
  <si>
    <t>D=8.84</t>
  </si>
  <si>
    <t>5.1)Type W7 ,Size 178/168</t>
  </si>
  <si>
    <t>L=1.93X2+2.50X2=8.86mt</t>
  </si>
  <si>
    <t>l=1.93x2+1.35x2=6.56mt</t>
  </si>
  <si>
    <t>L=1X2+1.93X2=5.86</t>
  </si>
  <si>
    <t>L=4.X2+3.55X2+1.10+1.30+0.2=17.70mt</t>
  </si>
  <si>
    <t>Axis Y/01 &amp;  Y/05 from (X/01 - X/02)</t>
  </si>
  <si>
    <t>D4,D5 &amp; D6</t>
  </si>
  <si>
    <t>ceramic floor t.</t>
  </si>
  <si>
    <t>grade beam</t>
  </si>
  <si>
    <t>6.4)Chipwood ceiling</t>
  </si>
  <si>
    <t>L=1.93X2+1X2-1-0.8X2=3.26</t>
  </si>
  <si>
    <t>L=4X2+3.25X2+1X2-1-0.9=14.60mt</t>
  </si>
  <si>
    <t>7.1)External rendered surface</t>
  </si>
  <si>
    <t>6.18)10cm thick C-20 RC 1.2mt wide</t>
  </si>
  <si>
    <t>L=17.0X2+1.2X2=19.40</t>
  </si>
  <si>
    <t>L=7.40mt</t>
  </si>
  <si>
    <t>6.21)Supply &amp; lay storm water</t>
  </si>
  <si>
    <r>
      <t xml:space="preserve">concrete pipe of  1/2 </t>
    </r>
    <r>
      <rPr>
        <sz val="10"/>
        <rFont val="Calibri"/>
        <family val="2"/>
      </rPr>
      <t>ф30cm</t>
    </r>
  </si>
  <si>
    <t>L=19.40+0.3X2=20.00</t>
  </si>
  <si>
    <t>L=7.4+1.2X2=9.80</t>
  </si>
  <si>
    <t>9.10)Supplay &amp; install PP-R water pipe</t>
  </si>
  <si>
    <t>9.9)Supply &amp; fix toilet paper holder made</t>
  </si>
  <si>
    <t>9.6)Supply &amp; install waste water pipe</t>
  </si>
  <si>
    <t>6.00)Socket outlet point</t>
  </si>
  <si>
    <t>6.01)Socket outlet point 3x2.5mm2</t>
  </si>
  <si>
    <t>7.00)Socket outlets</t>
  </si>
  <si>
    <t>7.01)Socket outlets LEGRAND SUNO</t>
  </si>
  <si>
    <t>4.01)points conduti of 16mm  3*2.5mm2</t>
  </si>
  <si>
    <t>5.00)SWITCH</t>
  </si>
  <si>
    <t xml:space="preserve">5.01)Single Switch legrand </t>
  </si>
  <si>
    <t>9.00)Telephone/data point</t>
  </si>
  <si>
    <t xml:space="preserve">9.01)Telephone point feed through </t>
  </si>
  <si>
    <t>Axis x/01  from  (y/01 - y/05)</t>
  </si>
  <si>
    <t>Axis  x/02 from  (y/01 - y/05)</t>
  </si>
  <si>
    <t>1.3)Elevation column</t>
  </si>
  <si>
    <t xml:space="preserve">C1=10Pcs </t>
  </si>
  <si>
    <t>W2</t>
  </si>
  <si>
    <t xml:space="preserve">Axis Y/01 &amp; Y/05 from ( X/01 - X/02) </t>
  </si>
  <si>
    <t>1.4)Beam</t>
  </si>
  <si>
    <t>above top tie beam</t>
  </si>
  <si>
    <t>Axis x/02 &amp; x/03 from  (y/01 - y/06)</t>
  </si>
  <si>
    <t>No .pur =3.70/0.9+1=5</t>
  </si>
  <si>
    <t>W=3+0.50=3.50mt</t>
  </si>
  <si>
    <t>L=17.00+0.6x2=18.20mt</t>
  </si>
  <si>
    <t>L=17+0.50x2=18.00mt</t>
  </si>
  <si>
    <t>3.3)Supply &amp; fix G-28 gutter dev.</t>
  </si>
  <si>
    <t>Axis X/01  from (Y/01 - Y/05)</t>
  </si>
  <si>
    <t>Axis  X/02  from (Y/01 - Y/05)</t>
  </si>
  <si>
    <t>L=3.3+4.00=7.30ml</t>
  </si>
  <si>
    <t>No. truss=17.00/1.33+1=14PCS</t>
  </si>
  <si>
    <t>L=4*2+2.8*2=13.60</t>
  </si>
  <si>
    <t>L=4.05X2+2.6X2-0.90=12.40mt</t>
  </si>
  <si>
    <t>6.16)window cill Size, 27/3cm</t>
  </si>
  <si>
    <t>Axis X/01 &amp; X/02 from (Y/01 - Y/06)</t>
  </si>
  <si>
    <t xml:space="preserve"> beam</t>
  </si>
  <si>
    <t>6.21)10cm thick C-20 RC 1.2mt wide</t>
  </si>
  <si>
    <t>STAFF RESID. lintel</t>
  </si>
  <si>
    <t xml:space="preserve">GB1 </t>
  </si>
  <si>
    <t>GB2</t>
  </si>
  <si>
    <t>GROUND FLOOR MASH</t>
  </si>
  <si>
    <t>(x/01-x/02) (y/01 - y/05)</t>
  </si>
  <si>
    <t>GB-1</t>
  </si>
  <si>
    <t>GB-2</t>
  </si>
  <si>
    <t>W9(5Pcs)</t>
  </si>
  <si>
    <t xml:space="preserve">C1=36Pcs (0.2x0.2) </t>
  </si>
  <si>
    <t>D7(8Pcs)</t>
  </si>
  <si>
    <t>D8(12Pcs)</t>
  </si>
  <si>
    <t>Axis x/01 &amp; x/o4 from  (y/01 - y/09)</t>
  </si>
  <si>
    <t>TTB2=2Pcs</t>
  </si>
  <si>
    <t>from ( y/01 - y/09)</t>
  </si>
  <si>
    <t>Axis y/01 &amp; y/09 from ( x/01 - x/04)</t>
  </si>
  <si>
    <t>D9'(1Pc)</t>
  </si>
  <si>
    <t>Axis x/02,x/03 &amp; x/04 from ( y/01 - y/09)</t>
  </si>
  <si>
    <t>D2(5Pcs)</t>
  </si>
  <si>
    <t>Axis y/02 - y/08 from ( x/01 - x/04)</t>
  </si>
  <si>
    <t>Axis X/01 from (Y/01 - Y/09)</t>
  </si>
  <si>
    <t>W2(10Pcs)</t>
  </si>
  <si>
    <t>W12(2Pcs)</t>
  </si>
  <si>
    <t>W16(1Pc)</t>
  </si>
  <si>
    <t>D6(1Pc)</t>
  </si>
  <si>
    <t>D10(2Pcs)</t>
  </si>
  <si>
    <t>Axis X/04  from (Y/01 - Y/09)</t>
  </si>
  <si>
    <t>1.7)ф14 mm deformed bars</t>
  </si>
  <si>
    <t>1.8)ф12 mm deformed bars</t>
  </si>
  <si>
    <t>1.9)ф8mm deformed bars</t>
  </si>
  <si>
    <t>W14(2Pcs)</t>
  </si>
  <si>
    <t>Axis Y/01 &amp;Y/09  from (X/01 - X/05)</t>
  </si>
  <si>
    <t>Above top tie deam</t>
  </si>
  <si>
    <t>Axis Y/02 from X/03-X/04</t>
  </si>
  <si>
    <t>W12(1Pc)</t>
  </si>
  <si>
    <t>Axis Y/02' from X/01-X/02</t>
  </si>
  <si>
    <t>D2(1Pc)</t>
  </si>
  <si>
    <t>D6(2Pcs)</t>
  </si>
  <si>
    <t>Axis Y/02'' from X/02-X/01</t>
  </si>
  <si>
    <t>Axis Y/05   from (X/04 - X/03)</t>
  </si>
  <si>
    <t>Axis Y/03 from X/03-X/04</t>
  </si>
  <si>
    <t xml:space="preserve">Axis Y/05',06',07'&amp;O8'  </t>
  </si>
  <si>
    <t xml:space="preserve"> from (X/01 - X/02)</t>
  </si>
  <si>
    <t>D</t>
  </si>
  <si>
    <t>Axis Y/03'&amp;Y/03'' from X/01-X/02</t>
  </si>
  <si>
    <t>Axis Y/07</t>
  </si>
  <si>
    <t>Axis Y/03''' from X/03-X/04</t>
  </si>
  <si>
    <t>Axis X/02  from (Y/05 - Y/09)</t>
  </si>
  <si>
    <t>Axis Y/04 from X/01-X/02</t>
  </si>
  <si>
    <t>Axis Y/04'&amp;Y/4'' from X/03-X/04</t>
  </si>
  <si>
    <t>D14(1Pcs)</t>
  </si>
  <si>
    <t>Axis X/03'  from (Y/07 - Y/09)</t>
  </si>
  <si>
    <t>Axis Y/05' from X/01-X/02</t>
  </si>
  <si>
    <t xml:space="preserve">Axis b/n x/02&amp;03 at y/02' </t>
  </si>
  <si>
    <t>Axis Y/06 from X/01-X/02</t>
  </si>
  <si>
    <t>W8(1Pc)</t>
  </si>
  <si>
    <t>Axis X/02 from Y/01 - Y/09</t>
  </si>
  <si>
    <t>Axis Y/06' from X/03-X/04</t>
  </si>
  <si>
    <t>Axis Y/07 from X/01-X/02</t>
  </si>
  <si>
    <t>Axis X/02' from Y/01 - Y/02'</t>
  </si>
  <si>
    <t>Axis Y/07' from X/01-X/02</t>
  </si>
  <si>
    <t>Axis Y/08 from X/03-X/04</t>
  </si>
  <si>
    <t>Axis X/02' from Y/03' - Y/03''</t>
  </si>
  <si>
    <t>Axis Y/08' from X/03-X/04</t>
  </si>
  <si>
    <t>Axis X/02'' from Y/04' - Y/04''</t>
  </si>
  <si>
    <t>Axis b/n y/03 -04 &amp; x/03 -04</t>
  </si>
  <si>
    <t>Axis b/n X/01&amp;02 from Y/05' - Y/06</t>
  </si>
  <si>
    <t>Axis X/03 from Y/01 - Y/05</t>
  </si>
  <si>
    <t>Axis X/02 from Y/07 - Y/08</t>
  </si>
  <si>
    <t>W1</t>
  </si>
  <si>
    <t>Handicapped</t>
  </si>
  <si>
    <t>Lower L=8.85x2=17.70</t>
  </si>
  <si>
    <t>V=20.10mt</t>
  </si>
  <si>
    <t>D=25.32mt</t>
  </si>
  <si>
    <t>No .pur =8.93/0.9+1=12Pcs</t>
  </si>
  <si>
    <t>L=42.90+1.2=44.10mt</t>
  </si>
  <si>
    <t>L=16.35+2x0.60=17.55mt</t>
  </si>
  <si>
    <t>L=42.90+2x0.60=44.10mt</t>
  </si>
  <si>
    <t>WOODEN DOOR</t>
  </si>
  <si>
    <t>METAL DOOR</t>
  </si>
  <si>
    <t>5.6)Type D1 ,Size 140/273</t>
  </si>
  <si>
    <t>5.7)Type D6 ,Size 90/273</t>
  </si>
  <si>
    <t>5.8)Type D10 ,Size 80/273</t>
  </si>
  <si>
    <t>5.4)Type W16 ,Size 150/60</t>
  </si>
  <si>
    <t>Axis X/01  from (Y/01- Y/09)</t>
  </si>
  <si>
    <t>W12(1Pcs)</t>
  </si>
  <si>
    <t>D2(1Pcs)</t>
  </si>
  <si>
    <t>D6(1Pcs)</t>
  </si>
  <si>
    <t>D10(1Pcs)</t>
  </si>
  <si>
    <t>Axis X/04  from (Y/01- Y/09)</t>
  </si>
  <si>
    <t>D1(1Pcs)</t>
  </si>
  <si>
    <t>D3(1Pcs)</t>
  </si>
  <si>
    <t>Axis Y/01 &amp;Y/09  from (X/01 - X/04)</t>
  </si>
  <si>
    <t>Disinfection</t>
  </si>
  <si>
    <t>L=5*2+3.5*2=17.00mt</t>
  </si>
  <si>
    <t>D9'(1PC)</t>
  </si>
  <si>
    <t>L=(2x1.5)+(5.1x2)=13.20mt</t>
  </si>
  <si>
    <t>Auto clave</t>
  </si>
  <si>
    <t>l=5*2+3.6*2=17.20mt</t>
  </si>
  <si>
    <t>D9'</t>
  </si>
  <si>
    <t>D9(Pcs)</t>
  </si>
  <si>
    <t>Sorting</t>
  </si>
  <si>
    <t>L=3.1X2+3.5X2=13.20mt</t>
  </si>
  <si>
    <t>Clean supply</t>
  </si>
  <si>
    <t>L=3.1X2+3.6X2=13.40mt</t>
  </si>
  <si>
    <t>Laboring</t>
  </si>
  <si>
    <t>L=5.25.2+7.25X2=25.00mt</t>
  </si>
  <si>
    <t>Handicupped</t>
  </si>
  <si>
    <t>L=2.95X2+2.05X2=10.00mt</t>
  </si>
  <si>
    <t>Recovery</t>
  </si>
  <si>
    <t>L=4.95X2+5.10X2=20.10mt</t>
  </si>
  <si>
    <t>Utility room</t>
  </si>
  <si>
    <t>L=2.50X2+3.10X2=11.20mt</t>
  </si>
  <si>
    <t>D10&amp;D7</t>
  </si>
  <si>
    <t>W8(1Pcs)</t>
  </si>
  <si>
    <t>L=2.15+4+4.80=13.40mt</t>
  </si>
  <si>
    <t>Utility room Enterance</t>
  </si>
  <si>
    <t>L=2.50+4.15X2=10.80mt</t>
  </si>
  <si>
    <t>D2(2Pcs)</t>
  </si>
  <si>
    <t>L=1.40+7.40X2=16.20mt</t>
  </si>
  <si>
    <t>Slice</t>
  </si>
  <si>
    <t>L=2.50X2+2.85X2=10.70mt</t>
  </si>
  <si>
    <t>Sterile</t>
  </si>
  <si>
    <t>L=2.50X2+2.70X2=10.40mt</t>
  </si>
  <si>
    <t>L=2.95X2+1.98X2=9.88mt</t>
  </si>
  <si>
    <t>Scrub up</t>
  </si>
  <si>
    <t>L=2.5+1.55X2=5.60mt</t>
  </si>
  <si>
    <t>L=1.50X2+2.55X2=8.10mt</t>
  </si>
  <si>
    <t>L=3.05X2+2.45X2=11.00mt</t>
  </si>
  <si>
    <t>Preparation room</t>
  </si>
  <si>
    <t>L=3.05 X2+3.30X2=12.70mt</t>
  </si>
  <si>
    <t>L=2.70X2+5.95X2=17.20mt</t>
  </si>
  <si>
    <t>Doctor's office</t>
  </si>
  <si>
    <t>Postnatal</t>
  </si>
  <si>
    <t>L=5.95X2+5.85x2=23.60mt</t>
  </si>
  <si>
    <t>L=2.25X2+5.85X2=16.20mt</t>
  </si>
  <si>
    <t>W14(1Pcs)</t>
  </si>
  <si>
    <t>Anesthesian</t>
  </si>
  <si>
    <t>L=3.45X2+5.85X2=18.60mt</t>
  </si>
  <si>
    <t>L=3.65X2+3.25X2=13.20mt</t>
  </si>
  <si>
    <t>Preparation admission room</t>
  </si>
  <si>
    <t>L=3.65X2+2.40X2=12.10mt</t>
  </si>
  <si>
    <t>D9'(1Pcs)</t>
  </si>
  <si>
    <t>Instrument room</t>
  </si>
  <si>
    <t>L=3.35X2+3.25X2=13.20mt</t>
  </si>
  <si>
    <t>D6 &amp; D9</t>
  </si>
  <si>
    <t>L=3.35X2+2.40X2=11.50mt</t>
  </si>
  <si>
    <t>Toilet enterance</t>
  </si>
  <si>
    <t>L=1.25X2+2.20X2=6.90mt</t>
  </si>
  <si>
    <t>6.3)8mm thick chipwood ceiling</t>
  </si>
  <si>
    <t>D2(3Pcs)</t>
  </si>
  <si>
    <t>Disinfection  washing</t>
  </si>
  <si>
    <t>L=3.30+2.50=5.80mt</t>
  </si>
  <si>
    <t>Handicapped toilet</t>
  </si>
  <si>
    <t>D9(4Pcs)&amp; D14(1Pcs)</t>
  </si>
  <si>
    <t>Axisy/02 - y/05  from (x/03-x/04)</t>
  </si>
  <si>
    <t>Labouring</t>
  </si>
  <si>
    <t>Axisy/06 - y/08  from (x/01-x/02)</t>
  </si>
  <si>
    <t>External column</t>
  </si>
  <si>
    <t>X Axis top tie beam</t>
  </si>
  <si>
    <t>Slice room</t>
  </si>
  <si>
    <t>Y Axis top tie beam</t>
  </si>
  <si>
    <t>X Axis top Grade beam</t>
  </si>
  <si>
    <t>Y Axis top Grade beam</t>
  </si>
  <si>
    <t>Recovery room</t>
  </si>
  <si>
    <t>Enterance</t>
  </si>
  <si>
    <t>Staff ladies</t>
  </si>
  <si>
    <t>Enternce toilet</t>
  </si>
  <si>
    <t>Gentle man</t>
  </si>
  <si>
    <t>Wating area</t>
  </si>
  <si>
    <t>Preparation/ admission room</t>
  </si>
  <si>
    <t>Postnatal room</t>
  </si>
  <si>
    <t>Ansthesian room</t>
  </si>
  <si>
    <t>L=1.5x2+2.5x2-0.7x2-0.8=5.80mt</t>
  </si>
  <si>
    <t>Delivery room</t>
  </si>
  <si>
    <t>L=1.4x2+1.21x2-0.7=4.52mt</t>
  </si>
  <si>
    <t>OR/SURGORY</t>
  </si>
  <si>
    <t>L=1.4x2+1.24x2-0.7=4.58mt</t>
  </si>
  <si>
    <t xml:space="preserve">6.5)Approved type 6mm thick </t>
  </si>
  <si>
    <t>Toilet 1 handy cup</t>
  </si>
  <si>
    <t>L=2.95X2+2.05X2-1=9.00mt</t>
  </si>
  <si>
    <t>L=1.4x2+1.26x2-0.7=4.62mt</t>
  </si>
  <si>
    <t>L=5.05X2+1.5X2-1-0.9-0.7X4=8.40mt</t>
  </si>
  <si>
    <t>L=1.5+1.25=2.75mt</t>
  </si>
  <si>
    <t>L=1.24x2+1.4x2-0.7=4.58mt</t>
  </si>
  <si>
    <t>L=1.2x2+1.3x2-0.7=4.30mt</t>
  </si>
  <si>
    <t>L=1.24X2+1.4X2-0.7=4.58mt</t>
  </si>
  <si>
    <t>L=1x2+1.3x2-0.7=3.90mt</t>
  </si>
  <si>
    <t>L=1.8x2+3.5x2-0.8=9.80mt</t>
  </si>
  <si>
    <t>Front ofUtility room</t>
  </si>
  <si>
    <t>L=1.15+1.4+2.5+0.61-0.7X2=4.26mt</t>
  </si>
  <si>
    <t>L=4.15x2+2.5-1.4x2-0.8=7.20mt</t>
  </si>
  <si>
    <t>L=1.50x2+2.5-0.8=4.70mt</t>
  </si>
  <si>
    <t xml:space="preserve">Delivery </t>
  </si>
  <si>
    <t>L=3.45x2+7.25x2-0.80-1.40=19.20mt</t>
  </si>
  <si>
    <t>OR</t>
  </si>
  <si>
    <t>L=5.00x2+7.25x2-0.80-1.40=22.30mt</t>
  </si>
  <si>
    <t>W8</t>
  </si>
  <si>
    <t>L=2.95x2+1.99x2-0.90=8.98</t>
  </si>
  <si>
    <t>D9(17) &amp;D6(4)</t>
  </si>
  <si>
    <t>D7&amp;D10</t>
  </si>
  <si>
    <t>D2(8)&amp;D1(1)</t>
  </si>
  <si>
    <t>D3</t>
  </si>
  <si>
    <t>L=3.5*2+5*2-1.3-0.9=14.80mt</t>
  </si>
  <si>
    <t>L=3.6*2+5*2-1.3-0.9=15.00mt</t>
  </si>
  <si>
    <t>L=3.5*2+3.1*2-0.9*2=11.4mt</t>
  </si>
  <si>
    <t>L=3.6*2+3.1*2-0.9*2=11.60mt</t>
  </si>
  <si>
    <t>L=3.6*2+1.8*2-0.8-0.9X2=8.20mt</t>
  </si>
  <si>
    <t>L=7.25*2+5.25*2-0.9-1.4=22.70mt</t>
  </si>
  <si>
    <t>L=3.10*2+2.5*2-0.80-0.90=9.5mt</t>
  </si>
  <si>
    <t>L=2.5*2+2.85*2-0.8*2-0.90=8.20mt</t>
  </si>
  <si>
    <t>L=2.5*2+2.70*2-0.80=9.60mt</t>
  </si>
  <si>
    <t>L=4.95*4-1.4=18.40mt</t>
  </si>
  <si>
    <t>L=2.15*2+2-1.4=4.90mt</t>
  </si>
  <si>
    <t>L=2.15*2+2.80=7.10mt</t>
  </si>
  <si>
    <t xml:space="preserve">Corridor </t>
  </si>
  <si>
    <t>L=7.45*2+1.4-0.8*2-0.9=13.80mt</t>
  </si>
  <si>
    <t>Corridor Office</t>
  </si>
  <si>
    <t>L=7.02*2+2,5*2-1.4-.9*2=15.84mt</t>
  </si>
  <si>
    <t>L=5.9*2+4.5*2-0.90=19.90mt</t>
  </si>
  <si>
    <t>L=5.90+6.05+5.85+2.57=20.37mt</t>
  </si>
  <si>
    <t>L=3.05*2+2.45*2-0.9*2=9.20mt</t>
  </si>
  <si>
    <t>L=3.05*2+3.3*2-0.9*2=10.90mt</t>
  </si>
  <si>
    <t>L=2.7*2+5.9*2-0.90=16.30mt</t>
  </si>
  <si>
    <t>L=5.90*2+5.80*2-1.40=22.00mt</t>
  </si>
  <si>
    <t>L=2.25*2+585*2-0.90=15.30mt</t>
  </si>
  <si>
    <t>L=5.85*2+2.3*2+.6*2-.7*2-.9-.8=14.40mt</t>
  </si>
  <si>
    <t>L=3.45*2+5.85*2-0.90=17.70mt</t>
  </si>
  <si>
    <t>L=1.25*2+2.2*2-0.8*2-0.9=4.40mt</t>
  </si>
  <si>
    <t>L=42.90+1.20=44.10mt</t>
  </si>
  <si>
    <t>L=3.65*2+3.25*2-0.90=12.90mt</t>
  </si>
  <si>
    <t>L=16.35mt</t>
  </si>
  <si>
    <t>L=3.65*2+2.40*2-1.20=10.90mt</t>
  </si>
  <si>
    <t>L=3.35*2+3.25*2-0.90*2=11.40mt</t>
  </si>
  <si>
    <t>L=3.35*2+2.4*2-0.90=10.60mt</t>
  </si>
  <si>
    <t>L=42.90+1.2X1+0.3=44.40mt</t>
  </si>
  <si>
    <t>L=12+2.5*2+12.28-2.5-.90-1.4*2=23.08ml</t>
  </si>
  <si>
    <t>16.35+1.2X2=18.75mt</t>
  </si>
  <si>
    <t>L=19.7*2+2.5*2+0.5*2-2.5-2-2.8-</t>
  </si>
  <si>
    <t>1.4-1.4*3-0.90*5=28.00mt</t>
  </si>
  <si>
    <t>L=42.90+1.2+0.3+.15+.1=44.65mt</t>
  </si>
  <si>
    <t>Size:-27/3cm</t>
  </si>
  <si>
    <t>W2(24Pcs)</t>
  </si>
  <si>
    <t>L=16.35+1.2X2+.3X2+0.15x2=19.65mt</t>
  </si>
  <si>
    <t>W12(5Pcs)</t>
  </si>
  <si>
    <t>w14(2Pcs)</t>
  </si>
  <si>
    <r>
      <t xml:space="preserve"> </t>
    </r>
    <r>
      <rPr>
        <sz val="10"/>
        <color theme="1"/>
        <rFont val="Calibri"/>
        <family val="2"/>
      </rPr>
      <t xml:space="preserve">ф 50mm </t>
    </r>
  </si>
  <si>
    <r>
      <t xml:space="preserve"> </t>
    </r>
    <r>
      <rPr>
        <sz val="10"/>
        <color theme="1"/>
        <rFont val="Calibri"/>
        <family val="2"/>
      </rPr>
      <t xml:space="preserve">ф 75mm </t>
    </r>
  </si>
  <si>
    <r>
      <t xml:space="preserve"> </t>
    </r>
    <r>
      <rPr>
        <sz val="10"/>
        <color theme="1"/>
        <rFont val="Calibri"/>
        <family val="2"/>
      </rPr>
      <t xml:space="preserve">ф 100mm </t>
    </r>
  </si>
  <si>
    <t>5.03)Ditto as above 25A/1PH</t>
  </si>
  <si>
    <t>7.05)Massive3202/67/10</t>
  </si>
  <si>
    <t>5.02)Water proof LEGRAND SUNO</t>
  </si>
  <si>
    <t>C2</t>
  </si>
  <si>
    <t>D2</t>
  </si>
  <si>
    <t>Axis x/01 &amp; x/o4 from  (y/01 - y/06)</t>
  </si>
  <si>
    <t xml:space="preserve">C1=20Pcs &amp; C2=4Pcs (0.2x0.2) </t>
  </si>
  <si>
    <t>Axis y/01 &amp; y/06 from ( x/01 - x/04)</t>
  </si>
  <si>
    <t xml:space="preserve">Axis x/02 &amp; x/03 from ( y/01 - y/06) </t>
  </si>
  <si>
    <t>TTB4=4Pcs</t>
  </si>
  <si>
    <t>Axis y/02 - y/05 from ( x/01 - x/04)</t>
  </si>
  <si>
    <t>Axis Y/01  (X/01 - X/02)</t>
  </si>
  <si>
    <t>Axis X/01 from (Y/01 - Y/04)</t>
  </si>
  <si>
    <t>D1</t>
  </si>
  <si>
    <t>Axis Y/01 - Y/5 from (X/01 - X/02)</t>
  </si>
  <si>
    <t>W4</t>
  </si>
  <si>
    <t>W14</t>
  </si>
  <si>
    <t>Above top tie beam x/01 &amp; x/04</t>
  </si>
  <si>
    <t>Above top tie beam y/01 &amp; y/06</t>
  </si>
  <si>
    <t>Axis X/02 from (Y/01 - Y/04)</t>
  </si>
  <si>
    <t>Axis X/03  from (Y/01 -Y/06)</t>
  </si>
  <si>
    <t>Axis X/04 from (Y/01 - Y/04)</t>
  </si>
  <si>
    <t>Axis Y/03' &amp; Y/06' from (X/03 - X/04)</t>
  </si>
  <si>
    <t>W6</t>
  </si>
  <si>
    <t xml:space="preserve">Toilet </t>
  </si>
  <si>
    <t>Axis b/n y/04 - Y/06 from (X/03-x/04)</t>
  </si>
  <si>
    <t>Axis  Y/07 from (X/02 - X/04)</t>
  </si>
  <si>
    <t>W=11.35+0.60X2=12.55mt</t>
  </si>
  <si>
    <t>L=23.30+0.60X2=24.50mt</t>
  </si>
  <si>
    <t>Axis b/n y/04' - y/06'(x/03 - x/04)</t>
  </si>
  <si>
    <t>Upper =6.47x2=12.94mt</t>
  </si>
  <si>
    <t>Lower =6.08x2=12.16mt</t>
  </si>
  <si>
    <t>V =12.90mt</t>
  </si>
  <si>
    <t>D =16.02mt</t>
  </si>
  <si>
    <t>No .pur =6.47/0.9+1=8Pcs</t>
  </si>
  <si>
    <t>Axis X/01 from (Y/01 - Y/07)</t>
  </si>
  <si>
    <t>Axis X/04  from (Y/01 - Y/07)</t>
  </si>
  <si>
    <t>Hmis</t>
  </si>
  <si>
    <t>L=4X2+2.95X2=13.90mt</t>
  </si>
  <si>
    <t>Medical recording</t>
  </si>
  <si>
    <t>Axis Y/07  from (X/02 - X/04)</t>
  </si>
  <si>
    <t>Axis Y/01  from (X/01 - X/02)</t>
  </si>
  <si>
    <t>Procedure room</t>
  </si>
  <si>
    <t>L=4X2+5.05X2=18.10mt</t>
  </si>
  <si>
    <t>Staff room</t>
  </si>
  <si>
    <t>L=4x2+5.05x2=18.10mt</t>
  </si>
  <si>
    <t>Emerg. waiting/</t>
  </si>
  <si>
    <t>L=1.95+4.20=6.15mt</t>
  </si>
  <si>
    <t>Archive</t>
  </si>
  <si>
    <t>L=22.9X2+2.4X2=50.60mt</t>
  </si>
  <si>
    <t>Toilet M &amp; F</t>
  </si>
  <si>
    <t>L=1.40X2+2.85X2=8.50mt</t>
  </si>
  <si>
    <t xml:space="preserve"> D9</t>
  </si>
  <si>
    <t>W6=6x0.6=3.6</t>
  </si>
  <si>
    <t>Emergence triage examination</t>
  </si>
  <si>
    <t>L=4.20x2+5.80x2=20.00mt</t>
  </si>
  <si>
    <t>L=2.05x2+2.70X2=9.50mt</t>
  </si>
  <si>
    <t>Observation room</t>
  </si>
  <si>
    <t>L=4.20x2+7.25x2=22.90mt</t>
  </si>
  <si>
    <t>W.C</t>
  </si>
  <si>
    <t>L=1.00x2+1.10X2=4.20mt</t>
  </si>
  <si>
    <t>Shower enterance</t>
  </si>
  <si>
    <t xml:space="preserve">Duty room </t>
  </si>
  <si>
    <t>L=1.75X2+1.45X2=6.40mt</t>
  </si>
  <si>
    <t>L=2.20X2+4.20X2=12.80mt</t>
  </si>
  <si>
    <t>D7 (1Pc)</t>
  </si>
  <si>
    <t>L=1.20X2+1.4X2=5.20mt</t>
  </si>
  <si>
    <t>L=2.30X2+1.45X2=7.50mt</t>
  </si>
  <si>
    <t>Grade beam  at x axis</t>
  </si>
  <si>
    <t>Top tie beam  at x axis</t>
  </si>
  <si>
    <t>Exposed beam</t>
  </si>
  <si>
    <t>Axis Y/02,03,04&amp;06 (x/01 -x/03)</t>
  </si>
  <si>
    <t>Axis Y/03  (x/03 -x/04)</t>
  </si>
  <si>
    <t>Emerg. Waiting</t>
  </si>
  <si>
    <t>D4(3Pcs)</t>
  </si>
  <si>
    <t>D5(4Pcs)</t>
  </si>
  <si>
    <t xml:space="preserve">6.6)Approved type cearmic skirting 10/0.9cm  </t>
  </si>
  <si>
    <t>L=4X2+2.95X2-0.9=13.00mt</t>
  </si>
  <si>
    <t>L=4X2+2.95X2-0.9X2=12.10mt</t>
  </si>
  <si>
    <t>L=4x2+5.05x2-0.9X2=16.30mt</t>
  </si>
  <si>
    <t>L=22.9*2+2.4*2-2.95-1.4*2-</t>
  </si>
  <si>
    <t>1.2*2-1*4-0.9*2=36.65mt</t>
  </si>
  <si>
    <t>L=4.20x2+5.80x2-1.2=18.80mt</t>
  </si>
  <si>
    <t>L=23.30+1.20X2+0.3X2=26.30mt</t>
  </si>
  <si>
    <t>L=4.20x2+7.25x2-1.2=21.70mt</t>
  </si>
  <si>
    <t>L=11.35+1.20X2=13.75mt</t>
  </si>
  <si>
    <t>L=2.50+5.00=7.50mt</t>
  </si>
  <si>
    <t>L=1.4x2+1.2x2-1-0.8=3.40mt</t>
  </si>
  <si>
    <t>L=1.45x2+1.20x2-1-0.7-0.8=2.804mt</t>
  </si>
  <si>
    <t>6.19)Consrutcte 10/40 cm curb stone</t>
  </si>
  <si>
    <t>L=2.2x2+4.2x2-0.80=12mt</t>
  </si>
  <si>
    <t>L=11.35+1.20X2+0.3X2+0.15X2=14.95mt</t>
  </si>
  <si>
    <t>6.7)Approved type terrazzo  Cill</t>
  </si>
  <si>
    <t>W2(9Pcs)</t>
  </si>
  <si>
    <t>W6(1Pc)</t>
  </si>
  <si>
    <t>W21(1Pc)</t>
  </si>
  <si>
    <t>Half wall</t>
  </si>
  <si>
    <t>L=23.30+1.20X2=25.70mt</t>
  </si>
  <si>
    <t>L=11.35mt</t>
  </si>
  <si>
    <t xml:space="preserve">made of rigid UPVC  ф 50mm </t>
  </si>
  <si>
    <t>chaser</t>
  </si>
  <si>
    <t>TTB1=3Pcs</t>
  </si>
  <si>
    <t>2.1)20cm HCB wall</t>
  </si>
  <si>
    <t>Axis y/01 &amp; y/04  from (x/03 - x/04)</t>
  </si>
  <si>
    <t>W21</t>
  </si>
  <si>
    <t>chasier</t>
  </si>
  <si>
    <t>C1=14Pcs</t>
  </si>
  <si>
    <t>L=3.8+2.90+3.40+3.80=13.90mt</t>
  </si>
  <si>
    <t>Central triage</t>
  </si>
  <si>
    <t>L=3.90+3.40=7.30mt</t>
  </si>
  <si>
    <t>Above top tie beam Y axis</t>
  </si>
  <si>
    <t>5.1)Type W2 ,Size 150/173</t>
  </si>
  <si>
    <t>5.2)Type W14 ,Size 100/173</t>
  </si>
  <si>
    <t>Axis y/01 &amp;y/04 from (x/01 - x/04)</t>
  </si>
  <si>
    <t>L=4.3+2.15+3.80+0.2=10.45mt</t>
  </si>
  <si>
    <t>L=3.40x2+3.90x2=14.60mt</t>
  </si>
  <si>
    <t>Above top tie beam y/01 &amp;y/06</t>
  </si>
  <si>
    <t>L=3.8X2+4+3.6=15.2mt</t>
  </si>
  <si>
    <t>Columns</t>
  </si>
  <si>
    <t>Casier9</t>
  </si>
  <si>
    <t>L=1.8x2+2.95x2=9.50mt</t>
  </si>
  <si>
    <t>Half wall column</t>
  </si>
  <si>
    <t>top tie beam</t>
  </si>
  <si>
    <t>Rec/Reg.</t>
  </si>
  <si>
    <t>L=2.15+3.1=5.25mt</t>
  </si>
  <si>
    <t>L=1.8x2+3.00x2-0.9=8.7mt</t>
  </si>
  <si>
    <t>L=2.05+3.00-0.90=4.15mt</t>
  </si>
  <si>
    <t>L=4.3+2.15+3.80-0.90=9.35mt</t>
  </si>
  <si>
    <t>Main waiting area</t>
  </si>
  <si>
    <t>L=3.4X2+3.90X2-0.9=13.70mt</t>
  </si>
  <si>
    <t>L=4X2+3.30+3.80+3.3+3.8=22.20mt</t>
  </si>
  <si>
    <t>6.5)Approved type 9mm thick ceramic floor t.</t>
  </si>
  <si>
    <t>waitting</t>
  </si>
  <si>
    <t>W21(1Pcs)</t>
  </si>
  <si>
    <t>W8(2Pcs)</t>
  </si>
  <si>
    <t>Main watting area</t>
  </si>
  <si>
    <t>Axis y/01 &amp; y/04  from (x/02' - x/03)</t>
  </si>
  <si>
    <t>Axis x/02, x/03 &amp; x/04 from (y/02 - y/03)</t>
  </si>
  <si>
    <t>D10(2Pcs) &amp; D9(1Pc)</t>
  </si>
  <si>
    <t>L=16.50+1.2=17.70mt</t>
  </si>
  <si>
    <t>L=16.5+1.20X2+0.3X2=19.50mt</t>
  </si>
  <si>
    <t>covered slab</t>
  </si>
  <si>
    <t>axis x01 up to x04</t>
  </si>
  <si>
    <t>axis y01  up to y06</t>
  </si>
  <si>
    <t>D7/LENTEL/</t>
  </si>
  <si>
    <t>GB1</t>
  </si>
  <si>
    <t>COLUMN</t>
  </si>
  <si>
    <t xml:space="preserve">TTB3  </t>
  </si>
  <si>
    <t>Axis x/01 &amp; x/o4 from  (y/01 - y/05)</t>
  </si>
  <si>
    <t>TTB4=3Pcs</t>
  </si>
  <si>
    <r>
      <t>1.7)</t>
    </r>
    <r>
      <rPr>
        <sz val="10"/>
        <rFont val="Calibri"/>
        <family val="2"/>
      </rPr>
      <t>ф12 mm deformed bars</t>
    </r>
  </si>
  <si>
    <r>
      <t>1.8)</t>
    </r>
    <r>
      <rPr>
        <sz val="10"/>
        <rFont val="Calibri"/>
        <family val="2"/>
      </rPr>
      <t>ф8 mm deformed bars</t>
    </r>
  </si>
  <si>
    <t>Axis X/01 from (Y/01 - Y/05)</t>
  </si>
  <si>
    <t>Axis X/02 &amp; X/03  from (Y/01 - Y/05)</t>
  </si>
  <si>
    <t>W1(1Pc)</t>
  </si>
  <si>
    <t>W20(2PCS)</t>
  </si>
  <si>
    <t>Axis X/04 from (Y/01 - Y/05)</t>
  </si>
  <si>
    <t>Axis   Y/03  from (X/01 - X/04)</t>
  </si>
  <si>
    <t>W1(2Pcs)</t>
  </si>
  <si>
    <t>Axis   Y/03' &amp; Y/04'  from (X/01 - X/04)</t>
  </si>
  <si>
    <t>Axis Y/01 &amp; Y/05 from (X/01 - X/04)</t>
  </si>
  <si>
    <t>D13</t>
  </si>
  <si>
    <t>W=13.00+0.60X2=14.20mt</t>
  </si>
  <si>
    <t>L=22.90+1.20=24.10mt</t>
  </si>
  <si>
    <t>4.1)Uper &amp; lower chord  size 10-12cm</t>
  </si>
  <si>
    <t>Upper =7.26x2=14.52mt</t>
  </si>
  <si>
    <t>L0wer =6.90x2=13.80mt</t>
  </si>
  <si>
    <t>V =14.62mt</t>
  </si>
  <si>
    <t>D= 18.64mt</t>
  </si>
  <si>
    <t>No .pur =7.26/0.9+1=9X2=18</t>
  </si>
  <si>
    <t>L=22.90+1.2=24.10mt</t>
  </si>
  <si>
    <t>Meeting hall</t>
  </si>
  <si>
    <t>L=10.15x2+5.15x2=30.60mt</t>
  </si>
  <si>
    <t>Personnel</t>
  </si>
  <si>
    <t>L=4.35x2+5.15x2=19.00mt</t>
  </si>
  <si>
    <t>W1(5Pcs)</t>
  </si>
  <si>
    <t>L=1.4x2+2.55x2=7.90mt</t>
  </si>
  <si>
    <t>Axis Y/01 &amp; Y/06 from (X/01 - X/04)</t>
  </si>
  <si>
    <t>L=3.5x4+2.4x4=23.60</t>
  </si>
  <si>
    <t>Above top tie beam X/01 &amp; X/06</t>
  </si>
  <si>
    <t>W20(2Pcs)</t>
  </si>
  <si>
    <t>Accountant &amp;Purchaser</t>
  </si>
  <si>
    <t>L=5x2+5.15x2=203.30mt</t>
  </si>
  <si>
    <t>L=22.50x2+2x2=49.00</t>
  </si>
  <si>
    <t>Office for CCO</t>
  </si>
  <si>
    <t>L=4.15x2+5.15x2=18.60mt</t>
  </si>
  <si>
    <t>D13(1Pcs)</t>
  </si>
  <si>
    <t>Library</t>
  </si>
  <si>
    <t>Axis Y/03  from X/01 - X/04</t>
  </si>
  <si>
    <t>Office for CEO</t>
  </si>
  <si>
    <t xml:space="preserve"> exposed beam</t>
  </si>
  <si>
    <t>L=4.95x2+5.15x2=20.20mt</t>
  </si>
  <si>
    <t>Corridor beam exposed beam</t>
  </si>
  <si>
    <t>Secretary</t>
  </si>
  <si>
    <t>Axis Y/04 from X/03 - X/04</t>
  </si>
  <si>
    <t>L=2.80x2+5.15x2=15.90mt</t>
  </si>
  <si>
    <t>L=10.15x2+5.15x2-1.4=29.20mt</t>
  </si>
  <si>
    <t>L=4.95x2+5.15x2-1.4=18.80mt</t>
  </si>
  <si>
    <t>L=2.8x2+5.15x2-0.90=15.00mt</t>
  </si>
  <si>
    <t>L=4.15x2+5.15x2-0.90=17.70mt</t>
  </si>
  <si>
    <t>L=2.55x2+1.40x2-0.70x2-1.15=5.35mt</t>
  </si>
  <si>
    <t>D13(1Pc)</t>
  </si>
  <si>
    <t>W1(3Pcs)</t>
  </si>
  <si>
    <t>W2(16Pcs)</t>
  </si>
  <si>
    <t>L=4.35x2+5.15x2-1.4=17.60mt</t>
  </si>
  <si>
    <t>L=5.00x2+5.15x2-1.4=18.90mt</t>
  </si>
  <si>
    <t>L=22.50x2+2x2-1.4x5-1.15-.9x2-1.2=37.85mt</t>
  </si>
  <si>
    <t>L=24.10+0.40X2=24.40mt</t>
  </si>
  <si>
    <t>L=13+1.2X2=15.40mt</t>
  </si>
  <si>
    <t xml:space="preserve"> 7.01)Philips TCS 098/236/2xTL-D 36W</t>
  </si>
  <si>
    <t>7.02)Philips TCS 098/136/1xTL-D 36W</t>
  </si>
  <si>
    <t>axis x01 - x04</t>
  </si>
  <si>
    <t>axis y01-  y05</t>
  </si>
  <si>
    <t>GROUND FLOOR MESH</t>
  </si>
  <si>
    <t>(y/02 - y/03)</t>
  </si>
  <si>
    <t>(y/03 - y/04)</t>
  </si>
  <si>
    <t>(y/04 - y/05)</t>
  </si>
  <si>
    <t>(x/02-x/03)  (y/02 - y/03)</t>
  </si>
  <si>
    <t>(x/02-x/03)  (y/03 - y/04)</t>
  </si>
  <si>
    <t>(x/02-x/03)  (y/04 - y/05)</t>
  </si>
  <si>
    <t>W19(1Pcs)</t>
  </si>
  <si>
    <t xml:space="preserve">C1=18Pcs </t>
  </si>
  <si>
    <t>W20(1Pcs)</t>
  </si>
  <si>
    <t>Axis x/01 &amp; x/03 from  (y/01 - y/06)</t>
  </si>
  <si>
    <t>TTB2=1Pcs</t>
  </si>
  <si>
    <t>Axis y/01 &amp; y/06 from ( x/01 - x/03)</t>
  </si>
  <si>
    <t>Axis y/02 - y/05 from ( x/01 - x/03)</t>
  </si>
  <si>
    <t>T- Beam</t>
  </si>
  <si>
    <t>D16(1Pcs)</t>
  </si>
  <si>
    <t>W3(1Pcs)</t>
  </si>
  <si>
    <t>W20(1PCS)</t>
  </si>
  <si>
    <t>Axis X/01 &amp; X/03 from (Y/01 - Y/06)</t>
  </si>
  <si>
    <t>Axis  Y/06 &amp; Y/03  from (X/01 - X/03)</t>
  </si>
  <si>
    <t>Axis x/01',X/01'' &amp; X/02'  from (Y/01 - Y/02)</t>
  </si>
  <si>
    <t>Axis x/01'  from (Y/02' - Y/03)</t>
  </si>
  <si>
    <t>Axis x/02'  from (Y/02 - Y/03)</t>
  </si>
  <si>
    <t>Axis x/02''  from (Y/02 - Y/03)</t>
  </si>
  <si>
    <t>W13(1Pcs)</t>
  </si>
  <si>
    <t>W20(3PCS)</t>
  </si>
  <si>
    <t>Axis x/02''  from (Y/04' - Y/05)</t>
  </si>
  <si>
    <t>W26(1Pc)</t>
  </si>
  <si>
    <t>Axis x/01'  from (Y/05' - Y/05)</t>
  </si>
  <si>
    <t>Axis b/n Y/05 - Y/06 from (x/01 &amp;x/02)</t>
  </si>
  <si>
    <t>Axis Y/02 from (X/01 - X/03)</t>
  </si>
  <si>
    <t>Axis b/n Y/02 &amp; Y/03, b/n(x/02 &amp;x/03)</t>
  </si>
  <si>
    <t>Axis b/n Y/05 - Y/06 from (x/02 &amp;x/03)</t>
  </si>
  <si>
    <t>Axis b/n Y/02 &amp; Y/03, b/n(x/01 &amp;x/02)</t>
  </si>
  <si>
    <t>Axis Y/03 from (X/01 -X/02)</t>
  </si>
  <si>
    <t>Axis Y/04 from (X/01 -X/03)</t>
  </si>
  <si>
    <t>Axis Y/04' from (X/01 -X/03)</t>
  </si>
  <si>
    <t>L=12.35+0.60x2=13.55mt</t>
  </si>
  <si>
    <t>L=21.95+0.60X2=23.15mt</t>
  </si>
  <si>
    <t>length=33cm</t>
  </si>
  <si>
    <t>Axis Y/05 from (X/01 -X/02)</t>
  </si>
  <si>
    <t>Axis Y/05 from (X/02 -X/03)</t>
  </si>
  <si>
    <t>Upper =6.95X2=13.90ml</t>
  </si>
  <si>
    <t>Lower =6.58X2=13.16ml</t>
  </si>
  <si>
    <t>V= 13.78mt</t>
  </si>
  <si>
    <t>D= 16.48mt</t>
  </si>
  <si>
    <t>No .pur =6.95/0.9+1=9x2=18</t>
  </si>
  <si>
    <t>L=22+1.20=23.15mt</t>
  </si>
  <si>
    <t>4.6)Type D8 ,Size 70/273</t>
  </si>
  <si>
    <t>Axis Y/01&amp; Y/06 from (X/01 - X/03)</t>
  </si>
  <si>
    <t>L=6.75+12.15=18.90mt</t>
  </si>
  <si>
    <t>Toilet handi</t>
  </si>
  <si>
    <t>L=1.93X2+2.05X2=7.96mt</t>
  </si>
  <si>
    <t>Bacteriology/Hematology AFB room</t>
  </si>
  <si>
    <t>Parasitology</t>
  </si>
  <si>
    <t>L=4.2X2+3X2=14.40mt</t>
  </si>
  <si>
    <t>Toilet for male &amp; female</t>
  </si>
  <si>
    <t>D8(10Pcs)</t>
  </si>
  <si>
    <t>Specimen</t>
  </si>
  <si>
    <t>L=4.2X2+2.50X2=13.40mt</t>
  </si>
  <si>
    <t>W26(1Pcs)</t>
  </si>
  <si>
    <t>L=3.50X2+2.55X2=12.10mt</t>
  </si>
  <si>
    <t>L=6.85+4.20+1.50+3.00+2.95+</t>
  </si>
  <si>
    <t>2.80+3.15=24.45mt</t>
  </si>
  <si>
    <t>W3 (1Pcs)</t>
  </si>
  <si>
    <t>L=3.30X2+2.55X2=11.70mt</t>
  </si>
  <si>
    <t>X - RAY room</t>
  </si>
  <si>
    <t>L=5.20X2+5.40X2=21.20mt</t>
  </si>
  <si>
    <t>Lead door</t>
  </si>
  <si>
    <t>L=3.10X2+2.55X2=11.30mt</t>
  </si>
  <si>
    <t>D16(1Pc)</t>
  </si>
  <si>
    <t>W19 (1Pcs)</t>
  </si>
  <si>
    <t>L=4.35+9.70+1.50+8.1+2.85=26.50mt</t>
  </si>
  <si>
    <t>L=1.10X2+4.6X2=11.40mt</t>
  </si>
  <si>
    <t>L=1.5X2+2.1X2=7.20mt</t>
  </si>
  <si>
    <t>Change room</t>
  </si>
  <si>
    <t>L=1.35X2+1.45X2=5.60</t>
  </si>
  <si>
    <t>Barium kitchen</t>
  </si>
  <si>
    <t>L=1.60X2+1.45X2=6.10</t>
  </si>
  <si>
    <t>Control room</t>
  </si>
  <si>
    <t>Dark room</t>
  </si>
  <si>
    <t>L=2.35X2+3.25X2=11.20mt</t>
  </si>
  <si>
    <t>L=1.1X2+2.7X2=7.60mt</t>
  </si>
  <si>
    <t>At axis x/01 &amp; x/03</t>
  </si>
  <si>
    <t>At axis y/01 &amp; y/06</t>
  </si>
  <si>
    <t>At axis x grade beams</t>
  </si>
  <si>
    <t>At axis y grade beams</t>
  </si>
  <si>
    <t>Exposed beams</t>
  </si>
  <si>
    <t>Axis X2 (y/01 - y/06)</t>
  </si>
  <si>
    <t>Axis X1 &amp; x3  (y/01 - y/06)</t>
  </si>
  <si>
    <t>Axis y/03 (x1 - x2)&amp; axis y/04</t>
  </si>
  <si>
    <t>L=5.20+1.6=6.80mt</t>
  </si>
  <si>
    <t>Cooridor</t>
  </si>
  <si>
    <t>Chang room</t>
  </si>
  <si>
    <t>Rec/Recording /Reporting</t>
  </si>
  <si>
    <t>Handicup</t>
  </si>
  <si>
    <t xml:space="preserve">6.6)Approved type cearmic  skirting 10/0.9cm  </t>
  </si>
  <si>
    <t>L=4.2X2+3X2-0.8=13.60mt</t>
  </si>
  <si>
    <t>L=4.2X2+2.50X2-0.8x2=11.80mt</t>
  </si>
  <si>
    <t>L=4.35+6.85+4.15+1.50+3+2.95+0.15</t>
  </si>
  <si>
    <t>2.80+3.00-0.8-0.7x3=26.07mt</t>
  </si>
  <si>
    <t>L=6.95+12.35-0.8x2-1.6=16.10mt</t>
  </si>
  <si>
    <t>L=3.50X2+2.55X2-0.7-0.8=10.60mt</t>
  </si>
  <si>
    <t>L=3.30X2+2.55X2-0.8=10.90mt</t>
  </si>
  <si>
    <t>L=3.10X2+2.55X2-0.8=10.50mt</t>
  </si>
  <si>
    <t>L=9.7x2+1.5+4.35+2.85-1.6-1.6-.7-1.4=22.8mt</t>
  </si>
  <si>
    <t>L=3.35X2+3.25X2-0.8=11.60mt</t>
  </si>
  <si>
    <t>L=2.35X2+3.25X2-0.8=10.40mt</t>
  </si>
  <si>
    <t>D7(9Pcs)</t>
  </si>
  <si>
    <t>L=5.20X2+5.40X2-1.4-0.9=18.90mt</t>
  </si>
  <si>
    <t>D8(13Pcs)</t>
  </si>
  <si>
    <t>L=1.10X2+4.6X2-0.7x5-0.8=7.10mt</t>
  </si>
  <si>
    <t>L=1.35X2+1.45X2-0.70=4.90mt</t>
  </si>
  <si>
    <t>LEAD DOOR</t>
  </si>
  <si>
    <t>L=1.60X2+1.45X2-0.7=5.40mt</t>
  </si>
  <si>
    <t>W20(5Pcs)</t>
  </si>
  <si>
    <t>L=21.95+1.2x2=24.35mt</t>
  </si>
  <si>
    <r>
      <t xml:space="preserve"> </t>
    </r>
    <r>
      <rPr>
        <sz val="8"/>
        <color theme="1"/>
        <rFont val="Calibri"/>
        <family val="2"/>
      </rPr>
      <t xml:space="preserve">ф 75mm </t>
    </r>
  </si>
  <si>
    <t xml:space="preserve"> 7.01)Philips TMS012/236/2xTL-D 36W</t>
  </si>
  <si>
    <t>7.02)Philips TMS 012/136/1xTL-D 36W</t>
  </si>
  <si>
    <t xml:space="preserve">      Total Length in   D I A M E T E R</t>
  </si>
  <si>
    <t>member</t>
  </si>
  <si>
    <t>axis x1-x3</t>
  </si>
  <si>
    <t>axis y1-y6</t>
  </si>
  <si>
    <t>D16</t>
  </si>
  <si>
    <t>W3</t>
  </si>
  <si>
    <t>W10&amp;W20</t>
  </si>
  <si>
    <t>Axis x/01   from  (y/01 - y/02)</t>
  </si>
  <si>
    <t>Axis  x/02 from  (y/01 - y/02)</t>
  </si>
  <si>
    <t>1.2)In beam</t>
  </si>
  <si>
    <t>Axis x/01 &amp; x/02 from  (y/01 - y/02)</t>
  </si>
  <si>
    <t xml:space="preserve">Axis y/01 &amp; y/02 from ( y/01 - y/02) </t>
  </si>
  <si>
    <t>W7(5Pcs)</t>
  </si>
  <si>
    <t>C1 =4PCS</t>
  </si>
  <si>
    <t>W=5.40+0.60X2=6.60mt</t>
  </si>
  <si>
    <t>Axis x/01 &amp; x/02 from  (y/01 - y/06)</t>
  </si>
  <si>
    <t>L=3.95+0.60X2=5.15mt</t>
  </si>
  <si>
    <r>
      <t>1.5)</t>
    </r>
    <r>
      <rPr>
        <sz val="9"/>
        <rFont val="Calibri"/>
        <family val="2"/>
      </rPr>
      <t>ф12mm deformed bar</t>
    </r>
  </si>
  <si>
    <t>3.4)Flashing in metal sheet</t>
  </si>
  <si>
    <r>
      <t>1.6)</t>
    </r>
    <r>
      <rPr>
        <sz val="9"/>
        <rFont val="Calibri"/>
        <family val="2"/>
      </rPr>
      <t>ф8mm deformed bar</t>
    </r>
  </si>
  <si>
    <t>W1(4Pcs)</t>
  </si>
  <si>
    <t>No .pur =2.75/0.9+1=4X2=8</t>
  </si>
  <si>
    <t>L=5.4+1.2=6.60mt</t>
  </si>
  <si>
    <t>GRADE BEAM</t>
  </si>
  <si>
    <t>COLUMNS</t>
  </si>
  <si>
    <t>Ground mesh</t>
  </si>
  <si>
    <t>Morgue set</t>
  </si>
  <si>
    <t>MEUSH</t>
  </si>
  <si>
    <t>C1=22Pcs +C2   2Pcs =24Pcs</t>
  </si>
  <si>
    <t>Axis X/01 -  X/04 from (Y/01 - Y/06)</t>
  </si>
  <si>
    <t>Axis y/03'&amp; Y/04' from (X/01 - X/02)</t>
  </si>
  <si>
    <t>Above top tie beam X/01 &amp; X/04</t>
  </si>
  <si>
    <t>Above top tie beam Y/01 &amp;x/06</t>
  </si>
  <si>
    <t>W4(4Pcs)</t>
  </si>
  <si>
    <t>D3(4PCS)</t>
  </si>
  <si>
    <t>D9(2Pc)</t>
  </si>
  <si>
    <t>Axis Y/05 from (X/01 - X/02)</t>
  </si>
  <si>
    <t>D11(2Pc)</t>
  </si>
  <si>
    <t>Axis b/n x/03 &amp;x/04  from (y/04' - y/06)</t>
  </si>
  <si>
    <t>D2(2Pc)</t>
  </si>
  <si>
    <t>W15(2Pc)</t>
  </si>
  <si>
    <t>Axis Y/01' y/02'' &amp; y/03' from (X/02 - X/04)</t>
  </si>
  <si>
    <t>Axis Y/02 from (X/01 - X/02)&amp; y/04(x/03-x/04)</t>
  </si>
  <si>
    <t>No .pur =7.26/0.9+1=9x2=18</t>
  </si>
  <si>
    <t>L=28.65+1.2=29.85mt</t>
  </si>
  <si>
    <t>L=28.65+0.6X2=29.85mt</t>
  </si>
  <si>
    <t>L=7.35*2=14.70ml</t>
  </si>
  <si>
    <t>No. truss=28.65/1.33+1=23pcs</t>
  </si>
  <si>
    <t>5.3)Type W15,Size 130/60</t>
  </si>
  <si>
    <t>V = 14.62mt</t>
  </si>
  <si>
    <t>D = 18.64mt</t>
  </si>
  <si>
    <t>5.6)Type D2 ,Size 140/273</t>
  </si>
  <si>
    <t>5.7)Type D3 ,Size 130/273</t>
  </si>
  <si>
    <t>D11(2Pcs)</t>
  </si>
  <si>
    <t>Axis X/01 &amp; x/04 from (Y/01 - Y/06)</t>
  </si>
  <si>
    <t>STORE 1 &amp; 2</t>
  </si>
  <si>
    <t>L=5.10X2+3.20X2=16.60mt</t>
  </si>
  <si>
    <t>OFFICE</t>
  </si>
  <si>
    <t>L=5.10X2+2.50X2=15.20mt</t>
  </si>
  <si>
    <t>L=5.3x2+1.30=11.90mt</t>
  </si>
  <si>
    <t>CHANGING F. &amp; M.</t>
  </si>
  <si>
    <t>SERVER</t>
  </si>
  <si>
    <t>L=4.95X2+3X4=21.90mt</t>
  </si>
  <si>
    <t>L=5.10X2+3X2=16.20mt</t>
  </si>
  <si>
    <t>WASHING /FOOD PREPARATION</t>
  </si>
  <si>
    <t>L=4.95X4+2.95X4+1.40X8=42.80mt</t>
  </si>
  <si>
    <t>L=5.10X2+8X2=26.20mt</t>
  </si>
  <si>
    <t>D8(8Pc)</t>
  </si>
  <si>
    <t>D3(1PCS)</t>
  </si>
  <si>
    <t>LUNDARY</t>
  </si>
  <si>
    <t>L=5.10X2+3.70X2=17.60mt</t>
  </si>
  <si>
    <t>L=28.25X2+2X2=60.50mt</t>
  </si>
  <si>
    <t>RECEIVING/ STORING</t>
  </si>
  <si>
    <t>L=5.10X2+4.30X2=18.80mt</t>
  </si>
  <si>
    <t>CAFTRERIA</t>
  </si>
  <si>
    <t>L=5.10X2+5.90X2=22.00mt</t>
  </si>
  <si>
    <t>GENERAL STORE</t>
  </si>
  <si>
    <t>L=5.10X2+7.60X2=25.40mt</t>
  </si>
  <si>
    <t>PHARMACY STORE</t>
  </si>
  <si>
    <t>L=5.10X2+6.00X2=22.20mt</t>
  </si>
  <si>
    <t>EXPOSED BEAM</t>
  </si>
  <si>
    <t>Axis Y/02,Y/03 &amp; Y/05 from (x/02 - X/04)</t>
  </si>
  <si>
    <t>Axis Y/03 &amp; Y/04 from (x/01 - X/02)</t>
  </si>
  <si>
    <t>CORRIDOR</t>
  </si>
  <si>
    <t>6.6)Approved type 9mm thick ceramic  Skirting</t>
  </si>
  <si>
    <t>L=5.10X2+3X2-0.9x2=14.40mt</t>
  </si>
  <si>
    <t>L=5.10X2+8X2-1.3x2-0.9x2=21.80mt</t>
  </si>
  <si>
    <t xml:space="preserve">STORE 1 </t>
  </si>
  <si>
    <t>L=5.10X2+3.20X2-0.9x2=14.80mt</t>
  </si>
  <si>
    <t>STORE  2</t>
  </si>
  <si>
    <t>L=5.10X2+3.20X2-0.9=15.70mt</t>
  </si>
  <si>
    <t>D3(6Pcs)</t>
  </si>
  <si>
    <t>L=5.10X2+2.50X2-0.9=14.30mt</t>
  </si>
  <si>
    <t>L=5.3x2+1.30-0.8x2=10.30mt</t>
  </si>
  <si>
    <t>L=4.95X2+3X4-0.8x4=18.70mt</t>
  </si>
  <si>
    <t>L=28.25X2+2X2-1.3-1.3x2-1.4x2-0.9x2=52.00mt</t>
  </si>
  <si>
    <t>D9(6Pcs)</t>
  </si>
  <si>
    <t>L=5.10X2+5.90X2-1.3=20.70mt</t>
  </si>
  <si>
    <t>L=5.10X2+7.60X2-1.3=24.10mt</t>
  </si>
  <si>
    <t>L=5.10X2+6.00X2-1.3=20.90mt</t>
  </si>
  <si>
    <t>L=5.10X2+3.70X2-0.9x2=15.80mt</t>
  </si>
  <si>
    <t>L=5.10X2+4.30X2-0.9-1.3=16.60mt</t>
  </si>
  <si>
    <t>L=28.65+1.20=29.85mt</t>
  </si>
  <si>
    <t>4.02)Socket outlet water heater</t>
  </si>
  <si>
    <t>4.03)Socket outlet 3ph point 4x2.5mm2</t>
  </si>
  <si>
    <t>4.04)Socket outlet 3ph point 4x4mm2</t>
  </si>
  <si>
    <t>4.05)Socket outlet 3ph point3x6mm2</t>
  </si>
  <si>
    <t>7.05)Philips TMW 065/236 1 IMK</t>
  </si>
  <si>
    <t>TTB3&amp;TTB4</t>
  </si>
  <si>
    <t>(y/02 - y/05)</t>
  </si>
  <si>
    <t>(y/05 - y/06)</t>
  </si>
  <si>
    <t>(x/02-x/03)  (y/02 - y/05)</t>
  </si>
  <si>
    <t>(x/02-x/03)  (y/05 - y/06)</t>
  </si>
  <si>
    <t>W1(1Pcs)</t>
  </si>
  <si>
    <t>Axis x</t>
  </si>
  <si>
    <t>Axis  y</t>
  </si>
  <si>
    <t>W=5.80mt</t>
  </si>
  <si>
    <t>L=3.50+0.60=4.10mt</t>
  </si>
  <si>
    <t>L=4.20+3.8=8.00ml</t>
  </si>
  <si>
    <t>No. truss=6.00/1.33+1=5pcs</t>
  </si>
  <si>
    <t>L=1.10X2+5.60=7.80mt</t>
  </si>
  <si>
    <t>No .pur =4.2/0.9+1=6mt</t>
  </si>
  <si>
    <t>L=2.75X2+2.0X2.0=9.50mt</t>
  </si>
  <si>
    <t>L=2.60X2+2.0X2.0=9.20mt</t>
  </si>
  <si>
    <t>W1(Pcs)</t>
  </si>
  <si>
    <r>
      <t>1.7)</t>
    </r>
    <r>
      <rPr>
        <sz val="9"/>
        <rFont val="Calibri"/>
        <family val="2"/>
      </rPr>
      <t>ф8mm deformed bar</t>
    </r>
  </si>
  <si>
    <t>L=2.9+0.60X2=4.10mt</t>
  </si>
  <si>
    <t>l=5.20+1.2=6.60mt</t>
  </si>
  <si>
    <t>l=3.01x2=6.02mt</t>
  </si>
  <si>
    <t>Upper=3.10x2= 6.20ml</t>
  </si>
  <si>
    <t>Lower =2.80x2= 5.60mt</t>
  </si>
  <si>
    <t>L=2.50X2+5.00X2=15.00mt</t>
  </si>
  <si>
    <t>V =2.64mt       D=4.00mt</t>
  </si>
  <si>
    <t>No .pur =2.3/0.9+1=4X2=8</t>
  </si>
  <si>
    <t xml:space="preserve">Axis y/01 &amp; y/02 from ( x/01 - x/02) </t>
  </si>
  <si>
    <t>L=2.90+2.4+0.6=5.90mt</t>
  </si>
  <si>
    <t>W=4.70mt</t>
  </si>
  <si>
    <t>L=3.50+0.6=4.10mt</t>
  </si>
  <si>
    <t>5.3)Type W14 ,Size 100/173</t>
  </si>
  <si>
    <t>Size</t>
  </si>
  <si>
    <t>Product</t>
  </si>
  <si>
    <t>Take off sheet no.:-</t>
  </si>
  <si>
    <t xml:space="preserve">                 Page No. :-</t>
  </si>
  <si>
    <t>CONSULTANT:-Amhara Design &amp; Supervision Works Enterprise</t>
  </si>
  <si>
    <t>CLIENT:-ANRS Health Bureau</t>
  </si>
  <si>
    <t>L=2.3x2+2x2+2.20=10.80mt</t>
  </si>
  <si>
    <t>Axis x/04  Corrider</t>
  </si>
  <si>
    <t>L =38.50-0.20*4 =37.90</t>
  </si>
  <si>
    <t>Window edge</t>
  </si>
  <si>
    <t>W1 =12pcs</t>
  </si>
  <si>
    <t>W4 =3pcs</t>
  </si>
  <si>
    <t>W5 =1pcs</t>
  </si>
  <si>
    <t>W7 =5pcs</t>
  </si>
  <si>
    <t>W15 =7pcs</t>
  </si>
  <si>
    <t>W18 =1pcs</t>
  </si>
  <si>
    <t>W20=1pcs</t>
  </si>
  <si>
    <t>Door</t>
  </si>
  <si>
    <t>Wd1-wd5=</t>
  </si>
  <si>
    <t>DDT ceramic wall</t>
  </si>
  <si>
    <t>Sub structure</t>
  </si>
  <si>
    <t>upper=10.61X2=21.22mt</t>
  </si>
  <si>
    <t>l=6*2+7.20*2+0.4-3.5-1.20=21.70mt</t>
  </si>
  <si>
    <t>L=6*2+7.20*2+0.40-3.50-1.20=21.70mt</t>
  </si>
  <si>
    <t>L =3.52*2+3*2-1*2 =11.04</t>
  </si>
  <si>
    <t>DDT Ceramic wall tiles</t>
  </si>
  <si>
    <t>no</t>
  </si>
  <si>
    <r>
      <t>TOTAL=62.36m</t>
    </r>
    <r>
      <rPr>
        <b/>
        <vertAlign val="superscript"/>
        <sz val="10"/>
        <color theme="1"/>
        <rFont val="Calibri"/>
        <family val="2"/>
        <scheme val="minor"/>
      </rPr>
      <t>2</t>
    </r>
  </si>
  <si>
    <r>
      <t>TOTAL=346.40m</t>
    </r>
    <r>
      <rPr>
        <vertAlign val="superscript"/>
        <sz val="10"/>
        <color theme="1"/>
        <rFont val="Calibri"/>
        <family val="2"/>
        <scheme val="minor"/>
      </rPr>
      <t>2</t>
    </r>
  </si>
  <si>
    <t>DDT Ceramic wall</t>
  </si>
  <si>
    <t>10.0 Cable way and Manhole</t>
  </si>
  <si>
    <t xml:space="preserve"> telephone Distribution frame</t>
  </si>
  <si>
    <t xml:space="preserve">10.4 Rigid pvc pipe dia. 50mm  to </t>
  </si>
  <si>
    <t>Block : Emergency</t>
  </si>
  <si>
    <t>L=4.40*2+1.55+1.75=12.10</t>
  </si>
  <si>
    <t>L=4X2+5.05X2-0.9X2=16.10mt</t>
  </si>
  <si>
    <t xml:space="preserve"> 7.01)Philips TCS 098/1/2xTL-D 36W</t>
  </si>
  <si>
    <t>Block : OR &amp; Delivery</t>
  </si>
  <si>
    <t xml:space="preserve">1.4) beam </t>
  </si>
  <si>
    <t>DDT Ceramicc wall</t>
  </si>
  <si>
    <t>7.01)Philips TMS012/136 2*TLD 36W</t>
  </si>
  <si>
    <r>
      <t xml:space="preserve">Internal </t>
    </r>
    <r>
      <rPr>
        <sz val="9"/>
        <color theme="1"/>
        <rFont val="Calibri"/>
        <family val="2"/>
      </rPr>
      <t>ф 32mm</t>
    </r>
  </si>
  <si>
    <t>TOTAL=52.64ml</t>
  </si>
  <si>
    <t>7.3)Chip wood ceiling surface</t>
  </si>
  <si>
    <t>W=10.50+6+0.60=17.10mt</t>
  </si>
  <si>
    <t>L=9.60+0.60x2=10.80mt</t>
  </si>
  <si>
    <t>L =22.90+0.60*2 =24.10</t>
  </si>
  <si>
    <t xml:space="preserve">5.02)Two way Switch legrand </t>
  </si>
  <si>
    <t>5.2)Type W4 ,Size 130/173</t>
  </si>
  <si>
    <t>1.3)Elevation column &amp; beam</t>
  </si>
  <si>
    <t>10.04 Cable way &amp; manhole</t>
  </si>
  <si>
    <t xml:space="preserve">Multi-core cable with copper conductors,XLPE </t>
  </si>
  <si>
    <t>mesh</t>
  </si>
  <si>
    <t>Project :Wegeda Primary Hospital</t>
  </si>
  <si>
    <t>CONTRACTOR:-Trust Construction</t>
  </si>
  <si>
    <t>Block : IPD</t>
  </si>
  <si>
    <t>CONTRACTOR:-Trusr Construction</t>
  </si>
  <si>
    <t xml:space="preserve">      Block :  S. Quarter</t>
  </si>
  <si>
    <t>Block :  Staff residance</t>
  </si>
  <si>
    <t>Axis y/02-y/07 from (x/01 - x/04)</t>
  </si>
  <si>
    <t>Block :  OPD</t>
  </si>
  <si>
    <t>Page No. :-</t>
  </si>
  <si>
    <t>PROJECT:-Wegeda Primary Hospital</t>
  </si>
  <si>
    <t>PROJECT:- Wegeda Primary Hospital</t>
  </si>
  <si>
    <t>PROJET:-Wegeda Primary Hospital</t>
  </si>
  <si>
    <t>Block :  S. Quarter</t>
  </si>
  <si>
    <r>
      <t xml:space="preserve">Internal </t>
    </r>
    <r>
      <rPr>
        <sz val="12"/>
        <color theme="1"/>
        <rFont val="Calibri"/>
        <family val="2"/>
      </rPr>
      <t>ф 15mm</t>
    </r>
  </si>
  <si>
    <r>
      <t xml:space="preserve">Internal </t>
    </r>
    <r>
      <rPr>
        <sz val="12"/>
        <color theme="1"/>
        <rFont val="Calibri"/>
        <family val="2"/>
      </rPr>
      <t>ф 25mm</t>
    </r>
  </si>
  <si>
    <r>
      <t xml:space="preserve"> </t>
    </r>
    <r>
      <rPr>
        <sz val="12"/>
        <color theme="1"/>
        <rFont val="Calibri"/>
        <family val="2"/>
      </rPr>
      <t>ф 75mm of min. wall thickness=3mm</t>
    </r>
  </si>
  <si>
    <r>
      <t xml:space="preserve"> </t>
    </r>
    <r>
      <rPr>
        <sz val="12"/>
        <color theme="1"/>
        <rFont val="Calibri"/>
        <family val="2"/>
      </rPr>
      <t>ф 100mm of min. wall thickness=3.2mm</t>
    </r>
  </si>
  <si>
    <t>Axis x/01 &amp; x/o4 from  (y/01-y/06)</t>
  </si>
  <si>
    <t xml:space="preserve">Axis x/02 &amp; x/03 from ( y/01-y/06) </t>
  </si>
  <si>
    <t>Axis y/01 &amp; y/06 from ( x/01-x/04)</t>
  </si>
  <si>
    <t>6.19)Consrutcte curb stone</t>
  </si>
  <si>
    <t>Mem.</t>
  </si>
  <si>
    <t>b/mem.</t>
  </si>
  <si>
    <t>Block : waiting</t>
  </si>
  <si>
    <t xml:space="preserve">              </t>
  </si>
  <si>
    <t>Total Including VAT(15%)</t>
  </si>
  <si>
    <t>VAT</t>
  </si>
  <si>
    <t>Grand total</t>
  </si>
  <si>
    <t>Site work</t>
  </si>
  <si>
    <t>Morgue</t>
  </si>
  <si>
    <t>Gurad house</t>
  </si>
  <si>
    <t>Generator and transformer house</t>
  </si>
  <si>
    <t>Diagnostic service</t>
  </si>
  <si>
    <t>Administration</t>
  </si>
  <si>
    <t>Emergency &amp; Waiting</t>
  </si>
  <si>
    <t>OR and Delivery</t>
  </si>
  <si>
    <t>Staff Residence+SQ</t>
  </si>
  <si>
    <t>OPD</t>
  </si>
  <si>
    <t>General ward (IPD)</t>
  </si>
  <si>
    <t>Block type</t>
  </si>
  <si>
    <t>Grand summary</t>
  </si>
  <si>
    <t xml:space="preserve">          Page - ___</t>
  </si>
  <si>
    <t>Client :-ANRS Health Bureau</t>
  </si>
  <si>
    <t>Block:-IPD</t>
  </si>
  <si>
    <t xml:space="preserve">Details of Works executed </t>
  </si>
  <si>
    <t>Bill No.</t>
  </si>
  <si>
    <t xml:space="preserve">Sub Total Birr </t>
  </si>
  <si>
    <t xml:space="preserve">Total Birr </t>
  </si>
  <si>
    <t>የውለታ</t>
  </si>
  <si>
    <t>የተሠራው</t>
  </si>
  <si>
    <t>Contract</t>
  </si>
  <si>
    <t>Executed</t>
  </si>
  <si>
    <t xml:space="preserve">A. Sub structure </t>
  </si>
  <si>
    <t>Excavation and Earth work</t>
  </si>
  <si>
    <t>Concrete Work</t>
  </si>
  <si>
    <t>Masonry work</t>
  </si>
  <si>
    <t>sub total A</t>
  </si>
  <si>
    <t>B. Super Structure</t>
  </si>
  <si>
    <t>Block work</t>
  </si>
  <si>
    <t>Roofing</t>
  </si>
  <si>
    <t>Carpentary &amp; joinery</t>
  </si>
  <si>
    <t>Metal work</t>
  </si>
  <si>
    <t>Finishing</t>
  </si>
  <si>
    <t>Painting</t>
  </si>
  <si>
    <t>Glazing</t>
  </si>
  <si>
    <t>Sanitory Installation</t>
  </si>
  <si>
    <t>Electrical Installation</t>
  </si>
  <si>
    <t>sub total B</t>
  </si>
  <si>
    <t>Total A+B</t>
  </si>
  <si>
    <t xml:space="preserve">I/We ____________________here by certify that the above figures/are corrected and the total </t>
  </si>
  <si>
    <t>Contractor :- _________________</t>
  </si>
  <si>
    <t>Suppervisor :- ______________</t>
  </si>
  <si>
    <t>Consultant:- _____________</t>
  </si>
  <si>
    <t xml:space="preserve">                       Total to summary ………Birr</t>
  </si>
  <si>
    <t>Ml</t>
  </si>
  <si>
    <t>PCs</t>
  </si>
  <si>
    <t xml:space="preserve">Copper Earthing rod of 16x2400mm to be driven </t>
  </si>
  <si>
    <t>Low Voltage Earthing system</t>
  </si>
  <si>
    <t>Rigid pvc pipe dia. 50mm  to telephone</t>
  </si>
  <si>
    <t xml:space="preserve"> "</t>
  </si>
  <si>
    <t xml:space="preserve">Rigid pvc pipe of dia.32mm For 4x6mm2 </t>
  </si>
  <si>
    <t>mt</t>
  </si>
  <si>
    <t>Rigid pvc pipe of dia.60mm From CMDB</t>
  </si>
  <si>
    <t>Cable way and Manhole</t>
  </si>
  <si>
    <t>Power Cables(XLPE 0.6/KV or approved equ.)</t>
  </si>
  <si>
    <t>Flush mounted TV outlets type Legrand Suno</t>
  </si>
  <si>
    <t xml:space="preserve">TV points fed through RG6 Coaxial 75ohm TV </t>
  </si>
  <si>
    <t>TV points</t>
  </si>
  <si>
    <t>MASSIVE 3202/02/67/1XE27/75W</t>
  </si>
  <si>
    <t xml:space="preserve">RZB 59222.002 with RZB 05-56150Q50W lamp or </t>
  </si>
  <si>
    <t xml:space="preserve">RZB 59251.002 with RZB 05-56150Q50W lamp or </t>
  </si>
  <si>
    <t>PHILIPS TMS 012/136 IMKwith 1xTLD 36W</t>
  </si>
  <si>
    <t>PHILIPS TMS 012/236 IMKwith 2xTLD 36W</t>
  </si>
  <si>
    <t>Type of Light Fitting With lamp</t>
  </si>
  <si>
    <t xml:space="preserve">Flush mounted Telephone outlets RJ11 type </t>
  </si>
  <si>
    <t xml:space="preserve">Telephone points fed through cat 5E UTP cable  </t>
  </si>
  <si>
    <t>Telephone/Data points</t>
  </si>
  <si>
    <t>weather proof socket Legrand Suno 774022+774041</t>
  </si>
  <si>
    <t>Socket outlet LEGRAND SUNO 774023 16 1ph</t>
  </si>
  <si>
    <t xml:space="preserve">Socket outlets </t>
  </si>
  <si>
    <t>Ditto as 4.01 but for water heater points</t>
  </si>
  <si>
    <t xml:space="preserve">Socket outlet points in regid thermoplastic conduit </t>
  </si>
  <si>
    <t>Socket outlet points</t>
  </si>
  <si>
    <t xml:space="preserve">  "</t>
  </si>
  <si>
    <t>Intermediate(774007+774041)</t>
  </si>
  <si>
    <t>Two-Way(774006+774041)</t>
  </si>
  <si>
    <t>Duoble(774005+774042)</t>
  </si>
  <si>
    <t>single(774001+774041)</t>
  </si>
  <si>
    <t xml:space="preserve">Switches </t>
  </si>
  <si>
    <t>Light points</t>
  </si>
  <si>
    <t>Flush mounted Sub distribution board SDB-WARD</t>
  </si>
  <si>
    <t>10. ELECTRICAL INSTALLATION</t>
  </si>
  <si>
    <t xml:space="preserve">Supply and mount fire extinguishers of class ABC </t>
  </si>
  <si>
    <t>LM</t>
  </si>
  <si>
    <t>Supply and fix 100mm 3.2mm thickness down</t>
  </si>
  <si>
    <t xml:space="preserve">Supply &amp; fix 50mm diameter floor drain made of  </t>
  </si>
  <si>
    <t>Supply and fix toilet paper holder made of metal</t>
  </si>
  <si>
    <t>Supply and fix low flush white vitreous china W C</t>
  </si>
  <si>
    <t>Supply and fix 500x400 mm white vitreous</t>
  </si>
  <si>
    <t xml:space="preserve">   150 mm diameter of min. wall thickness=3.2mm</t>
  </si>
  <si>
    <t xml:space="preserve">   100 mm diameter of min. wall thickness=3.2mm</t>
  </si>
  <si>
    <t xml:space="preserve">      75mm diameter of min. wall thickness=3mm</t>
  </si>
  <si>
    <t xml:space="preserve">      50mm diameter of min. wall thickness=2mm</t>
  </si>
  <si>
    <t xml:space="preserve">Supply and install waste water pipes made of rigid </t>
  </si>
  <si>
    <t>Ditto item 3,but chrome plated 15mm water tap</t>
  </si>
  <si>
    <t xml:space="preserve">              25mm diameter</t>
  </si>
  <si>
    <t xml:space="preserve">              20mm diameter</t>
  </si>
  <si>
    <t xml:space="preserve">              15mm diameter</t>
  </si>
  <si>
    <t>All valves shall be compatible to PP-R pipes</t>
  </si>
  <si>
    <t>Supply and fix bronze gate valves complete with unions,</t>
  </si>
  <si>
    <t xml:space="preserve">Supply and fix chrome angle valves complete </t>
  </si>
  <si>
    <t xml:space="preserve">              32mm diameter  ;internal</t>
  </si>
  <si>
    <t xml:space="preserve">              25mm diameter  ;internal</t>
  </si>
  <si>
    <t xml:space="preserve">              20mm diameter  ;internal</t>
  </si>
  <si>
    <t xml:space="preserve">              15mm diameter  ;internal</t>
  </si>
  <si>
    <t>ALL INTERNAL DIAMETER</t>
  </si>
  <si>
    <t>shall be coated by HDPE layer &amp; PN=20bar</t>
  </si>
  <si>
    <t xml:space="preserve">Supply and install PP-R water pipes for water </t>
  </si>
  <si>
    <t>9. SANITARY INSTALLATION</t>
  </si>
  <si>
    <t>4mm thick frosted glass</t>
  </si>
  <si>
    <t>8. GLAZING</t>
  </si>
  <si>
    <t>External rendered surface</t>
  </si>
  <si>
    <t xml:space="preserve">Chip wood ceiling surface </t>
  </si>
  <si>
    <t>Internal plastered surfaceand external beams&amp;</t>
  </si>
  <si>
    <t>7. PAINTING</t>
  </si>
  <si>
    <t>ml</t>
  </si>
  <si>
    <t xml:space="preserve">Construction of 10x40 cm curb stone </t>
  </si>
  <si>
    <t xml:space="preserve">Supply and lay  concrete pipes of half diameter 30cm </t>
  </si>
  <si>
    <t xml:space="preserve">10 cm thick C-20  RC 1.2 m wide pavement </t>
  </si>
  <si>
    <t>m</t>
  </si>
  <si>
    <t>30/30/3mm angle iron corner protection</t>
  </si>
  <si>
    <t>Approved type Terrazo window cill .size 27/3cm</t>
  </si>
  <si>
    <t xml:space="preserve">Approved type Ceramic tile skirting </t>
  </si>
  <si>
    <t xml:space="preserve">Approved type 9mm thick non slippery ceramic tile  floor </t>
  </si>
  <si>
    <t xml:space="preserve">Approved type 6mm thick glazed ceramic wall tile </t>
  </si>
  <si>
    <t xml:space="preserve">Chip wood ceiling nailed on &amp; including </t>
  </si>
  <si>
    <t>Apply three coats of plastering to internal walls&amp;</t>
  </si>
  <si>
    <t>Apply two coats of plastering and one coat of ren</t>
  </si>
  <si>
    <t>6. FINISHING</t>
  </si>
  <si>
    <t>Nº</t>
  </si>
  <si>
    <t>Type D10 size - 80/273cm</t>
  </si>
  <si>
    <t>Type D6 size - 90/273cm</t>
  </si>
  <si>
    <t>Type D4 size - 120/273cm</t>
  </si>
  <si>
    <t>Doors</t>
  </si>
  <si>
    <t>Type W18 size-600/60cm</t>
  </si>
  <si>
    <t>Type W15 size-130/60cm</t>
  </si>
  <si>
    <t>Type W6 size-280/60cm</t>
  </si>
  <si>
    <t>Type W5 size-75/173cm</t>
  </si>
  <si>
    <t>Type W4 size-130/173cm</t>
  </si>
  <si>
    <t>Type W2 size-150/173cm</t>
  </si>
  <si>
    <t xml:space="preserve">Windows </t>
  </si>
  <si>
    <t>5. METAL  WORK</t>
  </si>
  <si>
    <t>Type D9 size-90/273cm</t>
  </si>
  <si>
    <t>Type D8 size-70/273cm</t>
  </si>
  <si>
    <t>Type D7 size-80/273cm</t>
  </si>
  <si>
    <t>Type D5 size - 100/273cm</t>
  </si>
  <si>
    <t xml:space="preserve">Doors </t>
  </si>
  <si>
    <t xml:space="preserve">Zigba wooden fascia board price includes three coats </t>
  </si>
  <si>
    <t>Purlin zigba size 5/7cm</t>
  </si>
  <si>
    <t>Vertical &amp; Diagonal memberes  size-diameter 8-10cm</t>
  </si>
  <si>
    <t>Upper &amp; lower chord size-diameter 10 - 12cm</t>
  </si>
  <si>
    <t>4. CARPENTRY &amp; JOINERY</t>
  </si>
  <si>
    <t xml:space="preserve">Supply and fix G-28 flat metal sheet gutter </t>
  </si>
  <si>
    <t>Flashing in flat metal sheet fixed as shown</t>
  </si>
  <si>
    <t xml:space="preserve">G-28 ribbed sheet ceiling under eave nailed to Zigba purlins. </t>
  </si>
  <si>
    <t xml:space="preserve">G-28 CIS Roof covering in galvanized corrugated </t>
  </si>
  <si>
    <t>3.ROOFING</t>
  </si>
  <si>
    <t>cp</t>
  </si>
  <si>
    <t>m2</t>
  </si>
  <si>
    <t>15cm thick</t>
  </si>
  <si>
    <t>20cm thick</t>
  </si>
  <si>
    <t xml:space="preserve">Concrete block wall class "C" bedded in cement </t>
  </si>
  <si>
    <t>2.  BLOCK   WORK</t>
  </si>
  <si>
    <t>kg</t>
  </si>
  <si>
    <t>Dia 8 mm deformed bar</t>
  </si>
  <si>
    <t>Dia 12mm deformed bar</t>
  </si>
  <si>
    <t>Dia 14mm deformed bar</t>
  </si>
  <si>
    <t>Reinforcement steel bar according to St.drawing</t>
  </si>
  <si>
    <t xml:space="preserve">Beam </t>
  </si>
  <si>
    <t>Elevation column</t>
  </si>
  <si>
    <t>Provide cut and fix in position swan zigzag wood form work</t>
  </si>
  <si>
    <t xml:space="preserve">In beams&amp; steps </t>
  </si>
  <si>
    <t>In elevation column</t>
  </si>
  <si>
    <t xml:space="preserve">Reinforced concrete class C -25, with minimum </t>
  </si>
  <si>
    <t xml:space="preserve">1.CONCRETE WORK </t>
  </si>
  <si>
    <t>B. SUPER - STRUCTURE</t>
  </si>
  <si>
    <t>Ditto but above natural ground level externally</t>
  </si>
  <si>
    <t>Trychitic or equivalent stone masonry foundation</t>
  </si>
  <si>
    <t>3. MASONRY WORK</t>
  </si>
  <si>
    <t xml:space="preserve">10/2 cm chip wood expansion joint between </t>
  </si>
  <si>
    <t>Dia. 12mm deformed bar</t>
  </si>
  <si>
    <t>Dia 14 mm deformed bar</t>
  </si>
  <si>
    <t xml:space="preserve">price includes cutting, bending, placing in </t>
  </si>
  <si>
    <t>In footing coloumn</t>
  </si>
  <si>
    <t>In footing pad</t>
  </si>
  <si>
    <t>Provide cut and fix in position swan zigzag woodform work</t>
  </si>
  <si>
    <t>In grade beam&amp;Steps</t>
  </si>
  <si>
    <t xml:space="preserve">10cm thick reinforced concrete floor slab class </t>
  </si>
  <si>
    <t>Ditto but under footing pad</t>
  </si>
  <si>
    <t>5cm thick lean concrete class C-7, with</t>
  </si>
  <si>
    <t>2. CONCRETE WORK</t>
  </si>
  <si>
    <t>25cm thick basaltic or equivalent stone hard core</t>
  </si>
  <si>
    <t>Cart away surplus excavated material to an</t>
  </si>
  <si>
    <t xml:space="preserve">Selected borrowed fill brought from out side </t>
  </si>
  <si>
    <t>Ditto but exceeding 1.5m less than 2m</t>
  </si>
  <si>
    <t xml:space="preserve">Bulk excavation  in ordinary </t>
  </si>
  <si>
    <t xml:space="preserve">Clear off site to remove top soil to an average </t>
  </si>
  <si>
    <t>1. EXCAVATION &amp; EARTH WORK</t>
  </si>
  <si>
    <t>A. SUB- STRUCTURE</t>
  </si>
  <si>
    <t>Amount</t>
  </si>
  <si>
    <t>Qty</t>
  </si>
  <si>
    <t>Rate</t>
  </si>
  <si>
    <t xml:space="preserve">Contract </t>
  </si>
  <si>
    <t>QTY</t>
  </si>
  <si>
    <t>Unit</t>
  </si>
  <si>
    <t>Item</t>
  </si>
  <si>
    <t>Carpentry &amp; Joinery</t>
  </si>
  <si>
    <t xml:space="preserve">Executed </t>
  </si>
  <si>
    <t>amount</t>
  </si>
  <si>
    <t>Ditto but exceeding 1.5 m but less than 2m.</t>
  </si>
  <si>
    <t xml:space="preserve">25cm thick basaltic or equivalent stone hard </t>
  </si>
  <si>
    <t>position and tying wires.</t>
  </si>
  <si>
    <t>Dia 6 mm deformed bar</t>
  </si>
  <si>
    <t xml:space="preserve">G28 ribbed sheet ceiling under eave </t>
  </si>
  <si>
    <t>Upper &amp; lower chord size-diameter 10 - 12 cm</t>
  </si>
  <si>
    <t>Diagonal &amp; vertical Members size-diameter 8 - 10 cm</t>
  </si>
  <si>
    <t>Type W23 size-180/60cm</t>
  </si>
  <si>
    <t>Type W24 size-100/60cm</t>
  </si>
  <si>
    <t>Type D2 size - 140/273cm</t>
  </si>
  <si>
    <t xml:space="preserve">8mm Chip wood ceiling nailed on &amp; including </t>
  </si>
  <si>
    <t>Approved type 6mm thick glazed ceramic wall tile</t>
  </si>
  <si>
    <t>Approved type 9mm thick non slippery ceramic tile  floor</t>
  </si>
  <si>
    <t>Approved type Ceramic tile skirting</t>
  </si>
  <si>
    <t>Approved type Terrazo window cill size 27/3cm</t>
  </si>
  <si>
    <t>10 cm thick C-20  RC 1.2 m wide pavement</t>
  </si>
  <si>
    <t xml:space="preserve">Supply storm water concrete pipes of half diameter 30cm </t>
  </si>
  <si>
    <t xml:space="preserve">              50mm diameter ;internal</t>
  </si>
  <si>
    <t>Supply and fix low flush white vitreous china</t>
  </si>
  <si>
    <t xml:space="preserve"> 5x10mm2 </t>
  </si>
  <si>
    <t>4x6mm2 from SDB-OPD to SDB-EMRG</t>
  </si>
  <si>
    <t>Rigid pvc pipe of dia.40mm From CMDB</t>
  </si>
  <si>
    <t xml:space="preserve">Rigid pvc pipe dia. 50mm  to </t>
  </si>
  <si>
    <t>Copper conductor of 1x10mm2 for Earthing</t>
  </si>
  <si>
    <t xml:space="preserve">Summary of Statement </t>
  </si>
  <si>
    <t>Project :- Wegeda Primary Hospital</t>
  </si>
  <si>
    <t>Location : Wegeda</t>
  </si>
  <si>
    <t>Contractor :- Trust Construction</t>
  </si>
  <si>
    <t>Ditto but exceeding 1.5 m but less than 2 m</t>
  </si>
  <si>
    <t>10cm thick reinforced concrete floor slab class c-20</t>
  </si>
  <si>
    <t xml:space="preserve">In grade beam &amp; steps </t>
  </si>
  <si>
    <t>Provide cut and fix in position swan zigba woodform work</t>
  </si>
  <si>
    <t xml:space="preserve">Steps </t>
  </si>
  <si>
    <t>Dia 6 mm plain bar</t>
  </si>
  <si>
    <t>Ditto but well dressed stone above natural ground level</t>
  </si>
  <si>
    <t>In beams</t>
  </si>
  <si>
    <t>Dia 8mm deformed bar</t>
  </si>
  <si>
    <t xml:space="preserve">G - 28 Roof covering in galvanized corrugated </t>
  </si>
  <si>
    <t xml:space="preserve">G - 28ribbed sheet ceiling under eave </t>
  </si>
  <si>
    <t xml:space="preserve">Supply and fix 110 mm diameter PVC down </t>
  </si>
  <si>
    <t xml:space="preserve">Flushing in flat metal sheet fixed as shown </t>
  </si>
  <si>
    <t>Diagonal &amp; vertical members size-dia. 8 - 10 cm</t>
  </si>
  <si>
    <t xml:space="preserve">Ziba wooden fascia board price includes three coats </t>
  </si>
  <si>
    <t>Apply three coats of plastering to internal walls &amp;</t>
  </si>
  <si>
    <t>Approv type 9mm thick non slippery ceramic tile  floor</t>
  </si>
  <si>
    <t xml:space="preserve">Thread size -30/3cm </t>
  </si>
  <si>
    <t xml:space="preserve">Riser size 15/2cm </t>
  </si>
  <si>
    <t xml:space="preserve">lay storm water concrete pipes of half diameter 30cm </t>
  </si>
  <si>
    <t>Construction of 10x40 cm curb stone</t>
  </si>
  <si>
    <t xml:space="preserve">Supply &amp; install PP-R water pipes for water </t>
  </si>
  <si>
    <t xml:space="preserve">Supply &amp; fix chrome angle valves complete with </t>
  </si>
  <si>
    <t xml:space="preserve">Supply &amp; fix bronze gate valves complete with </t>
  </si>
  <si>
    <t xml:space="preserve">Supply &amp; install waste water pipes made of rigid </t>
  </si>
  <si>
    <t xml:space="preserve">    50mm diameter of min. wall thickness=2mm</t>
  </si>
  <si>
    <t xml:space="preserve">    75mm diameter of min. wall thickness=3mm</t>
  </si>
  <si>
    <t xml:space="preserve">  100 mm diameter of min. wall thickness=3.2mm</t>
  </si>
  <si>
    <t xml:space="preserve">Supply &amp; fix 500x400 mm colored vitreous china </t>
  </si>
  <si>
    <t xml:space="preserve">Suply &amp; fix low flush colored vitreous china water </t>
  </si>
  <si>
    <t>Supply &amp; fix toilet paper holder made of metal</t>
  </si>
  <si>
    <t xml:space="preserve">Supply &amp; fix crystal glass mirror of </t>
  </si>
  <si>
    <t>Supply &amp; fix 600mm long towel hanger for</t>
  </si>
  <si>
    <t xml:space="preserve">Supply &amp; install shower units made of </t>
  </si>
  <si>
    <t xml:space="preserve">Supply &amp; install electric water heater complete  </t>
  </si>
  <si>
    <t>Supply &amp; fix 100mm 3.2mm thickness down pipes</t>
  </si>
  <si>
    <t xml:space="preserve">Supply &amp;B275 mount fire extingushers of class </t>
  </si>
  <si>
    <t>10. ELECTRICALL INSTALLATION</t>
  </si>
  <si>
    <t>Distribution Boards</t>
  </si>
  <si>
    <t>Ditto as above but for water Heater points</t>
  </si>
  <si>
    <t xml:space="preserve">Ditto as 4.04 above but 3x4mm2 in pvc pipe </t>
  </si>
  <si>
    <t xml:space="preserve">Ditto as above 4.06 but for 25A/1ph for kitchen </t>
  </si>
  <si>
    <t>Copper conductor of 1x6.0mm2 for Earthing</t>
  </si>
  <si>
    <t xml:space="preserve">Ditto but well dressed stone above natural ground level </t>
  </si>
  <si>
    <t>Provide cut and fix in position swan zigzag wood</t>
  </si>
  <si>
    <t xml:space="preserve">G - 28 ribbed sheet ceiling under eave </t>
  </si>
  <si>
    <t>Diagonal &amp; vertical members size-diameter 8 - 10 cm</t>
  </si>
  <si>
    <t>Ditto but exceeding 1.5m but less than 2m</t>
  </si>
  <si>
    <t xml:space="preserve">10 cm thick reinforced concrete floor slab class </t>
  </si>
  <si>
    <t>In grade beam &amp; Steps</t>
  </si>
  <si>
    <t>Dia 12 mm deformed bar</t>
  </si>
  <si>
    <t xml:space="preserve">G28ribbed sheet ceiling under eave </t>
  </si>
  <si>
    <t xml:space="preserve">Supply and fix G-28flat metal sheet gutter </t>
  </si>
  <si>
    <t>Type W14 size-100/173cm</t>
  </si>
  <si>
    <t>Type W16 size-150/60cm</t>
  </si>
  <si>
    <t>Type W19 size-110/60cm</t>
  </si>
  <si>
    <t>Apply three coats of plastering to internal walls,</t>
  </si>
  <si>
    <t xml:space="preserve">8mm thick Chip wood ceiling nailed on &amp; including </t>
  </si>
  <si>
    <t xml:space="preserve"> 9mm thick non slippery ceramic tile  flooring </t>
  </si>
  <si>
    <t>Window sill Size 27/3 cm</t>
  </si>
  <si>
    <t xml:space="preserve"> lay water concrete pipes of half diameter 30cm </t>
  </si>
  <si>
    <t>Internal plastered surface and external beams&amp;</t>
  </si>
  <si>
    <t xml:space="preserve">Supply and fix bronze gate valves complete </t>
  </si>
  <si>
    <t xml:space="preserve">Ditto as 4.01 above but 3x4mm2 in pvc pipe </t>
  </si>
  <si>
    <t xml:space="preserve">Ditto as above 4.06 but for 25A/1ph f </t>
  </si>
  <si>
    <t>PHILIPS TCS 098/236 IMKwith 2xTLD 36W</t>
  </si>
  <si>
    <t>PHILIPS TCS 098/136 IMKwith 1xTLD 36W</t>
  </si>
  <si>
    <t>accessories</t>
  </si>
  <si>
    <t>to SDB-OPD</t>
  </si>
  <si>
    <t xml:space="preserve">Rigid pvc pipe of dia.25mm For 4x4mm2 </t>
  </si>
  <si>
    <t xml:space="preserve">Block work </t>
  </si>
  <si>
    <t>Carpentary &amp; Joinery</t>
  </si>
  <si>
    <t>Roofinig</t>
  </si>
  <si>
    <t>Ditto but exceeing 1.50m less than 2m</t>
  </si>
  <si>
    <t>Vertical &amp; diagonal members size-diameter 8 - 10cm</t>
  </si>
  <si>
    <t xml:space="preserve">Zigba wooden fascia board price includes </t>
  </si>
  <si>
    <t>Type W14 size-150/173cm</t>
  </si>
  <si>
    <t xml:space="preserve">  9mm thick non slippery ceramic tile  floor</t>
  </si>
  <si>
    <t xml:space="preserve"> storm water concrete pipes of half diameter 30cm </t>
  </si>
  <si>
    <t>Internal plastered surfaceand external beams &amp;</t>
  </si>
  <si>
    <t>Flush mounted Sub distribution board SDB-ADM</t>
  </si>
  <si>
    <t>to SDB-ADM</t>
  </si>
  <si>
    <t>G28 ribbed sheet ceiling under eave</t>
  </si>
  <si>
    <t>Vertical &amp; Diagonal memberes  size-dia.  8 -  10 cm</t>
  </si>
  <si>
    <t>Type W3 size-50/50cm</t>
  </si>
  <si>
    <t>Type W7 size-480/60cm</t>
  </si>
  <si>
    <t>Type W8 size-125/173cm</t>
  </si>
  <si>
    <t>Type W9 size-120/173cm</t>
  </si>
  <si>
    <t>Type W12 size-110/173cm</t>
  </si>
  <si>
    <t>Type W13 size-105/173cm</t>
  </si>
  <si>
    <t>Type W21 size-370/60cm</t>
  </si>
  <si>
    <t>Type W22 size-265/60cm</t>
  </si>
  <si>
    <t>9mm thick non slippery ceramic tile  floor</t>
  </si>
  <si>
    <t>Approved type Terrazo window cillsize 27/3 cm</t>
  </si>
  <si>
    <t xml:space="preserve">storm water concrete pipes of half diameter 30cm </t>
  </si>
  <si>
    <t>MASSIVE 70107/02/11/2XE27/60W</t>
  </si>
  <si>
    <t>(TV-R-SAT)</t>
  </si>
  <si>
    <t>Block:-Generator + Pump House</t>
  </si>
  <si>
    <r>
      <t>value of work executed and/or materials supplied to date is</t>
    </r>
    <r>
      <rPr>
        <i/>
        <u/>
        <sz val="10"/>
        <rFont val="Calibri"/>
        <family val="2"/>
      </rPr>
      <t xml:space="preserve">  </t>
    </r>
    <r>
      <rPr>
        <i/>
        <sz val="10"/>
        <rFont val="Calibri"/>
        <family val="2"/>
      </rPr>
      <t>Birr</t>
    </r>
  </si>
  <si>
    <t>Contract Qty</t>
  </si>
  <si>
    <t>executed</t>
  </si>
  <si>
    <t>Provide cut and fix in position swan zigba wood</t>
  </si>
  <si>
    <t>Supply and fix G-28 flat metal sheet gutter</t>
  </si>
  <si>
    <t>Type W1 size-90/90cm</t>
  </si>
  <si>
    <t>Type D3 size - 200/280 cm</t>
  </si>
  <si>
    <t>Cement screed floor120 mm thickness</t>
  </si>
  <si>
    <t xml:space="preserve">Approved type10/2cm terrazzo tile skirting </t>
  </si>
  <si>
    <t xml:space="preserve">Approved type Terrazo window cill </t>
  </si>
  <si>
    <t xml:space="preserve">Electrical Installations </t>
  </si>
  <si>
    <t xml:space="preserve">Supply and install surface mounted sub distribution board </t>
  </si>
  <si>
    <t>Light Points</t>
  </si>
  <si>
    <t>8.2.1</t>
  </si>
  <si>
    <t xml:space="preserve">Light points feed through PVC insulated cooper conductor of </t>
  </si>
  <si>
    <t>8.2.2</t>
  </si>
  <si>
    <t xml:space="preserve">Extra over light points flush/surface mounted legrand </t>
  </si>
  <si>
    <t>a) Single pole switch</t>
  </si>
  <si>
    <t>Socket Out Lets( Siements Shuko type) legrand mosaic plate</t>
  </si>
  <si>
    <t>8.3.1</t>
  </si>
  <si>
    <t>Light Fittings and Lamps( Specified or Equivalent).</t>
  </si>
  <si>
    <t>Total Carried Summary</t>
  </si>
  <si>
    <t xml:space="preserve">                     Transformer house/Pump house/</t>
  </si>
  <si>
    <t>Base of Man hole</t>
  </si>
  <si>
    <t>In man hole concrete wall</t>
  </si>
  <si>
    <t>In  top tie beams</t>
  </si>
  <si>
    <t>In  concrete roof slab (12 cm thick)</t>
  </si>
  <si>
    <t>Lintels</t>
  </si>
  <si>
    <t>In elevation column and beams</t>
  </si>
  <si>
    <t>Type W1 size-80/90cm</t>
  </si>
  <si>
    <t>Type D3 size - 300/300 cm</t>
  </si>
  <si>
    <t xml:space="preserve">Apply three coats of plastering to internal walls </t>
  </si>
  <si>
    <t>Cement screed floor 120mm thickness</t>
  </si>
  <si>
    <t>Approved type Terrazo window cill .</t>
  </si>
  <si>
    <t>Concrete ceiling surface</t>
  </si>
  <si>
    <t>8.1.1</t>
  </si>
  <si>
    <t>8.1.2</t>
  </si>
  <si>
    <t>with frame and boxes</t>
  </si>
  <si>
    <t xml:space="preserve">Flush mounted socket out let of 10/16 A ( 1- ph ) </t>
  </si>
  <si>
    <t>Three phase socket out let with earthing terminal fed through</t>
  </si>
  <si>
    <t>8.2.3</t>
  </si>
  <si>
    <t>Light Fittings and Lamps (Optional).</t>
  </si>
  <si>
    <t>As specified or equivalent</t>
  </si>
  <si>
    <t>Phillips TCS 020/136 IC M2 + 1*36 w fl lamp</t>
  </si>
  <si>
    <t>form work or metal panel. To:-</t>
  </si>
  <si>
    <t>15 cm thick</t>
  </si>
  <si>
    <t>Type W5 size-460/60cm</t>
  </si>
  <si>
    <t>Type D3 size - 130/273cm</t>
  </si>
  <si>
    <t>M</t>
  </si>
  <si>
    <t>Ditto as 4.01 but for 3 phase points in 4x2.5</t>
  </si>
  <si>
    <t xml:space="preserve">power cable of 3x6mm2 in rigid pvc conduit of  </t>
  </si>
  <si>
    <t xml:space="preserve">Ditto as 4.04 above but  for 3 phase in 4x4mm2 </t>
  </si>
  <si>
    <t>Ditto as above 5.01 but 3 phase  socket 16A/1P</t>
  </si>
  <si>
    <t>weather proof socket Legrand Suno 774022+7740   41</t>
  </si>
  <si>
    <t xml:space="preserve">Ditto as above 4.06 but for 20A/3ph for kitchen </t>
  </si>
  <si>
    <t xml:space="preserve">    Legrand Suno774038+774041  </t>
  </si>
  <si>
    <t>PHILIPS TMW 065/236 IMKwith 2xTLD 36W</t>
  </si>
  <si>
    <t>X</t>
  </si>
  <si>
    <t xml:space="preserve">Block:-kitchen </t>
  </si>
  <si>
    <t>Block:-Guard House</t>
  </si>
  <si>
    <t>Dia 16 mm deformed bar</t>
  </si>
  <si>
    <t xml:space="preserve">Ditto but well dressed stone above natural grou. </t>
  </si>
  <si>
    <t>10 cm thick</t>
  </si>
  <si>
    <t xml:space="preserve">Roof covering in galvanized corrugated </t>
  </si>
  <si>
    <t>Type W1 size-78/163cm</t>
  </si>
  <si>
    <t>Type D3 size - 78/33 cm</t>
  </si>
  <si>
    <t>Type D1  size - 78/243 cm</t>
  </si>
  <si>
    <t>Type D2 size 68/243  cm</t>
  </si>
  <si>
    <t xml:space="preserve">Apply two coats of plastering and one coat of rendering </t>
  </si>
  <si>
    <t xml:space="preserve">Apply three coats of plastering to internal walls &amp; external </t>
  </si>
  <si>
    <t>Approved type 2cm thick terrazzo tile  flooring</t>
  </si>
  <si>
    <t>Terazo window cill   Size 27/3 cm</t>
  </si>
  <si>
    <t xml:space="preserve">Light points feed through PVC insulated cooper conductor </t>
  </si>
  <si>
    <t>Extra over light points flush/surface mounted legrand</t>
  </si>
  <si>
    <t>b) Two circute switch</t>
  </si>
  <si>
    <t>c) Two way switches</t>
  </si>
  <si>
    <t xml:space="preserve">Flush mounted socket out let of 10/16 A ( 1- ph ) with </t>
  </si>
  <si>
    <t>Tele phone system</t>
  </si>
  <si>
    <t>and mechanism complete with clip on support frame and labling accessories.</t>
  </si>
  <si>
    <t>b) Telephone point feed through pair of telephone cable</t>
  </si>
  <si>
    <t>Phillips TMS 012/118i MK ll 1*TL - D18W/840</t>
  </si>
  <si>
    <t>RZB 611010.002 + E27 PLE - T 20W</t>
  </si>
  <si>
    <t>RZB 31650.002. Q + A60 75W</t>
  </si>
  <si>
    <t>Earthing System</t>
  </si>
  <si>
    <t xml:space="preserve">a) Earthing rode of diametre 16mm </t>
  </si>
  <si>
    <t xml:space="preserve">b) Earthing cable of 1*6mm2 </t>
  </si>
  <si>
    <t>Total Carried to Summary</t>
  </si>
  <si>
    <t>Block:-Mourge</t>
  </si>
  <si>
    <t>qty</t>
  </si>
  <si>
    <t xml:space="preserve">Ditto but well dressed stone above natural ground </t>
  </si>
  <si>
    <t xml:space="preserve">mortar both sides left for plastering </t>
  </si>
  <si>
    <t xml:space="preserve">Diagonal &amp; vertical members size-diameter 8 - 10cm </t>
  </si>
  <si>
    <t>Type D2 size-90/280cm</t>
  </si>
  <si>
    <t>Type W1 size-138/180cm</t>
  </si>
  <si>
    <t>Type D3 size - 90/280 cm</t>
  </si>
  <si>
    <t>Approved type 6mm thick glazed ceramic wall tile bedded on &amp; including cement mortar backing and joints grouted in white cement.</t>
  </si>
  <si>
    <t xml:space="preserve"> 9mm thick non slippery ceramic tile  floor</t>
  </si>
  <si>
    <t xml:space="preserve">Approved type 2cm thick terrazzo tile  flooring </t>
  </si>
  <si>
    <t xml:space="preserve">             50 liters capacity </t>
  </si>
  <si>
    <t xml:space="preserve">Supply &amp; fix 50 mm diameter floor drain made of  </t>
  </si>
  <si>
    <t>A</t>
  </si>
  <si>
    <t>3x6mm2</t>
  </si>
  <si>
    <t>C</t>
  </si>
  <si>
    <t>4x6mm2</t>
  </si>
  <si>
    <t>E</t>
  </si>
  <si>
    <t>4x10mm2</t>
  </si>
  <si>
    <t xml:space="preserve">Distribution board, supplied, installed, connected </t>
  </si>
  <si>
    <t>Ditto, but SDB Rb2a</t>
  </si>
  <si>
    <t>No.</t>
  </si>
  <si>
    <t>B</t>
  </si>
  <si>
    <t>Ditto, but SDB R</t>
  </si>
  <si>
    <t>Luminaires</t>
  </si>
  <si>
    <t>Ditto, but for item 8</t>
  </si>
  <si>
    <t>Ditto, but for item 13</t>
  </si>
  <si>
    <t>Ditto, but for item 16</t>
  </si>
  <si>
    <t>Ditto, but for item 21</t>
  </si>
  <si>
    <t>Ditto, but for item 22</t>
  </si>
  <si>
    <t>F</t>
  </si>
  <si>
    <t>Ditto, but for item 23</t>
  </si>
  <si>
    <t>G</t>
  </si>
  <si>
    <t>Ditto, but for item 24</t>
  </si>
  <si>
    <t>I</t>
  </si>
  <si>
    <t>Ditto, but for item 44</t>
  </si>
  <si>
    <t>J</t>
  </si>
  <si>
    <t>Ditto, but for item 45</t>
  </si>
  <si>
    <t>Wiring Devices</t>
  </si>
  <si>
    <t>Switchs</t>
  </si>
  <si>
    <t>One way switch</t>
  </si>
  <si>
    <t>Ditto, two pole switch</t>
  </si>
  <si>
    <t>Ditto, but 10A and with pilot light</t>
  </si>
  <si>
    <t>Ditto, but with two-way switch</t>
  </si>
  <si>
    <t>Ditto, but with dimmer switch</t>
  </si>
  <si>
    <t>Socket outlet</t>
  </si>
  <si>
    <t xml:space="preserve">16A, 250V, 2 pole duplex socket outlet with </t>
  </si>
  <si>
    <t>Ditto, but single socket outlet</t>
  </si>
  <si>
    <t>Electrical Connections</t>
  </si>
  <si>
    <t>Refrigerator</t>
  </si>
  <si>
    <t>Stove</t>
  </si>
  <si>
    <t>K</t>
  </si>
  <si>
    <t xml:space="preserve">Water heater </t>
  </si>
  <si>
    <t>Earthing Systems</t>
  </si>
  <si>
    <t>Earthing system</t>
  </si>
  <si>
    <t>L.S.</t>
  </si>
  <si>
    <t>Lightning Protection System</t>
  </si>
  <si>
    <t>Lightning protection system</t>
  </si>
  <si>
    <t>Telecommunication Systems</t>
  </si>
  <si>
    <t>Telephone outlets</t>
  </si>
  <si>
    <t>Note:    Verify type of telephone outlets</t>
  </si>
  <si>
    <t>Ditto but 50 pair, TELE</t>
  </si>
  <si>
    <t xml:space="preserve">G 28 ribbed sheet ceiling under eave </t>
  </si>
  <si>
    <t>Type D1 size - 160/273cm</t>
  </si>
  <si>
    <t>Finishing work shall includes all surface pre</t>
  </si>
  <si>
    <t xml:space="preserve">type 9mm thick non slippery ceramic tile  flooring </t>
  </si>
  <si>
    <t>window sill Size 27/3 cm</t>
  </si>
  <si>
    <t>Flush mounted Sub distribution board SDB-EMRG</t>
  </si>
  <si>
    <t>4x6mm2 from CMDB- SDB-EMRG</t>
  </si>
  <si>
    <t>2. Block Work</t>
  </si>
  <si>
    <t>Kg</t>
  </si>
  <si>
    <t>B. SUPER STRUCTURE</t>
  </si>
  <si>
    <t xml:space="preserve">Summary of Statement - Faynal  Payment </t>
  </si>
  <si>
    <r>
      <t>value of work executed and/or materials supplied to date is</t>
    </r>
    <r>
      <rPr>
        <b/>
        <i/>
        <u/>
        <sz val="12"/>
        <rFont val="Cambria"/>
        <family val="1"/>
      </rPr>
      <t xml:space="preserve">  </t>
    </r>
    <r>
      <rPr>
        <b/>
        <i/>
        <sz val="12"/>
        <rFont val="Cambria"/>
        <family val="1"/>
      </rPr>
      <t>Birr</t>
    </r>
  </si>
  <si>
    <t>Block:-OR &amp; Delivery</t>
  </si>
  <si>
    <t>Block:- Emergency &amp; Waiting</t>
  </si>
  <si>
    <t>Block : Adminstration</t>
  </si>
  <si>
    <t>Block : Administration</t>
  </si>
  <si>
    <t>D8 LENTEL</t>
  </si>
  <si>
    <r>
      <t xml:space="preserve"> </t>
    </r>
    <r>
      <rPr>
        <sz val="12"/>
        <color theme="1"/>
        <rFont val="Calibri"/>
        <family val="2"/>
      </rPr>
      <t xml:space="preserve">ф 75mm </t>
    </r>
  </si>
  <si>
    <r>
      <t xml:space="preserve"> </t>
    </r>
    <r>
      <rPr>
        <sz val="12"/>
        <color theme="1"/>
        <rFont val="Calibri"/>
        <family val="2"/>
      </rPr>
      <t xml:space="preserve">ф 100mm </t>
    </r>
  </si>
  <si>
    <t>Block : Diagnostcs</t>
  </si>
  <si>
    <r>
      <t>value of work executed and/or materials supplied to date is</t>
    </r>
    <r>
      <rPr>
        <i/>
        <u/>
        <sz val="12"/>
        <rFont val="Calibri"/>
        <family val="2"/>
      </rPr>
      <t xml:space="preserve">  </t>
    </r>
    <r>
      <rPr>
        <i/>
        <sz val="12"/>
        <rFont val="Calibri"/>
        <family val="2"/>
      </rPr>
      <t>Birr</t>
    </r>
  </si>
  <si>
    <t>Block : Diagnostic</t>
  </si>
  <si>
    <t>Block : Generator + Pump House</t>
  </si>
  <si>
    <t>Block : Generator</t>
  </si>
  <si>
    <t>Block : pump house</t>
  </si>
  <si>
    <t xml:space="preserve">Block : kitchen </t>
  </si>
  <si>
    <r>
      <t>1.7)</t>
    </r>
    <r>
      <rPr>
        <sz val="12"/>
        <rFont val="Calibri"/>
        <family val="2"/>
      </rPr>
      <t>ф14mm deformed bar</t>
    </r>
  </si>
  <si>
    <r>
      <t>1.8)</t>
    </r>
    <r>
      <rPr>
        <sz val="12"/>
        <rFont val="Calibri"/>
        <family val="2"/>
      </rPr>
      <t>ф12mm deformed bar</t>
    </r>
  </si>
  <si>
    <r>
      <t>2.0)</t>
    </r>
    <r>
      <rPr>
        <sz val="12"/>
        <rFont val="Calibri"/>
        <family val="2"/>
      </rPr>
      <t>ф8mm deformed bar</t>
    </r>
  </si>
  <si>
    <r>
      <t xml:space="preserve"> </t>
    </r>
    <r>
      <rPr>
        <sz val="12"/>
        <color theme="1"/>
        <rFont val="Calibri"/>
        <family val="2"/>
      </rPr>
      <t xml:space="preserve">ф 50mm </t>
    </r>
  </si>
  <si>
    <t>Axis y/02-y/05 from ( x/01 - x/04)</t>
  </si>
  <si>
    <t>Axis x/02&amp; x/03 from  (y/01- y/06)</t>
  </si>
  <si>
    <t>Block : Kitchen</t>
  </si>
  <si>
    <t>Contractor :- Trust Consteraction</t>
  </si>
  <si>
    <t>Block : Guard House</t>
  </si>
  <si>
    <t>Block : Guard house</t>
  </si>
  <si>
    <t>Summary of Statement</t>
  </si>
  <si>
    <t>Block : Mourge</t>
  </si>
  <si>
    <t>Selected borrowed fill brought frominsotu</t>
  </si>
  <si>
    <t>Type W2 size - 150/173 cm,</t>
  </si>
  <si>
    <t>Type W7 size - 180/173 cm,</t>
  </si>
  <si>
    <t>Type TW size 90/60 cm</t>
  </si>
  <si>
    <t>Type W size 100/173 cm</t>
  </si>
  <si>
    <t>Type D6 size 90/275 cm</t>
  </si>
  <si>
    <t>Selected borrowed fill brought from insitu</t>
  </si>
  <si>
    <t xml:space="preserve">Block : Emergency </t>
  </si>
  <si>
    <t>Type D9 size - 90/273</t>
  </si>
  <si>
    <t>№</t>
  </si>
  <si>
    <t>Type D2 size 140/273 cm</t>
  </si>
  <si>
    <t>Total Length in   D I A M E T E R</t>
  </si>
  <si>
    <t>Project:- WEGEDA PRIMARY HOSPITAL</t>
  </si>
  <si>
    <t>Contractor:- TRUST CONSTRUCTION</t>
  </si>
  <si>
    <t>Consultant:- ADSWE</t>
  </si>
  <si>
    <t>It. no</t>
  </si>
  <si>
    <t>Description of Work</t>
  </si>
  <si>
    <t>Contract Qty.</t>
  </si>
  <si>
    <t>Contract Amt.</t>
  </si>
  <si>
    <t>This payment</t>
  </si>
  <si>
    <t>A  SUB STRUCTURE</t>
  </si>
  <si>
    <t xml:space="preserve">Clear off site to remove top soil  at an  avg.depth of 30 cm                                                                                                           </t>
  </si>
  <si>
    <r>
      <t>m</t>
    </r>
    <r>
      <rPr>
        <vertAlign val="superscript"/>
        <sz val="16"/>
        <color indexed="8"/>
        <rFont val="Calibri"/>
        <family val="2"/>
        <scheme val="minor"/>
      </rPr>
      <t>2</t>
    </r>
  </si>
  <si>
    <r>
      <t>m</t>
    </r>
    <r>
      <rPr>
        <vertAlign val="superscript"/>
        <sz val="16"/>
        <color indexed="8"/>
        <rFont val="Calibri"/>
        <family val="2"/>
        <scheme val="minor"/>
      </rPr>
      <t>3</t>
    </r>
  </si>
  <si>
    <t xml:space="preserve">Ditto but exceeding 1.5m less than 2m </t>
  </si>
  <si>
    <t>Cart away surplus excavated material to an appropriate tip</t>
  </si>
  <si>
    <t>2. CONCRETE WORKS</t>
  </si>
  <si>
    <t>5cm thick lean concrete class C-7 with a minimum cement content of 150kg/m3 under masonry foundation</t>
  </si>
  <si>
    <t>10cm thick reinforced concrete floor slab class  C-20, with minimum cement content of 320kg/m3 well spread and leveled steel bar m. separately)</t>
  </si>
  <si>
    <t xml:space="preserve"> In grade beam &amp; step</t>
  </si>
  <si>
    <t xml:space="preserve">Provide, cut and fix in position swan zigzag wood form work or metal panel To:- </t>
  </si>
  <si>
    <t>Reinforcement steel bar according to St. drawing price includes cutting bending placing in position and tying wires</t>
  </si>
  <si>
    <t xml:space="preserve"> Dia. 12mm deformed bar</t>
  </si>
  <si>
    <t>10/2 cm chip wood expansion joint between  grade beam  and  slab painted with two coats of asphalt</t>
  </si>
  <si>
    <t>3. Masonry Work</t>
  </si>
  <si>
    <t>Ditto but above natural ground level externally left for pointing (price includes pointing)</t>
  </si>
  <si>
    <t>1. CONCRETE WORKS</t>
  </si>
  <si>
    <t>Reinforced concrete class C-25, with minimum cement content of 360kg/m3 filled into form work and vibrated around rod reinforcement steel bar and form work measured separately</t>
  </si>
  <si>
    <t xml:space="preserve"> In elevation column</t>
  </si>
  <si>
    <t>Provide, cut and fix in position swan zigzag wood form work or metal panel To:-</t>
  </si>
  <si>
    <t>Reinforcement steel bars according to structural drawing. Price includes cutting, bending, placing in position and tying wires.</t>
  </si>
  <si>
    <t xml:space="preserve"> Flashing in flat metal sheet fixed as shown development length 33cm</t>
  </si>
  <si>
    <t>Apply two coats of plastering and one coat of rendering to external walls</t>
  </si>
  <si>
    <t>Apply three coats of plastering to internal walls &amp; external columns and beams.</t>
  </si>
  <si>
    <t>1. Excavation &amp; Earth Work</t>
  </si>
  <si>
    <t>Total carried to summary</t>
  </si>
  <si>
    <t xml:space="preserve"> In grade beam </t>
  </si>
  <si>
    <t xml:space="preserve"> Steps</t>
  </si>
  <si>
    <t xml:space="preserve"> Dia. 14mm deformed bar</t>
  </si>
  <si>
    <t xml:space="preserve"> Dia. 8 mm deformed bar</t>
  </si>
  <si>
    <t>Trychltic or equivalent stone masonry foundation wall bedded in cement mortar 1:3</t>
  </si>
  <si>
    <t>Reinforced concrete class C-25</t>
  </si>
  <si>
    <t xml:space="preserve"> In beams &amp; steps</t>
  </si>
  <si>
    <t xml:space="preserve"> In beams</t>
  </si>
  <si>
    <t>20 cm thick</t>
  </si>
  <si>
    <t>3- Roofing</t>
  </si>
  <si>
    <t>4. Carpentry and Joinery</t>
  </si>
  <si>
    <t xml:space="preserve"> Upper and lower  chord size   diameter  10-12</t>
  </si>
  <si>
    <t xml:space="preserve"> Diagonal &amp;vertical member  size diameter  8-10 cm</t>
  </si>
  <si>
    <t>purlin zigba size 5\7 cm thick</t>
  </si>
  <si>
    <t xml:space="preserve">10cm thick C-20 RC 1.2m wide pavement (including 4Ø 8 deformed bar mesh, expansion joint at every 1.2m length, 80cm </t>
  </si>
  <si>
    <t>Client:- ANRHB</t>
  </si>
  <si>
    <t>Bulk excavation in ordinary soil to a depth not exceeding 1.5m starting soil to a depth not exceeding 1.5m starting from reduced level</t>
  </si>
  <si>
    <t>Selected borrowed fill brought from out side under hard core</t>
  </si>
  <si>
    <t>25 cm thick basaltic or equivalent stone hard core well ralled consoliated and blinded withcrushed stones.</t>
  </si>
  <si>
    <t>Reinforced concrete class C-25 with minimum cement content of 360kg/m3 filled into form work and vibrated around rod reinforcement. Steel bar and form work measured separately</t>
  </si>
  <si>
    <t>G-28 C.I.S roof covering (roof cover measured in horizontal projection &amp; purlin measured separately</t>
  </si>
  <si>
    <t>G-28 Ribbed Sheet ceiling under eave nailed to zigba purlins price shall include 40x50mm Zigba wood</t>
  </si>
  <si>
    <t xml:space="preserve">Supply and fix G-28 flat metal sheet gutter as per the detail drawing. Price shall include metal bracket </t>
  </si>
  <si>
    <t>Zigba wooden Fascia board price includes three coats of weather resistance paint supply &amp; fix 40mm thick wood</t>
  </si>
  <si>
    <t xml:space="preserve">6. Finishing </t>
  </si>
  <si>
    <t xml:space="preserve">Chip wood ceiling nailed on &amp; including 4/5cm zigba batten on both ways at c/c 60cm </t>
  </si>
  <si>
    <t>Approved type 2mm thick terrazzo tile flooring bedded on and including 3cm thick cement mortar</t>
  </si>
  <si>
    <t xml:space="preserve">Approved type 10/2cm terrazzo tile skirting bedded on and including cement mortar backing </t>
  </si>
  <si>
    <t>Approved type Terrazzo window cill bedded on cement mortar Size 27/3cm</t>
  </si>
  <si>
    <t>T</t>
  </si>
  <si>
    <t>S</t>
  </si>
  <si>
    <t>Item No. and Description</t>
  </si>
  <si>
    <t>A) SUB-STRUCTURE</t>
  </si>
  <si>
    <t>1) EXCAVATION &amp; EARTH WORK</t>
  </si>
  <si>
    <t>1.1 Clear off site to remove top soil</t>
  </si>
  <si>
    <t>1.2 Bulk Excavation in ordinary soil</t>
  </si>
  <si>
    <t xml:space="preserve">1.5 Cart Away surplus excavated material </t>
  </si>
  <si>
    <t>From Item 1.1</t>
  </si>
  <si>
    <t>From Item 1.2</t>
  </si>
  <si>
    <t>2) CONCRETE WORK</t>
  </si>
  <si>
    <t>2.1 5cm thick lean concrete class C-7</t>
  </si>
  <si>
    <t xml:space="preserve">2.4 In grade beam </t>
  </si>
  <si>
    <t xml:space="preserve">Provide, cut and fix in position </t>
  </si>
  <si>
    <t xml:space="preserve">2.7 In grade beam </t>
  </si>
  <si>
    <t xml:space="preserve">Reinforcement steel bars </t>
  </si>
  <si>
    <t>3.1 Trychltic or equivalent stone masonry below NGL</t>
  </si>
  <si>
    <t>3.2 Ditto but above natural ground level externally left for pointing</t>
  </si>
  <si>
    <t>Ditto to Item 1.2  but Trench</t>
  </si>
  <si>
    <t>1.4 Selected Borrowed  Fill</t>
  </si>
  <si>
    <t>External</t>
  </si>
  <si>
    <t>Internal</t>
  </si>
  <si>
    <t>L=17.00+3=20.00</t>
  </si>
  <si>
    <t>On Axis Y/01-Y/05</t>
  </si>
  <si>
    <t>1.6 25 cm thick basaltic or equivalent stone hard core</t>
  </si>
  <si>
    <t>W=3.00+3.00=6.00</t>
  </si>
  <si>
    <t>Grade Beam</t>
  </si>
  <si>
    <t>No.of bar.</t>
  </si>
  <si>
    <t>Total No. of bar</t>
  </si>
  <si>
    <t>for axis y01-y08</t>
  </si>
  <si>
    <t>along y-axis</t>
  </si>
  <si>
    <t>DEDUCTION</t>
  </si>
  <si>
    <t>along x-axis</t>
  </si>
  <si>
    <t>Contractor: - Trust Construction</t>
  </si>
  <si>
    <t xml:space="preserve">Date: - </t>
  </si>
  <si>
    <t>Project: - Wogeda Primary Hospital</t>
  </si>
  <si>
    <t>Consultant: - Amhara Design &amp; Supervision Works Enterprise</t>
  </si>
  <si>
    <t>Client: - ANRS Health Bureau</t>
  </si>
  <si>
    <t>6.9)10cm thick C-20 RC 1.2mt wide pavement</t>
  </si>
  <si>
    <t>7.1)Internal plastered surface &amp; external beam &amp; column</t>
  </si>
  <si>
    <t>L=35.54-0.25-0.25-0.4-0.4-0.5=33.74</t>
  </si>
  <si>
    <t>W=11.75-0.25-0.25-0.4-0.4-0.5=9.95</t>
  </si>
  <si>
    <t>W=11.75-0.25-0.25-0.4-0.4-0.5-(2*0.9)=8.15</t>
  </si>
  <si>
    <t>1.4 Selected   Fill</t>
  </si>
  <si>
    <t>A- fill under masonary (insitu material)</t>
  </si>
  <si>
    <t>for axis x01-x04</t>
  </si>
  <si>
    <t>L=35.54</t>
  </si>
  <si>
    <t xml:space="preserve">   L=8.15 , W=0.9, d=0.3</t>
  </si>
  <si>
    <t>B-bulk fill and compaction (Borrowed )</t>
  </si>
  <si>
    <t>under hard core</t>
  </si>
  <si>
    <t>L=33.74   W=0.4m</t>
  </si>
  <si>
    <t>L=11.75-0.5-0.8-(2*0.4)=9.65</t>
  </si>
  <si>
    <t>from item no 1.1</t>
  </si>
  <si>
    <t>from item no 1.2</t>
  </si>
  <si>
    <t>from item no 1.3</t>
  </si>
  <si>
    <t>2.1   5cm thick lean concrete class C-7</t>
  </si>
  <si>
    <t>L=35.54-0.5=35.04</t>
  </si>
  <si>
    <t>L=11.75-0.5-(4*0.4)=9.65</t>
  </si>
  <si>
    <t xml:space="preserve">2.4 In grade beams and steps </t>
  </si>
  <si>
    <t>L=35.54-0.25-0.25=35.04</t>
  </si>
  <si>
    <t>L=11.75-0.25-0.25-(4*.25)=10.25</t>
  </si>
  <si>
    <t>2.7 In grade beams</t>
  </si>
  <si>
    <t>L=35.54-0.25-0.25=35.04  (x-axis)</t>
  </si>
  <si>
    <t>L=11.75-0.25-0.25-(2*.25)=10.75</t>
  </si>
  <si>
    <t>2. 11  Dia .14mm deformed bar</t>
  </si>
  <si>
    <t>2.13   Dia .8 mm deformed bar</t>
  </si>
  <si>
    <t xml:space="preserve">reinforcement steel bar work </t>
  </si>
  <si>
    <t>axis  x01,x02,x03,x04</t>
  </si>
  <si>
    <t>axis  y01,y02,y03……y09</t>
  </si>
  <si>
    <t>3.12 masonary work above NGL</t>
  </si>
  <si>
    <t>on axis x01  L=4.92+5+5.97-0.4=15.49</t>
  </si>
  <si>
    <t>on axis x04 L=4.92+5+5.97-0.4=15.49</t>
  </si>
  <si>
    <t>on axis y08 L=4.2+2.6+4.2+0.4=11.4</t>
  </si>
  <si>
    <t>3.1 Trychltic stone masonry (total)</t>
  </si>
  <si>
    <t xml:space="preserve">provide form work or panel metal </t>
  </si>
  <si>
    <t xml:space="preserve"> 1.5 Cart away </t>
  </si>
  <si>
    <t>L=35.1+3=38.10, W=11.2+3=14.20</t>
  </si>
  <si>
    <t>L=35.54-0.5-0.8=34.24, W=11.75-0.5-0.8=10.45</t>
  </si>
  <si>
    <t xml:space="preserve">C1=32Pcs (0.2x0.2) </t>
  </si>
  <si>
    <t xml:space="preserve">Axis x/02 &amp; x/03 from ( y/01 - y/08) </t>
  </si>
  <si>
    <t>Axis y/03',04', 05',06' &amp;07,from (X/03 - X/04)</t>
  </si>
  <si>
    <t>Axis X/01 &amp;X/08 from (Y/01 - Y/04)</t>
  </si>
  <si>
    <t>Axis y/01 from (X/01 - X/08)</t>
  </si>
  <si>
    <t>Axis y/01&amp;Y/04 from (X/01 - X/08)</t>
  </si>
  <si>
    <t>W23(1Pc)</t>
  </si>
  <si>
    <t>W25(1Pc)</t>
  </si>
  <si>
    <t>Axis y/04 from (X/01 - X/08)</t>
  </si>
  <si>
    <t>Axis y/03 from (X/03 - X/08)</t>
  </si>
  <si>
    <t>Axis Y/03 from (X/01 - X/03)</t>
  </si>
  <si>
    <t>D11(1Pcs)</t>
  </si>
  <si>
    <t>Axis Y/02 from (X/01 - X/08)</t>
  </si>
  <si>
    <t>D9(10Pcs)</t>
  </si>
  <si>
    <t>Axis b/n y/02 &amp;y/03  from (x/01- x/02)</t>
  </si>
  <si>
    <t>Axis b/n y/01 &amp;y/02  from (x/07- x/08)</t>
  </si>
  <si>
    <t>L=35.10+1.20=36.30mt</t>
  </si>
  <si>
    <t>Axis X/02 - X/07  from (Y/01 - Y/02)</t>
  </si>
  <si>
    <t>B/n Axis x/07 - x/08 from y/01 - y/02</t>
  </si>
  <si>
    <t>AxisX/07  from (Y/01 - Y/02)</t>
  </si>
  <si>
    <t>Axis X/01' &amp; X/02'  from (Y/03 - Y/04)</t>
  </si>
  <si>
    <t>4.1)Upper &amp; lower chord</t>
  </si>
  <si>
    <t>Upper=7.42x2=14.84mt</t>
  </si>
  <si>
    <t>Lower=6.00x2=12.00mt</t>
  </si>
  <si>
    <t>V=12.76mt</t>
  </si>
  <si>
    <t>D=15.94mt</t>
  </si>
  <si>
    <t>No .pur =7.39/0.9+1=9x2=18Pcs</t>
  </si>
  <si>
    <t>5.7)Type D1 ,Size 140/273</t>
  </si>
  <si>
    <t>6.1)Apply two coats of plastering</t>
  </si>
  <si>
    <t>ANC/PNC PMTCT ROOM</t>
  </si>
  <si>
    <t>L=3.95*2+4.67*2=17.24mt</t>
  </si>
  <si>
    <t>Family planning</t>
  </si>
  <si>
    <t>L=4.05*2+3*2=14.10mt</t>
  </si>
  <si>
    <t>W2(14Pcs)</t>
  </si>
  <si>
    <t>W4(5Pcs)</t>
  </si>
  <si>
    <t>Under 5 clinic</t>
  </si>
  <si>
    <t>EPI/Growth monitoring room</t>
  </si>
  <si>
    <t>L=4.05*2+4*2=16.10mt</t>
  </si>
  <si>
    <t>Injection room</t>
  </si>
  <si>
    <t>L=3.95*2+2.25*2=12.40mt</t>
  </si>
  <si>
    <t>Toilet room</t>
  </si>
  <si>
    <t>L=8x1.45+8x2=27.60mt</t>
  </si>
  <si>
    <t>Examination Room 1,2&amp;3</t>
  </si>
  <si>
    <t>L=3.95*2+2.85*2=13.60mt</t>
  </si>
  <si>
    <t>W25</t>
  </si>
  <si>
    <t>Handicape</t>
  </si>
  <si>
    <t>L=2x2.7+2x1.9=9.20mt</t>
  </si>
  <si>
    <t>L=3.95*2+2.08*2=12.06mt</t>
  </si>
  <si>
    <t>W23(1Pcs)</t>
  </si>
  <si>
    <t>Handicape support</t>
  </si>
  <si>
    <t>L=1.2*2+2*1.44=5.mt</t>
  </si>
  <si>
    <t>L=35.1*2+2.5*2=75.20mt</t>
  </si>
  <si>
    <t>D9(15Pc)</t>
  </si>
  <si>
    <t>L=2x2.7+1.44x2=8.28mt</t>
  </si>
  <si>
    <t>D1(4Pcs)</t>
  </si>
  <si>
    <t>W7&amp;W9(2Pcs)</t>
  </si>
  <si>
    <t>Consultation</t>
  </si>
  <si>
    <t>L=2.2*2+2.53*2=9.46mt</t>
  </si>
  <si>
    <t>Waiting area</t>
  </si>
  <si>
    <t>L=4*2+3.60x2=15.20mt</t>
  </si>
  <si>
    <t>L=1.65*2+2.53*2=8.36mt</t>
  </si>
  <si>
    <t>Procedure room 1</t>
  </si>
  <si>
    <t>L=4*2+4.75*2=17.50mt</t>
  </si>
  <si>
    <t>Dispensary</t>
  </si>
  <si>
    <t>L=4*4=16.00mt</t>
  </si>
  <si>
    <t>Procedure room 2</t>
  </si>
  <si>
    <t>L=4*2+3.55*2=15.10mt</t>
  </si>
  <si>
    <t>Ophthalmology</t>
  </si>
  <si>
    <t>L=4*2+4.80*2=17.60mt</t>
  </si>
  <si>
    <t>Medicine Store</t>
  </si>
  <si>
    <t>L=4*2+5.37*2=18.74mt</t>
  </si>
  <si>
    <t>Dental</t>
  </si>
  <si>
    <t>Top tie beam at y axis</t>
  </si>
  <si>
    <t>Top tie beam at x axis</t>
  </si>
  <si>
    <t>On Axis x2,x3,x4,x5 &amp;x6</t>
  </si>
  <si>
    <t>6.3)Chip wood ceiling</t>
  </si>
  <si>
    <t>ANG/PNC PMTCT ROOM</t>
  </si>
  <si>
    <t>Examination Room 3</t>
  </si>
  <si>
    <t>Examination Room 1&amp;2</t>
  </si>
  <si>
    <t>Toilet Male &amp; female</t>
  </si>
  <si>
    <t>Consuitation</t>
  </si>
  <si>
    <t>DDT</t>
  </si>
  <si>
    <t>Waitting area</t>
  </si>
  <si>
    <t>Optitalmology</t>
  </si>
  <si>
    <t>L=2.20*2+2.53*2-0.9=8.56mt</t>
  </si>
  <si>
    <t>L=1.95*2+2.53*2-0.7=8.26mt</t>
  </si>
  <si>
    <t>D9(16Pcs)</t>
  </si>
  <si>
    <t>L=4*4-0.7-0.8-0.9-1.2=12.40mt</t>
  </si>
  <si>
    <t>L=4*2+5.37*2-0.8-0.9=17.04mt</t>
  </si>
  <si>
    <t>L=4*2+1.30+0.4+3.60=13.30mt</t>
  </si>
  <si>
    <t>L=4*2+4.75*2-0.9=16.60mt</t>
  </si>
  <si>
    <t>L=4*2+3.55*2-0.9=1420mt</t>
  </si>
  <si>
    <t>L=4*2+4.80*2-0.9=16.70mt</t>
  </si>
  <si>
    <t xml:space="preserve">6.7)Approved type terrazzo w.sill </t>
  </si>
  <si>
    <t>L=3.95*2+4.67*2-0.90=16.34mt</t>
  </si>
  <si>
    <t>L=3.95*2+3*2-0.90=13.00mt</t>
  </si>
  <si>
    <t>L=3.95*2+4*2-0.90=15.00mt</t>
  </si>
  <si>
    <t>L=3.95*2+2.25*2-0.90=11.50mt</t>
  </si>
  <si>
    <t>L=3.95*2+2.85*2-0.90=12.70mt</t>
  </si>
  <si>
    <t>L=3.95*2+2.08*2-0.80=11.26mt</t>
  </si>
  <si>
    <t>L=1.20*2+1.43*2-0.80-0.90=3.56mt</t>
  </si>
  <si>
    <t>L=35.1+1.2x2=37.50mt</t>
  </si>
  <si>
    <t>L=11.21mt</t>
  </si>
  <si>
    <t>6.10)Half Concrete  pipe ditch</t>
  </si>
  <si>
    <t>L=35.1+1.2X2+0.4x2=38.30mt</t>
  </si>
  <si>
    <t>L=11.21+1.2X2=13.61mt</t>
  </si>
  <si>
    <t>Slab Covered dicth</t>
  </si>
  <si>
    <t>L=2.80x2+1.50x2=8.60mt</t>
  </si>
  <si>
    <t>6.12)Constructe 10/40 cm curb stone</t>
  </si>
  <si>
    <t>L=35.1+1.2X2+0.3x2+0.15x2+0.1x2=38.60mt</t>
  </si>
  <si>
    <t>L=11.20+1.2X2+0.15x2+0.3x2=14.50mt</t>
  </si>
  <si>
    <t>UnCovered walk way</t>
  </si>
  <si>
    <t xml:space="preserve"> ф 75mm</t>
  </si>
  <si>
    <t>Internal ф 15mm</t>
  </si>
  <si>
    <t xml:space="preserve"> ф 100mm </t>
  </si>
  <si>
    <t xml:space="preserve"> ф 50mm</t>
  </si>
  <si>
    <t>L=(7x1.4)+(3x0.9)+8.04+1.77=22.31mt</t>
  </si>
  <si>
    <t>b/n axis y/01-02</t>
  </si>
  <si>
    <t>b/n axis x/02-07</t>
  </si>
  <si>
    <t>b/n axisy/07-08</t>
  </si>
  <si>
    <t>b/n axisy/02-03</t>
  </si>
  <si>
    <t>b/n axisx/02-07</t>
  </si>
  <si>
    <t>b/n axiy/07-08</t>
  </si>
  <si>
    <t>verendah</t>
  </si>
  <si>
    <t>The same as item no 1.6</t>
  </si>
  <si>
    <t>2.14)10/2cm chipwoodexpantion</t>
  </si>
  <si>
    <t>on axis x01-x04 b/ny01-y08</t>
  </si>
  <si>
    <t>L=35.1-8*.25=33.1m</t>
  </si>
  <si>
    <t>on axis y01-y08 b/n x01-x04</t>
  </si>
  <si>
    <t>L=11.2-4*.25=10.2m</t>
  </si>
  <si>
    <t>On top of D8</t>
  </si>
  <si>
    <t>3.2/ G28 rebbed sheet</t>
  </si>
  <si>
    <t>L=35.1+0.6+0.6=36.3m</t>
  </si>
  <si>
    <t>L=11.20+0.6+0.6=12.40m</t>
  </si>
  <si>
    <t>l=12.4/2=6.2m</t>
  </si>
  <si>
    <t>3.3- Flashing</t>
  </si>
  <si>
    <t>Gable Side</t>
  </si>
  <si>
    <t>3.4- Gutter</t>
  </si>
  <si>
    <t>Left &amp; Right side</t>
  </si>
  <si>
    <t>Deduction</t>
  </si>
  <si>
    <t>m3  net volume item 1.4 (Borrowed)</t>
  </si>
  <si>
    <t>m3  net volume item 1.4 (insitu)</t>
  </si>
  <si>
    <t>m3  net volume item 1.5</t>
  </si>
  <si>
    <t>1.6 Hard Core</t>
  </si>
  <si>
    <t>m2 total Item 1.6</t>
  </si>
  <si>
    <t>m2 total Item 2.3</t>
  </si>
  <si>
    <t>2.3) 10cm thick rei. Concrete floor slab</t>
  </si>
  <si>
    <t>m2 total Item 2.1</t>
  </si>
  <si>
    <t>m3  net volume item 2.4</t>
  </si>
  <si>
    <t>kg net weight item 2.11</t>
  </si>
  <si>
    <t>kg net weight item 2.13</t>
  </si>
  <si>
    <t>ml net length item 2.14</t>
  </si>
  <si>
    <t>m3  net volume item 3.1</t>
  </si>
  <si>
    <t>m3  net volume item 3.2</t>
  </si>
  <si>
    <t>m3 net volume item 1.1</t>
  </si>
  <si>
    <t>m2 net area item 1.4</t>
  </si>
  <si>
    <t>m2 net area item 1.5</t>
  </si>
  <si>
    <t>m2 net area item 1.6</t>
  </si>
  <si>
    <t>kg net weight item 1.7</t>
  </si>
  <si>
    <t>kg net weight item 1.9</t>
  </si>
  <si>
    <t>m2 net area item 2.1</t>
  </si>
  <si>
    <t>m2 net area item 2.2</t>
  </si>
  <si>
    <t>m2 net area item 3.1</t>
  </si>
  <si>
    <t>lm net length item 3.3</t>
  </si>
  <si>
    <t>m net length item 3.4</t>
  </si>
  <si>
    <t>m net length item 4.1</t>
  </si>
  <si>
    <t>m net length item 4.2</t>
  </si>
  <si>
    <t>m2 net area item 3.2</t>
  </si>
  <si>
    <t>lm net length item 4.3</t>
  </si>
  <si>
    <t>pcs net number item 4.5</t>
  </si>
  <si>
    <t>lm net length item 4.4</t>
  </si>
  <si>
    <t>pcs net number item 5.7</t>
  </si>
  <si>
    <t>pcs net number item 5.5</t>
  </si>
  <si>
    <t>pcs net number item 5.2</t>
  </si>
  <si>
    <t>pcs net number item 5.1</t>
  </si>
  <si>
    <t>pcs net number item 4.8</t>
  </si>
  <si>
    <t>pcs net number item 4.7</t>
  </si>
  <si>
    <t>pcs net number item 4.6</t>
  </si>
  <si>
    <t>&amp; one coat rendering  to ext. walls</t>
  </si>
  <si>
    <t>to int. wall &amp; ext. beam &amp; colu.</t>
  </si>
  <si>
    <t>m3 net volume item 1.2</t>
  </si>
  <si>
    <t>m3 net Volume item 1.3</t>
  </si>
  <si>
    <t>m2 net area item 6.3</t>
  </si>
  <si>
    <t>6.4)Approved 6mm thick  ceramic wall tiles</t>
  </si>
  <si>
    <t>m2 net area item 6.4</t>
  </si>
  <si>
    <t>6.5)Approved 9mm thick cearmic floor tile</t>
  </si>
  <si>
    <t>m2 net area item 6.5</t>
  </si>
  <si>
    <t>6.6)Approved ceramic skirting 10/0.9cm</t>
  </si>
  <si>
    <t>L=35.1*2+2.5*4-2.30-15*0.9-3*1.4-2*1.2=56.50mt</t>
  </si>
  <si>
    <t>lm net length item 6.6</t>
  </si>
  <si>
    <t>lm net length item 6.7</t>
  </si>
  <si>
    <t>me net area item 6.9</t>
  </si>
  <si>
    <t>lm net length item 6.10</t>
  </si>
  <si>
    <t>lm net length item 6.12</t>
  </si>
  <si>
    <t>m2 net area item 7.1</t>
  </si>
  <si>
    <t>m2 net area item 7.2</t>
  </si>
  <si>
    <t>m2 net area item 7.3</t>
  </si>
  <si>
    <t>lm net length item 9.1.a</t>
  </si>
  <si>
    <t>lm net length item 9.1.b</t>
  </si>
  <si>
    <t>lm net length item 9.1.c</t>
  </si>
  <si>
    <t>lm net length item 9.5.a</t>
  </si>
  <si>
    <t>lm net length item 9.5.b</t>
  </si>
  <si>
    <t>lm net length item 9.5.c</t>
  </si>
  <si>
    <t>pcs net number item 9.9</t>
  </si>
  <si>
    <t>pcs net number item 3.01</t>
  </si>
  <si>
    <t>pcs net number item 3.02</t>
  </si>
  <si>
    <t>pcs net number item 3.03</t>
  </si>
  <si>
    <t>pcs net number item 4.01</t>
  </si>
  <si>
    <t>pcs net number item 5.01</t>
  </si>
  <si>
    <t>pcs net number item 6.01</t>
  </si>
  <si>
    <t>6.01)Telephone pt feed through cat 5E UTP Cable</t>
  </si>
  <si>
    <t>pcs net number item 7.02</t>
  </si>
  <si>
    <t>pcs net number item 7.01</t>
  </si>
  <si>
    <t>7.01)Philips TCS 098/236/2xTL-D 36W</t>
  </si>
  <si>
    <t xml:space="preserve"> 7.02)Philips TCS 098/136/1xTL-D 36W</t>
  </si>
  <si>
    <t>pcs net number item 7.03</t>
  </si>
  <si>
    <t>pcs net number item 7.04</t>
  </si>
  <si>
    <t>8.01)TV pt fed through RG6 Coaxial 75ohm Tv cable</t>
  </si>
  <si>
    <t>pcs net number item 8.01</t>
  </si>
  <si>
    <t>lm net length item 10.3</t>
  </si>
  <si>
    <t>m2 net area item 6.1</t>
  </si>
  <si>
    <t>m2 before deduction</t>
  </si>
  <si>
    <t>m2 net area item 6.2</t>
  </si>
  <si>
    <t xml:space="preserve">Take off sheet  for Steel reinforsment               </t>
  </si>
  <si>
    <t>Slab Mesh</t>
  </si>
  <si>
    <t>Block: - Staff Residence</t>
  </si>
  <si>
    <t>L=17+1.0+1.0=19</t>
  </si>
  <si>
    <t>W=7+1.0+1.0=9</t>
  </si>
  <si>
    <t>L=17.5-0.25-0.25-0.4-0.4-0.5=15.7</t>
  </si>
  <si>
    <t>W=7.5-0.25-0.25-0.4-0.4-0.5=5.7</t>
  </si>
  <si>
    <t>1.3 Ditto to Item 1.2  but Trench</t>
  </si>
  <si>
    <t>W=0.4+0.25+0.25=0.90   L=17.5  d=.7</t>
  </si>
  <si>
    <t>L=7.5-(2*.9)=5.7</t>
  </si>
  <si>
    <t>W=0.4+0.25+0.25=0.90, d=</t>
  </si>
  <si>
    <t xml:space="preserve">A-bulk fill and compaction </t>
  </si>
  <si>
    <t>L=17.5-0.5-0.8=16.2</t>
  </si>
  <si>
    <t>W=7.5-0.5-0.8=6.2</t>
  </si>
  <si>
    <t>deduct</t>
  </si>
  <si>
    <t>B-backfill and compaction in side masonary</t>
  </si>
  <si>
    <t>L=17.5-0.25-0.25-0.8-(3*0.4)=15</t>
  </si>
  <si>
    <t>W=0.15 ,d=.7</t>
  </si>
  <si>
    <t>L=7.5-0.25-0.25-0.8-(2*0.15)=5.9</t>
  </si>
  <si>
    <t>total insitu fill</t>
  </si>
  <si>
    <t xml:space="preserve"> approprate trip</t>
  </si>
  <si>
    <t>2. Concrete Work</t>
  </si>
  <si>
    <t>2.1-.Lean Concrete, C-7</t>
  </si>
  <si>
    <t xml:space="preserve"> Under masonry grade beam</t>
  </si>
  <si>
    <t>axis x01 &amp; x02/Y01-Y05</t>
  </si>
  <si>
    <t>L=17.10m    W=0.50m</t>
  </si>
  <si>
    <t>axis Y01-Y05/X01-X02</t>
  </si>
  <si>
    <t>L=6.60m                   W=0.50m</t>
  </si>
  <si>
    <t>1.3 Selected Fill</t>
  </si>
  <si>
    <r>
      <t xml:space="preserve">1.6) 25cm thick basaltic stone </t>
    </r>
    <r>
      <rPr>
        <sz val="8"/>
        <color theme="1"/>
        <rFont val="Calibri"/>
        <family val="2"/>
        <scheme val="minor"/>
      </rPr>
      <t>hard core</t>
    </r>
  </si>
  <si>
    <t>The same as item No 1.6</t>
  </si>
  <si>
    <t>L=17.00m              W=0.25</t>
  </si>
  <si>
    <t xml:space="preserve">  D=0.4</t>
  </si>
  <si>
    <t>axis   Y01 - Y05/X01-X02</t>
  </si>
  <si>
    <t>L=5.70m     W=0.25m      D=0.40m</t>
  </si>
  <si>
    <t xml:space="preserve">  Form work</t>
  </si>
  <si>
    <t xml:space="preserve">2.7. Dia 8mm </t>
  </si>
  <si>
    <t xml:space="preserve">2.6. Dia 14mm </t>
  </si>
  <si>
    <t>Reinforcement steel bar</t>
  </si>
  <si>
    <t>axis  x</t>
  </si>
  <si>
    <t>L=17</t>
  </si>
  <si>
    <t>axis  y</t>
  </si>
  <si>
    <t>L=7.5-.3-.8=6.4</t>
  </si>
  <si>
    <t>on axis x  L=17</t>
  </si>
  <si>
    <t>on axis y L=6.4m</t>
  </si>
  <si>
    <t>3.1 Trychltic stone masonry below NGL</t>
  </si>
  <si>
    <t>m3 net volume item  1.1</t>
  </si>
  <si>
    <t>Block: - OR &amp; Delivery</t>
  </si>
  <si>
    <t>m3 net volume Item 1.1</t>
  </si>
  <si>
    <t>1. CONCRETE WORK</t>
  </si>
  <si>
    <t>1.1. In elevation column</t>
  </si>
  <si>
    <t>m3 net volume item 1.3</t>
  </si>
  <si>
    <t>Form Work</t>
  </si>
  <si>
    <t>kg net wight item 1.7</t>
  </si>
  <si>
    <t>kg net wight item 1.8</t>
  </si>
  <si>
    <t>ml net length item 3.3</t>
  </si>
  <si>
    <t>ml net length item 3.4</t>
  </si>
  <si>
    <t>flashing</t>
  </si>
  <si>
    <t>ml net length item 4.1</t>
  </si>
  <si>
    <t>ml net length item 4.2</t>
  </si>
  <si>
    <t>ml net length item 4.3</t>
  </si>
  <si>
    <t>ml net length item 4.4</t>
  </si>
  <si>
    <t>Pcs net number item 4.5</t>
  </si>
  <si>
    <t>5) METAL WORK</t>
  </si>
  <si>
    <t>4.7) Type D8 ,Size 70/273</t>
  </si>
  <si>
    <t>4.8) Type D9 ,Size 90/273</t>
  </si>
  <si>
    <t>4.5) Type D5 ,Size 100/273</t>
  </si>
  <si>
    <t>4.3) Purlin zigba 5/7cm</t>
  </si>
  <si>
    <t>4.4) Zigba wooden fascia board</t>
  </si>
  <si>
    <t>Pcs net number item 4.7</t>
  </si>
  <si>
    <t>Pcs net number item 4.8</t>
  </si>
  <si>
    <t>Pcs net number item 4.9</t>
  </si>
  <si>
    <t>Pcs net number item 5.1</t>
  </si>
  <si>
    <t>Pcs net number item 5.2</t>
  </si>
  <si>
    <t>Pcs net number item 5.3</t>
  </si>
  <si>
    <t>Pcs net number item 5.5</t>
  </si>
  <si>
    <t>Pcs net number item 5.6</t>
  </si>
  <si>
    <t>5.7)Type W ,Size 90/60</t>
  </si>
  <si>
    <t>4.9) Type D11 ,Size 130/273</t>
  </si>
  <si>
    <t>Pcs net number item 5.17</t>
  </si>
  <si>
    <t>Axis X/04  from (Y/01- 08)</t>
  </si>
  <si>
    <t xml:space="preserve">Axis B/n   X/04 &amp; X/05 </t>
  </si>
  <si>
    <t>6.2)Plastering to int. wall, ext.beam &amp; colu.</t>
  </si>
  <si>
    <t>Varenda</t>
  </si>
  <si>
    <t xml:space="preserve">6.4)Approved 6mm thick ceramic wall </t>
  </si>
  <si>
    <t xml:space="preserve">6.5)Approved 9mm thick non slipery cearmic floor </t>
  </si>
  <si>
    <t>6.9)1.2mt wide pavement</t>
  </si>
  <si>
    <t>m2 net area item 6.9</t>
  </si>
  <si>
    <t>6.7) Window cill Size, 27/3cm</t>
  </si>
  <si>
    <t>ml net length item no 6.7</t>
  </si>
  <si>
    <t>ml net lengt item 6.6</t>
  </si>
  <si>
    <t>6.10) Concrete pipe of  1/2 ф30cm</t>
  </si>
  <si>
    <t>ml net lengt item 6.10</t>
  </si>
  <si>
    <t xml:space="preserve"> corridor L=1.85+4.35*2-2-0.7=7.85ml</t>
  </si>
  <si>
    <t>ml net lengt item 6.11</t>
  </si>
  <si>
    <t>6.11)Constructe 10/40 cm curb stone</t>
  </si>
  <si>
    <t>Left Side</t>
  </si>
  <si>
    <t>Right &amp; Left side</t>
  </si>
  <si>
    <t>Front side</t>
  </si>
  <si>
    <t>Ditto Item no 6.2</t>
  </si>
  <si>
    <t>Ditto Item no 6.3</t>
  </si>
  <si>
    <t>Ditto Item no 6.1</t>
  </si>
  <si>
    <r>
      <t xml:space="preserve">Internal </t>
    </r>
    <r>
      <rPr>
        <sz val="9"/>
        <color theme="1"/>
        <rFont val="Calibri"/>
        <family val="2"/>
      </rPr>
      <t>ф 20mm</t>
    </r>
  </si>
  <si>
    <t>Verenda Toilet</t>
  </si>
  <si>
    <t>Toilet (M) &amp; Toilet(F)</t>
  </si>
  <si>
    <t>Dutty room Toilet</t>
  </si>
  <si>
    <t>m net length 9.1.b</t>
  </si>
  <si>
    <t>m net length 9.1.c</t>
  </si>
  <si>
    <t>m net length 9.1.d</t>
  </si>
  <si>
    <t>9.3- Supply &amp; fix Bronze Gate Valve</t>
  </si>
  <si>
    <t>Toilet beside Iso. Room</t>
  </si>
  <si>
    <t>№ net number item 9.3</t>
  </si>
  <si>
    <r>
      <t xml:space="preserve">Dia </t>
    </r>
    <r>
      <rPr>
        <sz val="9"/>
        <color theme="1"/>
        <rFont val="Calibri"/>
        <family val="2"/>
      </rPr>
      <t>ф 20mm</t>
    </r>
  </si>
  <si>
    <t>9.5) Install waste water pipe made of Upvc</t>
  </si>
  <si>
    <t xml:space="preserve"> ф 50mm </t>
  </si>
  <si>
    <t>№ net number item 9.5.a</t>
  </si>
  <si>
    <t>№ net number item 9.5.b</t>
  </si>
  <si>
    <t>№ net number item 9.5.c</t>
  </si>
  <si>
    <t>№ net number item 9.9</t>
  </si>
  <si>
    <t>№ net number item 2.01</t>
  </si>
  <si>
    <t xml:space="preserve">2.01. Light pts </t>
  </si>
  <si>
    <t>3.00.  Switches</t>
  </si>
  <si>
    <t>3.01)Single</t>
  </si>
  <si>
    <t>№ net number item 3.01</t>
  </si>
  <si>
    <t>3.02)Double</t>
  </si>
  <si>
    <t>3.03)Two way</t>
  </si>
  <si>
    <t>№ net number item 3.02</t>
  </si>
  <si>
    <t>3.04)Intermidiate</t>
  </si>
  <si>
    <t>№ net number item 3.03</t>
  </si>
  <si>
    <t>№ net number item 4.01</t>
  </si>
  <si>
    <t>№ net number item 4.02</t>
  </si>
  <si>
    <t>№ net number item 5.01</t>
  </si>
  <si>
    <t>№ net number item 6.01</t>
  </si>
  <si>
    <t>№ net number item 7.01</t>
  </si>
  <si>
    <t>№ net number item 7.05</t>
  </si>
  <si>
    <t>№ net number item 8.00</t>
  </si>
  <si>
    <t>№ net number item 10.03</t>
  </si>
  <si>
    <t>10.03. Riged pvc Dia. 50mm telephone frame</t>
  </si>
  <si>
    <t>10.00. Cable way and Manhole</t>
  </si>
  <si>
    <r>
      <t>1.8)</t>
    </r>
    <r>
      <rPr>
        <sz val="10"/>
        <color theme="1"/>
        <rFont val="Calibri"/>
        <family val="2"/>
      </rPr>
      <t>ф12 mm deformed bars</t>
    </r>
  </si>
  <si>
    <r>
      <t xml:space="preserve">1.8) </t>
    </r>
    <r>
      <rPr>
        <sz val="10"/>
        <color theme="1"/>
        <rFont val="Calibri"/>
        <family val="2"/>
        <scheme val="minor"/>
      </rPr>
      <t>ф12 mm deformed bars</t>
    </r>
  </si>
  <si>
    <r>
      <t xml:space="preserve">1.9) </t>
    </r>
    <r>
      <rPr>
        <sz val="10"/>
        <color theme="1"/>
        <rFont val="Calibri"/>
        <family val="2"/>
        <scheme val="minor"/>
      </rPr>
      <t>ф8mm deformed bars</t>
    </r>
  </si>
  <si>
    <t>5.5)Type W23 ,Size 130/60</t>
  </si>
  <si>
    <t>5.5)Type W23 ,Size 180/60</t>
  </si>
  <si>
    <t>7.1)Int. plastered surface &amp; ext beam &amp; colun</t>
  </si>
  <si>
    <t>W</t>
  </si>
  <si>
    <t>40mm dia. Internal</t>
  </si>
  <si>
    <t>Toilet (M) &amp; (F)</t>
  </si>
  <si>
    <t>lm net length item 9.1.d</t>
  </si>
  <si>
    <t>2.00)LIGHT POINT</t>
  </si>
  <si>
    <t>2.01)points conduti of 16mm  3*2.5mm2</t>
  </si>
  <si>
    <t>pcs net number item 2.01</t>
  </si>
  <si>
    <t>3.00)SWITCH</t>
  </si>
  <si>
    <t>Block: - OPD</t>
  </si>
  <si>
    <t>kg net weight item 1.8</t>
  </si>
  <si>
    <t>m2 net area</t>
  </si>
  <si>
    <t>3.2/G28 rebbed sheet</t>
  </si>
  <si>
    <t>L= 42.9+0.6+0.6=4.10</t>
  </si>
  <si>
    <t>W=16.35+0.6+0.6=</t>
  </si>
  <si>
    <t>on axis x/01&amp;x/04</t>
  </si>
  <si>
    <t>on axis y/01&amp;xy/09</t>
  </si>
  <si>
    <t>3.3)Ridg cover &amp;Flashing in metal sheet</t>
  </si>
  <si>
    <t>m net length item 3.3</t>
  </si>
  <si>
    <t>Upper L=8.93x2=17.86</t>
  </si>
  <si>
    <t>m net length item 4.3</t>
  </si>
  <si>
    <t>m net length item 4.4</t>
  </si>
  <si>
    <t>4.9)Type D9 ,Size 130/273</t>
  </si>
  <si>
    <t>4.10)Type D9 ,Size 140/273</t>
  </si>
  <si>
    <t>pcs net number item 4.10</t>
  </si>
  <si>
    <t>pcs net number item 4.9</t>
  </si>
  <si>
    <t>5.9)Type D ,Size 130/273</t>
  </si>
  <si>
    <t>pcs net number item 5.9</t>
  </si>
  <si>
    <t>pcs net number item 5.8</t>
  </si>
  <si>
    <t>pcs net number item 5.6</t>
  </si>
  <si>
    <t>pcs net number item 5.4</t>
  </si>
  <si>
    <t>pcs net number item 5.3</t>
  </si>
  <si>
    <t>m2 before Deduction</t>
  </si>
  <si>
    <t>6.7)Approved type 9mm cearmic Floor</t>
  </si>
  <si>
    <t>m2 net area item 6.7</t>
  </si>
  <si>
    <t>Disinfection washing</t>
  </si>
  <si>
    <t>ml net length item no 6.80</t>
  </si>
  <si>
    <t>ml net length item no 6.90</t>
  </si>
  <si>
    <t>6.11)10cm thick concrete pavement</t>
  </si>
  <si>
    <t>m2 net area item no 6.11</t>
  </si>
  <si>
    <t>ml net length item no 6.12</t>
  </si>
  <si>
    <t>6.13)Constructe 10/40 cm curbstone</t>
  </si>
  <si>
    <t>ml net length item no 6.13</t>
  </si>
  <si>
    <t>9. Sanitary Installation</t>
  </si>
  <si>
    <t>9.1- Supply &amp; Install PP-R pipes</t>
  </si>
  <si>
    <t>20mm dia. Internal</t>
  </si>
  <si>
    <t>Toilet Handi.</t>
  </si>
  <si>
    <t>Tiolet Gents &amp; Ladies</t>
  </si>
  <si>
    <t>25mm dia. Internal</t>
  </si>
  <si>
    <t>32mm dia. Internal</t>
  </si>
  <si>
    <t>9.5)Supply &amp; install waste water pipe made of rigid UPVC</t>
  </si>
  <si>
    <t>m net length item 9.1.b</t>
  </si>
  <si>
    <t>m net length item 9.1.c</t>
  </si>
  <si>
    <t>m net length item 9.1.d</t>
  </si>
  <si>
    <t>m net length item 9.1.e</t>
  </si>
  <si>
    <t>no pcs number item 9.3</t>
  </si>
  <si>
    <t>m net length item 9.5.a</t>
  </si>
  <si>
    <t>m net length item 9.5.b</t>
  </si>
  <si>
    <t>m net length item 9.5.c</t>
  </si>
  <si>
    <t>no net number item 9.9</t>
  </si>
  <si>
    <t>2.01points conduti of 16mm  3*2.5mm2</t>
  </si>
  <si>
    <t>no net number item 2.01</t>
  </si>
  <si>
    <t>no net number item 3.01</t>
  </si>
  <si>
    <t>no net number item 3.02</t>
  </si>
  <si>
    <t>4.00)Socket outlet point</t>
  </si>
  <si>
    <t>no net number item 4.01</t>
  </si>
  <si>
    <t>no net number item 4.02</t>
  </si>
  <si>
    <t>4.03)Ditto 4.01 but 4x3mm2</t>
  </si>
  <si>
    <t>no net number item 4.03</t>
  </si>
  <si>
    <t>no net number item 5.01</t>
  </si>
  <si>
    <t>no net number item 5.02</t>
  </si>
  <si>
    <t>6.01)Telephone point feed through cat 5E UTP Cable</t>
  </si>
  <si>
    <t>no net number item 5.03</t>
  </si>
  <si>
    <t>6.00)Telephone/data point</t>
  </si>
  <si>
    <t>no net number item 6.01</t>
  </si>
  <si>
    <t>no net number item 8.01</t>
  </si>
  <si>
    <t>no net number item 7.05</t>
  </si>
  <si>
    <t>no net number item 7.04</t>
  </si>
  <si>
    <t>no net number item 7.03</t>
  </si>
  <si>
    <t>no net number item 7.01</t>
  </si>
  <si>
    <t>no net number item 7.02</t>
  </si>
  <si>
    <t xml:space="preserve">10.03 Rigid pvc pipe of dia.25mm For 4x4mm2 </t>
  </si>
  <si>
    <t>ml net length item 10.03</t>
  </si>
  <si>
    <t>ml net length item 10.04</t>
  </si>
  <si>
    <t>Above top tie beam Y/01 &amp;x/05</t>
  </si>
  <si>
    <t>m2 net area item 3.3</t>
  </si>
  <si>
    <t>m2 net area item 3.4</t>
  </si>
  <si>
    <t>4.9)Type D ,Size 140/273</t>
  </si>
  <si>
    <t>5.7)Type D4=13 ,Size 120/273</t>
  </si>
  <si>
    <t>Windows</t>
  </si>
  <si>
    <t>5.6)Type W2 ,Size 120/90</t>
  </si>
  <si>
    <t>m2 net area itm 6.1</t>
  </si>
  <si>
    <t>m net length item 6.7</t>
  </si>
  <si>
    <t>m net length item 6.6</t>
  </si>
  <si>
    <t>6.12)Supply &amp; lay storm water</t>
  </si>
  <si>
    <t>m net length item 6.12</t>
  </si>
  <si>
    <t>10.00. Electrical Installations</t>
  </si>
  <si>
    <t>Block: - Diagnostic</t>
  </si>
  <si>
    <t>1.9)ф8 mm deformed bars</t>
  </si>
  <si>
    <t>2) Block work</t>
  </si>
  <si>
    <t>2.1) 20cm thick</t>
  </si>
  <si>
    <r>
      <t>m</t>
    </r>
    <r>
      <rPr>
        <b/>
        <vertAlign val="superscript"/>
        <sz val="14"/>
        <color theme="1"/>
        <rFont val="Calibri"/>
        <family val="2"/>
        <scheme val="minor"/>
      </rPr>
      <t xml:space="preserve">2  </t>
    </r>
    <r>
      <rPr>
        <b/>
        <sz val="14"/>
        <color theme="1"/>
        <rFont val="Calibri"/>
        <family val="2"/>
        <scheme val="minor"/>
      </rPr>
      <t>net area item 2.1</t>
    </r>
  </si>
  <si>
    <t>Axis x/01',X/01'' &amp; X/02'  from (Y/04 - Y/04')</t>
  </si>
  <si>
    <t>m net length item 3.1</t>
  </si>
  <si>
    <t>m net length item 3.2</t>
  </si>
  <si>
    <t>4.7)Type D9 ,Size 90/273</t>
  </si>
  <si>
    <t>4.5)Type D7 ,Size 80/273</t>
  </si>
  <si>
    <t>5.6)Type W13,Size 120/173</t>
  </si>
  <si>
    <t>m2 net area  item 6.5</t>
  </si>
  <si>
    <t>m2 net area  item 6.9</t>
  </si>
  <si>
    <t>6.12- Half Ditch</t>
  </si>
  <si>
    <t>Left &amp; Right Side</t>
  </si>
  <si>
    <t>Front &amp; Rare side</t>
  </si>
  <si>
    <t>m before deduction</t>
  </si>
  <si>
    <t>Ramp</t>
  </si>
  <si>
    <t>m total Deduction</t>
  </si>
  <si>
    <t>m net length item 6.10</t>
  </si>
  <si>
    <r>
      <t xml:space="preserve">Internal </t>
    </r>
    <r>
      <rPr>
        <sz val="9"/>
        <color theme="1"/>
        <rFont val="Calibri"/>
        <family val="2"/>
      </rPr>
      <t>ф 15mm</t>
    </r>
  </si>
  <si>
    <t>m net length item 9.1.a</t>
  </si>
  <si>
    <r>
      <t xml:space="preserve"> </t>
    </r>
    <r>
      <rPr>
        <sz val="8"/>
        <color theme="1"/>
        <rFont val="Calibri"/>
        <family val="2"/>
      </rPr>
      <t>ф 50mm</t>
    </r>
  </si>
  <si>
    <r>
      <t xml:space="preserve"> </t>
    </r>
    <r>
      <rPr>
        <sz val="8"/>
        <color theme="1"/>
        <rFont val="Calibri"/>
        <family val="2"/>
      </rPr>
      <t xml:space="preserve">ф 100mm </t>
    </r>
  </si>
  <si>
    <t>pcs net number</t>
  </si>
  <si>
    <t>10.00. Cable way &amp; manhole</t>
  </si>
  <si>
    <t>10.03. riged pvc pipe dia.50mm To telephone</t>
  </si>
  <si>
    <t>pcs net number item 10.03</t>
  </si>
  <si>
    <t>pcs net number item 6.03</t>
  </si>
  <si>
    <t>pcs net number item 7.05</t>
  </si>
  <si>
    <t>Block: - Generator House</t>
  </si>
  <si>
    <t xml:space="preserve">3.2 - Ribbed Sheet </t>
  </si>
  <si>
    <t>l = (0.95^2+7.35^2)^0.5 =7.41m</t>
  </si>
  <si>
    <t>m2 net area item 1.3</t>
  </si>
  <si>
    <t>Gable</t>
  </si>
  <si>
    <t>4.4- Fasia Board</t>
  </si>
  <si>
    <t>kg net weight item 1.5</t>
  </si>
  <si>
    <t>kg net weight item 1.6</t>
  </si>
  <si>
    <t>L=3.515X2+4.6X2=17.10mt</t>
  </si>
  <si>
    <t xml:space="preserve">6.9- Pavment </t>
  </si>
  <si>
    <t>Front &amp; Rare Side</t>
  </si>
  <si>
    <t>m2 total deduction</t>
  </si>
  <si>
    <t>6.1- Half Ditch</t>
  </si>
  <si>
    <t>Around ramp</t>
  </si>
  <si>
    <t xml:space="preserve">Deduction </t>
  </si>
  <si>
    <t>m total deduction</t>
  </si>
  <si>
    <t>m2 net area item 6.21</t>
  </si>
  <si>
    <t>m net length item 6.22</t>
  </si>
  <si>
    <t>7) Painting</t>
  </si>
  <si>
    <t>Block: - Transformer House</t>
  </si>
  <si>
    <t>3.2- Ribbed Sheet</t>
  </si>
  <si>
    <t>Front Side</t>
  </si>
  <si>
    <t>3.3- Gutter</t>
  </si>
  <si>
    <t>4- Crpentary &amp; Joinery</t>
  </si>
  <si>
    <t>me net area item 2.1</t>
  </si>
  <si>
    <t>L=2.75X2+4.55=10.05ml</t>
  </si>
  <si>
    <t>No. truss=5.40/1.33+1=5pcs</t>
  </si>
  <si>
    <t>No .pur =4.17/0.9+1=4X2=8</t>
  </si>
  <si>
    <t>L=2.75X4+6.6x2=24.20mt</t>
  </si>
  <si>
    <t>Block: -Kitchen</t>
  </si>
  <si>
    <t>m2 net arae item 2.1</t>
  </si>
  <si>
    <t>m2 net arae item 2.2</t>
  </si>
  <si>
    <t>5.8)Type D6 ,Size 90/273</t>
  </si>
  <si>
    <t>6.7- Terrazo window cill</t>
  </si>
  <si>
    <t>W4 &amp; W15</t>
  </si>
  <si>
    <t>Rare side</t>
  </si>
  <si>
    <t>m  before deduction</t>
  </si>
  <si>
    <t>no net number item 9.3</t>
  </si>
  <si>
    <t>riged pvc pipe dia.50mm To telephone</t>
  </si>
  <si>
    <t>no net number item 4.04</t>
  </si>
  <si>
    <t>no net number item 4.05</t>
  </si>
  <si>
    <t>no net number item 5.04</t>
  </si>
  <si>
    <t>no net number item 5.05</t>
  </si>
  <si>
    <t>m net length item 10.04</t>
  </si>
  <si>
    <t>no net number item 6.03</t>
  </si>
  <si>
    <t xml:space="preserve">6.3. outlets RJ11 type </t>
  </si>
  <si>
    <t>Block: - Guard House</t>
  </si>
  <si>
    <t>m3 net area item 1.1</t>
  </si>
  <si>
    <t>m3 net area item 1.2</t>
  </si>
  <si>
    <t xml:space="preserve">C1=4Pcs </t>
  </si>
  <si>
    <t>m3 net area item 1.4</t>
  </si>
  <si>
    <t xml:space="preserve">1.4)In beam </t>
  </si>
  <si>
    <t>m3 net area item 1.3</t>
  </si>
  <si>
    <r>
      <t>1.6)</t>
    </r>
    <r>
      <rPr>
        <sz val="12"/>
        <rFont val="Calibri"/>
        <family val="2"/>
      </rPr>
      <t>ф12mm deformed bar</t>
    </r>
  </si>
  <si>
    <r>
      <t>1.7)</t>
    </r>
    <r>
      <rPr>
        <sz val="12"/>
        <rFont val="Calibri"/>
        <family val="2"/>
      </rPr>
      <t>ф8mm deformed bar</t>
    </r>
  </si>
  <si>
    <t>Ditto Item no 6.4</t>
  </si>
  <si>
    <t>Block: - Morgue</t>
  </si>
  <si>
    <t xml:space="preserve">1.4) Beam </t>
  </si>
  <si>
    <t>no net number item 5.1</t>
  </si>
  <si>
    <t>m2 net area item 6.22</t>
  </si>
  <si>
    <t>9.9. Toilet Paper Holder</t>
  </si>
  <si>
    <t>Block: - Emergency</t>
  </si>
  <si>
    <t>Axis Y/02,Y/04 &amp; Y/07 from (X/03 - X/04)</t>
  </si>
  <si>
    <t>4.8)Type D ,Size 90/273</t>
  </si>
  <si>
    <t>5.4)Type W14, Size 100/173</t>
  </si>
  <si>
    <t>5.7)Type D1= D2, Size 140/273</t>
  </si>
  <si>
    <t>5.10)Type D6, Size 90/273</t>
  </si>
  <si>
    <t>to internal wall &amp;external beam  &amp; colu.</t>
  </si>
  <si>
    <t>Block: - Waiting</t>
  </si>
  <si>
    <r>
      <t xml:space="preserve">6.21. concrete pipe of  1/2 </t>
    </r>
    <r>
      <rPr>
        <sz val="12"/>
        <color theme="1"/>
        <rFont val="Calibri"/>
        <family val="2"/>
      </rPr>
      <t>ф30cm</t>
    </r>
  </si>
  <si>
    <t>L=23.30+1.20X2+0.3X2+0.15X2+0.1X2=26.8mt</t>
  </si>
  <si>
    <t>ml net length item 6.7</t>
  </si>
  <si>
    <t>ml net area item 6.6</t>
  </si>
  <si>
    <r>
      <t xml:space="preserve"> </t>
    </r>
    <r>
      <rPr>
        <sz val="12"/>
        <color theme="1"/>
        <rFont val="Calibri"/>
        <family val="2"/>
      </rPr>
      <t>ф 50mm of min. wall thickness=3mm</t>
    </r>
  </si>
  <si>
    <t xml:space="preserve"> Type D11 ,Size 130/273</t>
  </si>
  <si>
    <t>5.5)Type W15 ,Size 130/60</t>
  </si>
  <si>
    <t>5.3)Type W5 ,Size 75/173</t>
  </si>
  <si>
    <t>5.1) Type W2 ,Size 150/173</t>
  </si>
  <si>
    <t>*</t>
  </si>
  <si>
    <t>Type W size-900/60cm</t>
  </si>
  <si>
    <t>Type Wsize-130/60cm</t>
  </si>
  <si>
    <t>50mm dia. Internal</t>
  </si>
  <si>
    <t>Type D size-130/273cm</t>
  </si>
  <si>
    <t>Type D size-140/273cm</t>
  </si>
  <si>
    <t>Type D10 size - 130/273cm</t>
  </si>
  <si>
    <t>6.8)Approved type 10/0.9mm skirting</t>
  </si>
  <si>
    <t>6.9)Terrazzo window cill</t>
  </si>
  <si>
    <t>Block: - Adminstrator</t>
  </si>
  <si>
    <t>5.2)Type W2 ,Size 160/73</t>
  </si>
  <si>
    <t>Type W17  size-120/173cm</t>
  </si>
  <si>
    <t>Type W26 size-120/173cm</t>
  </si>
  <si>
    <t>Type W size-160/173cm</t>
  </si>
  <si>
    <t>Type W size-120/90cm</t>
  </si>
  <si>
    <t>L=38.5+3=41.50</t>
  </si>
  <si>
    <t>W=18.55+3=21.55</t>
  </si>
  <si>
    <t>along X axis</t>
  </si>
  <si>
    <t>along Y axis</t>
  </si>
  <si>
    <t>1.6- 25cm thick hard rock</t>
  </si>
  <si>
    <t>2- CONCRETE WORK</t>
  </si>
  <si>
    <t xml:space="preserve">2.1- 5cm thick lean concrete </t>
  </si>
  <si>
    <t xml:space="preserve">2.3- 10cm thick RC Slab </t>
  </si>
  <si>
    <t>1.6/ 25 cm thick basaltic or equivalent stone hard core</t>
  </si>
  <si>
    <t>3.1 Trychltic or equivalent stone masonry (total)</t>
  </si>
  <si>
    <t>axis  x01,x02,x03,x05</t>
  </si>
  <si>
    <t>L=39.05-0.5=38.55</t>
  </si>
  <si>
    <t>axis  y01,y02,y03……y08</t>
  </si>
  <si>
    <t>L=18.9-0.5-(5*0.4)=16.4</t>
  </si>
  <si>
    <t xml:space="preserve">on axis x01 </t>
  </si>
  <si>
    <t>L=6.2+2.65+6.1+6.2+6.1=27.25</t>
  </si>
  <si>
    <t>w=0.4, d=0.3</t>
  </si>
  <si>
    <t>on axis y01</t>
  </si>
  <si>
    <t>L=5.65 W=.4  d=.32</t>
  </si>
  <si>
    <t>Block: - IPD Sub-Structure</t>
  </si>
  <si>
    <t>Block: - IPD SUPER STRUCTURE</t>
  </si>
  <si>
    <t>L=43.45+1.0+1.0-.5=44.95</t>
  </si>
  <si>
    <t>W=16.9+1.0+1.0-0.5=18.4</t>
  </si>
  <si>
    <r>
      <t>Block</t>
    </r>
    <r>
      <rPr>
        <b/>
        <sz val="16"/>
        <color indexed="8"/>
        <rFont val="Times New Roman"/>
        <family val="1"/>
      </rPr>
      <t>:-Site  work</t>
    </r>
  </si>
  <si>
    <t>Project --  Wegeda Primary Hospital</t>
  </si>
  <si>
    <t>Location -- South Gonder/Wegeda</t>
  </si>
  <si>
    <t>Contractor -- Trust Construction</t>
  </si>
  <si>
    <t>¾}c^¨&lt; Y^“/¨ÃU ¾k[u&lt; °n­‹ ´`´`</t>
  </si>
  <si>
    <t>Detail of works executed and / or material supplied</t>
  </si>
  <si>
    <r>
      <t xml:space="preserve">}.l       </t>
    </r>
    <r>
      <rPr>
        <sz val="16"/>
        <rFont val="Arial"/>
        <family val="2"/>
      </rPr>
      <t>Item             No.</t>
    </r>
  </si>
  <si>
    <r>
      <t xml:space="preserve">  SÓKÝ                        </t>
    </r>
    <r>
      <rPr>
        <sz val="16"/>
        <rFont val="Arial"/>
        <family val="2"/>
      </rPr>
      <t>Description</t>
    </r>
    <r>
      <rPr>
        <sz val="16"/>
        <rFont val="Ge'ez-1"/>
        <family val="2"/>
      </rPr>
      <t xml:space="preserve">                          </t>
    </r>
  </si>
  <si>
    <t>ÉU` uŸòM</t>
  </si>
  <si>
    <t>ÉU`</t>
  </si>
  <si>
    <t>Sub total(Birr)</t>
  </si>
  <si>
    <t>Sum</t>
  </si>
  <si>
    <t>¾¨&lt;K</t>
  </si>
  <si>
    <t>¾}W^¨&lt;</t>
  </si>
  <si>
    <t>GENERAL SITE WORK</t>
  </si>
  <si>
    <t>ELECTRICAL SITE WORK</t>
  </si>
  <si>
    <t>UNCOVERED way /Fence work/</t>
  </si>
  <si>
    <t>RAMPS</t>
  </si>
  <si>
    <t>Ash and Needle Pits</t>
  </si>
  <si>
    <t>Placenta Pit</t>
  </si>
  <si>
    <t>Incinanator</t>
  </si>
  <si>
    <t>Covered walk way</t>
  </si>
  <si>
    <t xml:space="preserve"> Total </t>
  </si>
  <si>
    <r>
      <t xml:space="preserve"> ’@/ —</t>
    </r>
    <r>
      <rPr>
        <u/>
        <sz val="16"/>
        <rFont val="Ge'ez-1"/>
        <family val="2"/>
      </rPr>
      <t xml:space="preserve">                              </t>
    </r>
    <r>
      <rPr>
        <sz val="16"/>
        <rFont val="Ge'ez-1"/>
        <family val="2"/>
      </rPr>
      <t xml:space="preserve">Ÿ²=I uLÃ ¾}²[²\ƒ H&gt;dx‹ ƒ¡¡M SJ“†¨&lt;”     </t>
    </r>
  </si>
  <si>
    <t xml:space="preserve"> ¾}W^¨&lt; Y^“ °n ÖpLL ªÒ w`</t>
  </si>
  <si>
    <t xml:space="preserve"> SJ’&lt;” “[ÒÓ×K”::</t>
  </si>
  <si>
    <t xml:space="preserve">I/we  here by certify that above figures are correct  and that the total value of work executed </t>
  </si>
  <si>
    <t xml:space="preserve">and/or materials supplied up to date is Birr </t>
  </si>
  <si>
    <t>___________________</t>
  </si>
  <si>
    <t>______________</t>
  </si>
  <si>
    <t xml:space="preserve">Site Supervisor </t>
  </si>
  <si>
    <t>Consultant</t>
  </si>
  <si>
    <t>Summary of Measurement for General Site  Work</t>
  </si>
  <si>
    <t>Site Work</t>
  </si>
  <si>
    <t>10.4 GENERAL SITE WORK</t>
  </si>
  <si>
    <t>10.4.3</t>
  </si>
  <si>
    <t>Construct slab covered ditch as per the detail drawing. Price shall include excavation cart away and all civil assistance</t>
  </si>
  <si>
    <t>10.4.4</t>
  </si>
  <si>
    <t>Supply and uPVC, PN-4 pipe for waste water drainage from the manhole to the  septic tank with minimum slope as shown on the drawing or natural ground slop which ever is greater on a firm bed of sand a00mm thick below and 200mm thick above the crown of pipe in open ground.</t>
  </si>
  <si>
    <t>Dia 100mm</t>
  </si>
  <si>
    <t>Dia150mm</t>
  </si>
  <si>
    <t>10.4.7</t>
  </si>
  <si>
    <t xml:space="preserve">Supply and fix approved quality garden taps, complete with gate valve and all other accessories and connecting pieces.   Dia. 20mm                                                                                                                              </t>
  </si>
  <si>
    <t>10.4.8</t>
  </si>
  <si>
    <t>Construct manholes on a sanitary sewer drainage system as where shown on the drawing in single brick on 150mm both ways and 120mm thick reinforced cover slab in dia. 10c.c150mm both ways. Price shall include all assistance civil works and handle.</t>
  </si>
  <si>
    <t>a) size: 600x600mm average depth=850mm</t>
  </si>
  <si>
    <t>Construct open ditch out of half precast concrete round pipes. Price shall include excavation, cart away and all civil works as shown on the detailed drawing.</t>
  </si>
  <si>
    <t>Ditch size 1/2 Diameter 300mm</t>
  </si>
  <si>
    <t>10.4.14</t>
  </si>
  <si>
    <t>Supply and install water meter of approved quality price shall include gate valves after and before water meter</t>
  </si>
  <si>
    <t>Dia. 40mm</t>
  </si>
  <si>
    <t>10.4.15 WATER TANK</t>
  </si>
  <si>
    <t>10.4.14.1</t>
  </si>
  <si>
    <r>
      <t>Supply &amp; install Elevated 5m</t>
    </r>
    <r>
      <rPr>
        <vertAlign val="superscript"/>
        <sz val="16"/>
        <rFont val="Calibri"/>
        <family val="2"/>
        <scheme val="minor"/>
      </rPr>
      <t xml:space="preserve">3 </t>
    </r>
    <r>
      <rPr>
        <sz val="16"/>
        <rFont val="Calibri"/>
        <family val="2"/>
        <scheme val="minor"/>
      </rPr>
      <t>water tank made of fiber glass as where shown on the drawing. The price include the construction cost for the water thank holder made of RC.</t>
    </r>
  </si>
  <si>
    <t>Accessories</t>
  </si>
  <si>
    <t>Capacity: 50m3</t>
  </si>
  <si>
    <t>10.4 50m3 ground reservoir</t>
  </si>
  <si>
    <t>10.4.16</t>
  </si>
  <si>
    <t>10.4.18</t>
  </si>
  <si>
    <t xml:space="preserve">Construct soak away pit as per the detail drawing </t>
  </si>
  <si>
    <t>10.4.19</t>
  </si>
  <si>
    <t>Construct Dry latrine as per the detail drawing</t>
  </si>
  <si>
    <t>TOTAL CARRIED TO SUMMARY</t>
  </si>
  <si>
    <t>11- UNCOVERD WALK WAY /FENCE WORK/</t>
  </si>
  <si>
    <t>11.1 Excavation &amp; Earth Work</t>
  </si>
  <si>
    <t>11.1.1</t>
  </si>
  <si>
    <t>Bulk excavation for average depth of 600mm</t>
  </si>
  <si>
    <t>11.1.2</t>
  </si>
  <si>
    <t>11.2 Construction of sub base course</t>
  </si>
  <si>
    <t>11.2.1</t>
  </si>
  <si>
    <t>The sub base course shall consist of selected material from quarry waste . Rolling shall be with 10-16ton roller to a finished thickness of 150mm.</t>
  </si>
  <si>
    <t>11.3 Construction of bases course</t>
  </si>
  <si>
    <t>11.3.1</t>
  </si>
  <si>
    <t>The bases consist of crushed aggregate 80/120mm well compacted and rolled with 10-16 ton roller to a finished thickness of 150mm.</t>
  </si>
  <si>
    <t xml:space="preserve">11.4 Construction of surface course </t>
  </si>
  <si>
    <t>11.4.1</t>
  </si>
  <si>
    <t>The surface course consists of 70mm thick wearing course size 20mm gravel (3/4) on the compacted base course and well compacted with 10-6 ton roller. The final level shall be topped with some kg/sq.m fine particles from quarry waste. 0/12 as a binding material and thoroughly rolled with sprinkling of water until fally sonsolidated, smoothed and leveled.</t>
  </si>
  <si>
    <t>11.4.2</t>
  </si>
  <si>
    <t>Apply mass concrete</t>
  </si>
  <si>
    <t>11.5 Construction of Curbstone</t>
  </si>
  <si>
    <t>11.5.1</t>
  </si>
  <si>
    <t>Construct curbstone bed on 12cm thick lean concrete in c-5 and joints pointed in cement sand mortar mix(1:3). Price includes excavation, caraway and lean concrete. Size 400*150mm</t>
  </si>
  <si>
    <t>1. Fence</t>
  </si>
  <si>
    <t>3. Front side masonry work</t>
  </si>
  <si>
    <t>Trench excavation for masonry foundation</t>
  </si>
  <si>
    <t>Caraway surplus</t>
  </si>
  <si>
    <t>50cm thick masonry BGL</t>
  </si>
  <si>
    <t>Ditto but well dressed stone above NGL (Price includes pointing and Copping)</t>
  </si>
  <si>
    <t>50cm thick well dressed masonry pillars (price includes pointing, copping and any related works)</t>
  </si>
  <si>
    <t>Provide and fix fence grill out of RHS 40x40x3mm and RHS 20x20x2mm including one coat of anti rust paint and three coats of oil paint (size 200x120cm)</t>
  </si>
  <si>
    <t xml:space="preserve">Supply and fix fence with 300cm high angle iron among which 50cm is bedded in foundation of size 40x40x2.5mm </t>
  </si>
  <si>
    <t>1.Excavation &amp; Earth Work</t>
  </si>
  <si>
    <t>Excavation in 50cm from NGL</t>
  </si>
  <si>
    <t>Stone masonry foundation wall with 50cm thick BNGL</t>
  </si>
  <si>
    <t>Ditto but semi-dressed stone masonry 50cm thick ANGL</t>
  </si>
  <si>
    <t>Caraway surplus excavated material</t>
  </si>
  <si>
    <t>Fill granular approved type selected</t>
  </si>
  <si>
    <t>15cm thick Hard core for ramps</t>
  </si>
  <si>
    <t>2 Concrete Work</t>
  </si>
  <si>
    <t>5cm thick lean concrete</t>
  </si>
  <si>
    <t>10cm thick reinforced concrete slab</t>
  </si>
  <si>
    <t>Diam. 8mm</t>
  </si>
  <si>
    <t>12.5cm thick reinforced concrete laid stone mass</t>
  </si>
  <si>
    <t>Bulk excavation for average depth of 150mm</t>
  </si>
  <si>
    <t>Ditto but not exceeding a depth of 300cm</t>
  </si>
  <si>
    <t>Ditto but not exceeding a depth of 450cm</t>
  </si>
  <si>
    <t>2 Block Work</t>
  </si>
  <si>
    <t>50cm thick hard trachytic or equivalent stone</t>
  </si>
  <si>
    <t>3 Concrete Work</t>
  </si>
  <si>
    <t>Reinforced concrete top slab class C-20 with thickness of 150mm</t>
  </si>
  <si>
    <t>In top slab and manhold cover reinforcement-dim 8mm</t>
  </si>
  <si>
    <t>In top slab and manhole cover reinforcement -diam 12mm</t>
  </si>
  <si>
    <t>Provide, cut and fix in posiion zigba wood</t>
  </si>
  <si>
    <t>Excavation for pit not exeeding 150cm</t>
  </si>
  <si>
    <t>Ditto but over 150cm</t>
  </si>
  <si>
    <t>Back fill, around retaining wall</t>
  </si>
  <si>
    <t>Cartaway surplus</t>
  </si>
  <si>
    <t>Reinforced concrete in class C-20</t>
  </si>
  <si>
    <t>a) in 15cm thick RC top slab</t>
  </si>
  <si>
    <t>From work</t>
  </si>
  <si>
    <t>b) RC top slab</t>
  </si>
  <si>
    <t>Mild steel Reainforcement</t>
  </si>
  <si>
    <t>c) Diam. 8mm</t>
  </si>
  <si>
    <t>d) Diam. 10mm</t>
  </si>
  <si>
    <t>e) Diam. 12mm</t>
  </si>
  <si>
    <t>3 Masonry Work</t>
  </si>
  <si>
    <t>Trychitic or equivalents stone mortared masonry retaining wall</t>
  </si>
  <si>
    <t>4 Pipe Work</t>
  </si>
  <si>
    <t>Dia. 110mm PVC pipe with vent</t>
  </si>
  <si>
    <t>4- Covered walk way</t>
  </si>
  <si>
    <t>A. Sub structure</t>
  </si>
  <si>
    <t>Removoval of top soil</t>
  </si>
  <si>
    <t>Excavation of black cottons soil up to 35cm</t>
  </si>
  <si>
    <t>Excavation of trench</t>
  </si>
  <si>
    <t>Selected material back fill</t>
  </si>
  <si>
    <t>Cart away</t>
  </si>
  <si>
    <t>Hard core</t>
  </si>
  <si>
    <t>C-15 lean concrete</t>
  </si>
  <si>
    <t>C-25 RC Concrete in grade beam</t>
  </si>
  <si>
    <t>C-15 concrete slab</t>
  </si>
  <si>
    <t>Form work</t>
  </si>
  <si>
    <t>Steel reinforcment</t>
  </si>
  <si>
    <t>a) Diameter 12 plain bars</t>
  </si>
  <si>
    <t>b) Diameter 8 deformed bars</t>
  </si>
  <si>
    <t>c) Diameter 6 deformed bars</t>
  </si>
  <si>
    <t>Masonery wall below NGL</t>
  </si>
  <si>
    <t>3 Steel structure</t>
  </si>
  <si>
    <t>Supply &amp; fix steel structure fabricated according to drawing</t>
  </si>
  <si>
    <t>Diam 60mm CHS post 2.5mm</t>
  </si>
  <si>
    <t>Plates (150mm*150mm)</t>
  </si>
  <si>
    <t>Ancher 'J' bolts</t>
  </si>
  <si>
    <t>a. diam 16mm length 30cm</t>
  </si>
  <si>
    <t>40x60x2.5mm RHS</t>
  </si>
  <si>
    <t>40x30x2mm RHS for upper &amp; lower trusses</t>
  </si>
  <si>
    <t xml:space="preserve">Ditto but 30x20x2mm </t>
  </si>
  <si>
    <t>4 Roofing</t>
  </si>
  <si>
    <t xml:space="preserve">Roof cover G-30 C-I-S including roof </t>
  </si>
  <si>
    <t>Eucalyptus truss</t>
  </si>
  <si>
    <t>1. 5x7cm sawn zigba wood purlin wood</t>
  </si>
  <si>
    <t>Project:- WEGEDA  PRIMARY HOSPITAL</t>
  </si>
  <si>
    <t>Block :-</t>
  </si>
  <si>
    <t>10.4- General Site Work</t>
  </si>
  <si>
    <t>10.4.18- Soak away pit</t>
  </si>
  <si>
    <t>No net number</t>
  </si>
  <si>
    <t>10.4.19- Dry latrine</t>
  </si>
  <si>
    <t>Electrical Site Work</t>
  </si>
  <si>
    <t>3- Manhole &amp; Ducts</t>
  </si>
  <si>
    <t>3.1- Manhole in Masonary</t>
  </si>
  <si>
    <t>3.1.2- 1000*1000*700mm</t>
  </si>
  <si>
    <t>3.1.3- 600*600*500mm</t>
  </si>
  <si>
    <t>3.2- Concrete Pipe dai. 10cm</t>
  </si>
  <si>
    <t>Right side of OR</t>
  </si>
  <si>
    <t>Walk Way</t>
  </si>
  <si>
    <t>11.1- Excavation &amp; Earth Work</t>
  </si>
  <si>
    <t>11.1.1- Bulk Excavation</t>
  </si>
  <si>
    <t>From OR through Dry latrine</t>
  </si>
  <si>
    <t>to Generator House</t>
  </si>
  <si>
    <t>From main Gate to Emer.</t>
  </si>
  <si>
    <t>curve area at Waiting</t>
  </si>
  <si>
    <t>From IPD &amp; Kitchen through</t>
  </si>
  <si>
    <t>Morgue to Ash &amp; Needle pit</t>
  </si>
  <si>
    <t>curve area at Emergency</t>
  </si>
  <si>
    <t>m3 net volume</t>
  </si>
  <si>
    <t>11.1.2- Cart away</t>
  </si>
  <si>
    <t>Ditto item No 11.1.1</t>
  </si>
  <si>
    <t>11.2- Sub base course</t>
  </si>
  <si>
    <t>m2 net arae</t>
  </si>
  <si>
    <t>Fence Work</t>
  </si>
  <si>
    <t>3.06- Fence Grill</t>
  </si>
  <si>
    <t>4- Covered Walk Way</t>
  </si>
  <si>
    <t>A- Sub Structure</t>
  </si>
  <si>
    <t>1- Excavation &amp; Earth Work</t>
  </si>
  <si>
    <t>1.1- Removal of Top Soil</t>
  </si>
  <si>
    <t>2.4- Formwork</t>
  </si>
  <si>
    <t>3- Steel Structure</t>
  </si>
  <si>
    <t>3.1- Dia. 6omm CHS Post</t>
  </si>
  <si>
    <t>kg net weight</t>
  </si>
  <si>
    <t>3.2 plate</t>
  </si>
  <si>
    <t>1.6- Hard Core</t>
  </si>
  <si>
    <t>3.3- Ancher J bolt</t>
  </si>
  <si>
    <t>2- Concrete Work</t>
  </si>
  <si>
    <t>2.1- Lean Concrete</t>
  </si>
  <si>
    <t>3.4- 40*60*2.5mm RHS</t>
  </si>
  <si>
    <t>2.2- C-25 in Grade Beams</t>
  </si>
  <si>
    <t>2.3- Concrete Slab</t>
  </si>
  <si>
    <t>Dia.      (mm)</t>
  </si>
  <si>
    <t>Length(m)</t>
  </si>
  <si>
    <t>No of bars</t>
  </si>
  <si>
    <t>Members</t>
  </si>
  <si>
    <t>Diameter of RC Bar</t>
  </si>
  <si>
    <t>OR &amp; Delivery</t>
  </si>
  <si>
    <t>Waiting</t>
  </si>
  <si>
    <t>Wating to OPD</t>
  </si>
  <si>
    <t>Generator House</t>
  </si>
  <si>
    <t>Total Length</t>
  </si>
  <si>
    <t>Unit Wt.(kg/mL)</t>
  </si>
  <si>
    <t>Total Weight</t>
  </si>
  <si>
    <t>Block:-</t>
  </si>
  <si>
    <t>Covered Walk Way</t>
  </si>
  <si>
    <t>From Diagno. To IPD</t>
  </si>
  <si>
    <t>Strriup</t>
  </si>
  <si>
    <t>From IPD to Kitchen</t>
  </si>
  <si>
    <t>Stirrup</t>
  </si>
  <si>
    <t>SLAB</t>
  </si>
  <si>
    <t>10.4.16- Septic Tank</t>
  </si>
  <si>
    <t xml:space="preserve">3.07 Supply and fix fence with 300cm high angle iron </t>
  </si>
  <si>
    <t>Rear Side</t>
  </si>
  <si>
    <t>ASH AND NEEDLE PIT</t>
  </si>
  <si>
    <t>1) Excavation and Earth Work</t>
  </si>
  <si>
    <t>1.2) Ditto  but not exceeding a depth of 300 cm</t>
  </si>
  <si>
    <t>Total item to 1.2</t>
  </si>
  <si>
    <t>1.3) Ditto but not exceeding a depth of 450 cm</t>
  </si>
  <si>
    <t>Total item to 1.3</t>
  </si>
  <si>
    <r>
      <t>m</t>
    </r>
    <r>
      <rPr>
        <b/>
        <vertAlign val="superscript"/>
        <sz val="14"/>
        <color theme="1"/>
        <rFont val="Calibri"/>
        <family val="2"/>
        <scheme val="minor"/>
      </rPr>
      <t>2</t>
    </r>
    <r>
      <rPr>
        <b/>
        <sz val="14"/>
        <color theme="1"/>
        <rFont val="Calibri"/>
        <family val="2"/>
        <scheme val="minor"/>
      </rPr>
      <t xml:space="preserve">   Total to item 1.1</t>
    </r>
  </si>
  <si>
    <t xml:space="preserve"> 1.4 Cart away excavated material </t>
  </si>
  <si>
    <r>
      <t>m</t>
    </r>
    <r>
      <rPr>
        <b/>
        <vertAlign val="superscript"/>
        <sz val="14"/>
        <color theme="1"/>
        <rFont val="Calibri"/>
        <family val="2"/>
        <scheme val="minor"/>
      </rPr>
      <t>3</t>
    </r>
    <r>
      <rPr>
        <b/>
        <sz val="14"/>
        <color theme="1"/>
        <rFont val="Calibri"/>
        <family val="2"/>
        <scheme val="minor"/>
      </rPr>
      <t xml:space="preserve">  Total to item 1.2</t>
    </r>
  </si>
  <si>
    <r>
      <t>m</t>
    </r>
    <r>
      <rPr>
        <b/>
        <vertAlign val="superscript"/>
        <sz val="14"/>
        <color theme="1"/>
        <rFont val="Calibri"/>
        <family val="2"/>
        <scheme val="minor"/>
      </rPr>
      <t>3</t>
    </r>
    <r>
      <rPr>
        <b/>
        <sz val="14"/>
        <color theme="1"/>
        <rFont val="Calibri"/>
        <family val="2"/>
        <scheme val="minor"/>
      </rPr>
      <t xml:space="preserve">  Total to item 1.4</t>
    </r>
  </si>
  <si>
    <r>
      <t>m</t>
    </r>
    <r>
      <rPr>
        <b/>
        <vertAlign val="superscript"/>
        <sz val="14"/>
        <color theme="1"/>
        <rFont val="Calibri"/>
        <family val="2"/>
        <scheme val="minor"/>
      </rPr>
      <t>2</t>
    </r>
    <r>
      <rPr>
        <b/>
        <sz val="14"/>
        <color theme="1"/>
        <rFont val="Calibri"/>
        <family val="2"/>
        <scheme val="minor"/>
      </rPr>
      <t xml:space="preserve">  Total to item 1.5</t>
    </r>
  </si>
  <si>
    <r>
      <t xml:space="preserve">  m</t>
    </r>
    <r>
      <rPr>
        <b/>
        <vertAlign val="superscript"/>
        <sz val="14"/>
        <color theme="1"/>
        <rFont val="Calibri"/>
        <family val="2"/>
        <scheme val="minor"/>
      </rPr>
      <t>3</t>
    </r>
    <r>
      <rPr>
        <b/>
        <sz val="14"/>
        <color theme="1"/>
        <rFont val="Calibri"/>
        <family val="2"/>
        <scheme val="minor"/>
      </rPr>
      <t xml:space="preserve">  Total to item 1.3</t>
    </r>
  </si>
  <si>
    <t>2.2,10cmthick RC ground slab</t>
  </si>
  <si>
    <r>
      <t>m</t>
    </r>
    <r>
      <rPr>
        <b/>
        <vertAlign val="superscript"/>
        <sz val="14"/>
        <color theme="1"/>
        <rFont val="Calibri"/>
        <family val="2"/>
        <scheme val="minor"/>
      </rPr>
      <t>2</t>
    </r>
    <r>
      <rPr>
        <b/>
        <sz val="14"/>
        <color theme="1"/>
        <rFont val="Calibri"/>
        <family val="2"/>
        <scheme val="minor"/>
      </rPr>
      <t xml:space="preserve">  total area item 2.2</t>
    </r>
  </si>
  <si>
    <t>2.3  (C-25)  IN GRADE BEAM</t>
  </si>
  <si>
    <t>m3 net volume item 3.1</t>
  </si>
  <si>
    <t>3.2 masonary work above NGL</t>
  </si>
  <si>
    <t>m3 net volume item 2.3</t>
  </si>
  <si>
    <t>2.4 Grade beam</t>
  </si>
  <si>
    <t>m3 net volume item 3.2</t>
  </si>
  <si>
    <t>m2 net area item 2.4</t>
  </si>
  <si>
    <t>kg net weight item 2.6</t>
  </si>
  <si>
    <t>m3 net volume item  1.2</t>
  </si>
  <si>
    <t>kg net weight item 2.7</t>
  </si>
  <si>
    <t>2.9)10/2cm expantion joint</t>
  </si>
  <si>
    <t>ml net area item 2.9</t>
  </si>
  <si>
    <r>
      <t xml:space="preserve">1.6) </t>
    </r>
    <r>
      <rPr>
        <sz val="10"/>
        <color theme="1"/>
        <rFont val="Calibri"/>
        <family val="2"/>
        <scheme val="minor"/>
      </rPr>
      <t>ф12 mm deformed bars</t>
    </r>
  </si>
  <si>
    <t>W=7.4+0.60X2=8.60mtL=17mt</t>
  </si>
  <si>
    <r>
      <t xml:space="preserve">1.7) </t>
    </r>
    <r>
      <rPr>
        <sz val="10"/>
        <color theme="1"/>
        <rFont val="Calibri"/>
        <family val="2"/>
        <scheme val="minor"/>
      </rPr>
      <t>ф8mm deformed bars</t>
    </r>
  </si>
  <si>
    <t>ml net arae item 3.3</t>
  </si>
  <si>
    <t>3.4)Flashing metal sheet.</t>
  </si>
  <si>
    <t>ml net arae item 3.4</t>
  </si>
  <si>
    <t>ml net arae item 4.1</t>
  </si>
  <si>
    <t>ml net arae item 4.2</t>
  </si>
  <si>
    <t>ml net arae item 4.3</t>
  </si>
  <si>
    <t>ml net arae item 4.4</t>
  </si>
  <si>
    <t>6.1)Apply two coats of plastering &amp; one coat rendering</t>
  </si>
  <si>
    <t xml:space="preserve">6.12)Approved type 9mm thick </t>
  </si>
  <si>
    <r>
      <t xml:space="preserve">concrete pipe of  1/2 </t>
    </r>
    <r>
      <rPr>
        <sz val="10"/>
        <rFont val="Calibri"/>
        <family val="2"/>
        <scheme val="minor"/>
      </rPr>
      <t>ф30cm</t>
    </r>
  </si>
  <si>
    <t>7.2)Int. plastered surface &amp; ext beam &amp; colun</t>
  </si>
  <si>
    <t>m2 net area item 6.12</t>
  </si>
  <si>
    <t>6.13)Approved type cearmic  skirting 10/0.9cm</t>
  </si>
  <si>
    <r>
      <t xml:space="preserve"> </t>
    </r>
    <r>
      <rPr>
        <sz val="8"/>
        <color theme="1"/>
        <rFont val="Calibri"/>
        <family val="2"/>
        <scheme val="minor"/>
      </rPr>
      <t xml:space="preserve">ф 50mm </t>
    </r>
  </si>
  <si>
    <t>ml net length item 6.13</t>
  </si>
  <si>
    <t>ml net length item 9.6.a</t>
  </si>
  <si>
    <t>6.16)Approved type terrazzo  window cill</t>
  </si>
  <si>
    <r>
      <t xml:space="preserve"> </t>
    </r>
    <r>
      <rPr>
        <sz val="8"/>
        <color theme="1"/>
        <rFont val="Calibri"/>
        <family val="2"/>
        <scheme val="minor"/>
      </rPr>
      <t xml:space="preserve">ф 75mm </t>
    </r>
  </si>
  <si>
    <t>ml net length item 9.6.b</t>
  </si>
  <si>
    <r>
      <t xml:space="preserve"> </t>
    </r>
    <r>
      <rPr>
        <sz val="8"/>
        <rFont val="Calibri"/>
        <family val="2"/>
        <scheme val="minor"/>
      </rPr>
      <t xml:space="preserve">ф 110mm </t>
    </r>
  </si>
  <si>
    <t>ml net length item 9.6.c</t>
  </si>
  <si>
    <t>ml net length item 6.16</t>
  </si>
  <si>
    <t>pcs net number item 5.02</t>
  </si>
  <si>
    <t xml:space="preserve">5.03)Intermidate </t>
  </si>
  <si>
    <t>pcs net number item 5.03</t>
  </si>
  <si>
    <t>pcs net number item 9.01</t>
  </si>
  <si>
    <t>Block: - SQ</t>
  </si>
  <si>
    <r>
      <t>m</t>
    </r>
    <r>
      <rPr>
        <b/>
        <vertAlign val="superscript"/>
        <sz val="14"/>
        <color theme="1"/>
        <rFont val="Calibri"/>
        <family val="2"/>
        <scheme val="minor"/>
      </rPr>
      <t>3</t>
    </r>
    <r>
      <rPr>
        <b/>
        <sz val="14"/>
        <color theme="1"/>
        <rFont val="Calibri"/>
        <family val="2"/>
        <scheme val="minor"/>
      </rPr>
      <t>Total to item 2.2</t>
    </r>
  </si>
  <si>
    <r>
      <t>m</t>
    </r>
    <r>
      <rPr>
        <b/>
        <vertAlign val="superscript"/>
        <sz val="14"/>
        <color theme="1"/>
        <rFont val="Calibri"/>
        <family val="2"/>
        <scheme val="minor"/>
      </rPr>
      <t>2</t>
    </r>
    <r>
      <rPr>
        <b/>
        <sz val="14"/>
        <color theme="1"/>
        <rFont val="Calibri"/>
        <family val="2"/>
        <scheme val="minor"/>
      </rPr>
      <t xml:space="preserve"> net area item 1.1</t>
    </r>
  </si>
  <si>
    <r>
      <t>m</t>
    </r>
    <r>
      <rPr>
        <vertAlign val="superscript"/>
        <sz val="14"/>
        <color theme="1"/>
        <rFont val="Calibri"/>
        <family val="2"/>
        <scheme val="minor"/>
      </rPr>
      <t>3</t>
    </r>
    <r>
      <rPr>
        <sz val="14"/>
        <color theme="1"/>
        <rFont val="Calibri"/>
        <family val="2"/>
        <scheme val="minor"/>
      </rPr>
      <t xml:space="preserve">Total </t>
    </r>
  </si>
  <si>
    <r>
      <t>m</t>
    </r>
    <r>
      <rPr>
        <vertAlign val="superscript"/>
        <sz val="14"/>
        <color theme="1"/>
        <rFont val="Calibri"/>
        <family val="2"/>
        <scheme val="minor"/>
      </rPr>
      <t>3</t>
    </r>
    <r>
      <rPr>
        <sz val="14"/>
        <color theme="1"/>
        <rFont val="Calibri"/>
        <family val="2"/>
        <scheme val="minor"/>
      </rPr>
      <t xml:space="preserve">  net volume item2.4</t>
    </r>
  </si>
  <si>
    <r>
      <t>m3 net volume</t>
    </r>
    <r>
      <rPr>
        <b/>
        <sz val="14"/>
        <color theme="1"/>
        <rFont val="Calibri"/>
        <family val="2"/>
        <scheme val="minor"/>
      </rPr>
      <t xml:space="preserve"> item 1.2</t>
    </r>
  </si>
  <si>
    <t>m2 net arae item 2.7</t>
  </si>
  <si>
    <r>
      <t>m</t>
    </r>
    <r>
      <rPr>
        <b/>
        <vertAlign val="superscript"/>
        <sz val="14"/>
        <color theme="1"/>
        <rFont val="Calibri"/>
        <family val="2"/>
        <scheme val="minor"/>
      </rPr>
      <t xml:space="preserve">3 </t>
    </r>
    <r>
      <rPr>
        <b/>
        <sz val="14"/>
        <color theme="1"/>
        <rFont val="Calibri"/>
        <family val="2"/>
        <scheme val="minor"/>
      </rPr>
      <t xml:space="preserve"> net volume item 1.4</t>
    </r>
  </si>
  <si>
    <r>
      <t>m</t>
    </r>
    <r>
      <rPr>
        <vertAlign val="superscript"/>
        <sz val="14"/>
        <color theme="1"/>
        <rFont val="Calibri"/>
        <family val="2"/>
        <scheme val="minor"/>
      </rPr>
      <t xml:space="preserve">3 </t>
    </r>
    <r>
      <rPr>
        <sz val="14"/>
        <color theme="1"/>
        <rFont val="Calibri"/>
        <family val="2"/>
        <scheme val="minor"/>
      </rPr>
      <t>net area item 1.5</t>
    </r>
  </si>
  <si>
    <r>
      <t>m</t>
    </r>
    <r>
      <rPr>
        <b/>
        <vertAlign val="superscript"/>
        <sz val="14"/>
        <color theme="1"/>
        <rFont val="Calibri"/>
        <family val="2"/>
        <scheme val="minor"/>
      </rPr>
      <t>3</t>
    </r>
    <r>
      <rPr>
        <b/>
        <sz val="14"/>
        <color theme="1"/>
        <rFont val="Calibri"/>
        <family val="2"/>
        <scheme val="minor"/>
      </rPr>
      <t>Total to item 1.6</t>
    </r>
  </si>
  <si>
    <r>
      <t>m</t>
    </r>
    <r>
      <rPr>
        <b/>
        <vertAlign val="superscript"/>
        <sz val="14"/>
        <color theme="1"/>
        <rFont val="Calibri"/>
        <family val="2"/>
        <scheme val="minor"/>
      </rPr>
      <t>3</t>
    </r>
    <r>
      <rPr>
        <b/>
        <sz val="14"/>
        <color theme="1"/>
        <rFont val="Calibri"/>
        <family val="2"/>
        <scheme val="minor"/>
      </rPr>
      <t xml:space="preserve"> net volume item 3.1</t>
    </r>
  </si>
  <si>
    <r>
      <t>m</t>
    </r>
    <r>
      <rPr>
        <vertAlign val="superscript"/>
        <sz val="14"/>
        <color theme="1"/>
        <rFont val="Calibri"/>
        <family val="2"/>
        <scheme val="minor"/>
      </rPr>
      <t xml:space="preserve">2 </t>
    </r>
    <r>
      <rPr>
        <sz val="14"/>
        <color theme="1"/>
        <rFont val="Calibri"/>
        <family val="2"/>
        <scheme val="minor"/>
      </rPr>
      <t>net area item 2.1</t>
    </r>
  </si>
  <si>
    <r>
      <t>m</t>
    </r>
    <r>
      <rPr>
        <vertAlign val="superscript"/>
        <sz val="14"/>
        <color theme="1"/>
        <rFont val="Calibri"/>
        <family val="2"/>
        <scheme val="minor"/>
      </rPr>
      <t xml:space="preserve">3 </t>
    </r>
    <r>
      <rPr>
        <sz val="14"/>
        <color theme="1"/>
        <rFont val="Calibri"/>
        <family val="2"/>
        <scheme val="minor"/>
      </rPr>
      <t>net volume item 3.2</t>
    </r>
  </si>
  <si>
    <t>5.1 Window size 150/173cm</t>
  </si>
  <si>
    <t>6.12)approve quality ceramic tiles</t>
  </si>
  <si>
    <t>6.13)approve quality Ceramic skirting</t>
  </si>
  <si>
    <t>m2 net area item 6.13</t>
  </si>
  <si>
    <t>m2 net area item 6.16</t>
  </si>
  <si>
    <t xml:space="preserve">4.02. Light point </t>
  </si>
  <si>
    <t>m3 net volume item 1.5</t>
  </si>
  <si>
    <t>m3 net volume item 1.6</t>
  </si>
  <si>
    <t>1.6)ф12 mm deformed bars</t>
  </si>
  <si>
    <t>1.7)ф8mm deformed bars</t>
  </si>
  <si>
    <t>2.1) 20cm thick  HCB wall</t>
  </si>
  <si>
    <t>m3 net volume item 1.4</t>
  </si>
  <si>
    <t>m2 net area item no 3.1</t>
  </si>
  <si>
    <t>m2 net area item no 3.2</t>
  </si>
  <si>
    <t>pcs net number 4.5</t>
  </si>
  <si>
    <t>pcs net number 4.6</t>
  </si>
  <si>
    <t>pcs net number 4.8</t>
  </si>
  <si>
    <t>pcs net number 5.1</t>
  </si>
  <si>
    <t>pcs net number 5.2</t>
  </si>
  <si>
    <t>pcs net number 5.4</t>
  </si>
  <si>
    <t>pcs net number 5.7</t>
  </si>
  <si>
    <t>pcs net number 5.10</t>
  </si>
  <si>
    <t>m net length item 9.9</t>
  </si>
  <si>
    <t>ml net length item 6.19</t>
  </si>
  <si>
    <t>no net number item 3.03</t>
  </si>
  <si>
    <t>20mm diameter</t>
  </si>
  <si>
    <t>m net length item 9.3</t>
  </si>
  <si>
    <t xml:space="preserve"> 7.02)Philips TCS 098/1/2xTL-D 36W</t>
  </si>
  <si>
    <t>no net number item 10.04</t>
  </si>
  <si>
    <t xml:space="preserve">6.6) Cearmic skirting 10/0.9cm  </t>
  </si>
  <si>
    <t>L=16.5+1.2X2+.3X2+.15x2+0.1x2 = 20.00mt</t>
  </si>
  <si>
    <t>6.7) Terrazzo  window cill Size</t>
  </si>
  <si>
    <t>11. Electrical Installation</t>
  </si>
  <si>
    <t>6.9) 1.2mt wide pavement</t>
  </si>
  <si>
    <t>6.19) Concrete pipe of  1/2 ф30cm</t>
  </si>
  <si>
    <t xml:space="preserve">3.1 Trychltic stone masonry </t>
  </si>
  <si>
    <t>1.3 Ditto to Item 1.2  but exceeding 1.5</t>
  </si>
  <si>
    <t>and less than 2m</t>
  </si>
  <si>
    <t>W=0.4+0.25+0.25=0.90   L=39.05 d=0.</t>
  </si>
  <si>
    <t>L=18.9-(4*.9)=15.3</t>
  </si>
  <si>
    <t>A- fill under masonary</t>
  </si>
  <si>
    <t>for axis x01-x05</t>
  </si>
  <si>
    <t>L=39.05</t>
  </si>
  <si>
    <t xml:space="preserve">B-backfill and compaction in side </t>
  </si>
  <si>
    <t xml:space="preserve">  masonary along x-axis</t>
  </si>
  <si>
    <t>L=39.05-0.25-0.25-0.8-(3*0.4)=36.55</t>
  </si>
  <si>
    <t>W=0.25 ,d=</t>
  </si>
  <si>
    <t>L=18.9-0.25-0.25-0.8-(2*0.25)-(2*.9)</t>
  </si>
  <si>
    <t>W=0.25 ,d=.</t>
  </si>
  <si>
    <t xml:space="preserve">C-bulk fill and compaction </t>
  </si>
  <si>
    <t>L=39.05-0.5-0.8=37.75</t>
  </si>
  <si>
    <t>W=18.9-0.5-0.8=17.6</t>
  </si>
  <si>
    <t>L=39.05    W=0.4m</t>
  </si>
  <si>
    <t>L=18.9-0.5-0.8-(2*0.4)=16.8</t>
  </si>
  <si>
    <t xml:space="preserve"> 1.5 Cart away excavated material to an </t>
  </si>
  <si>
    <t xml:space="preserve"> 1.5 Cart away excavated material </t>
  </si>
  <si>
    <t>L=15.30 , W=0.9, d=0.3</t>
  </si>
  <si>
    <t>Block :  IPD</t>
  </si>
  <si>
    <t>On Axis X/01, X/04,X/03 &amp; X/05</t>
  </si>
  <si>
    <t>Total bars</t>
  </si>
  <si>
    <t>stirrups</t>
  </si>
  <si>
    <t>floor mesh</t>
  </si>
  <si>
    <t>Super structure</t>
  </si>
  <si>
    <t>Elevation Column</t>
  </si>
  <si>
    <t>C1</t>
  </si>
  <si>
    <t>x-axis</t>
  </si>
  <si>
    <t>y-axis</t>
  </si>
  <si>
    <t>kg net wight item 2.11</t>
  </si>
  <si>
    <t>kg net wight item 2.13</t>
  </si>
  <si>
    <t>mTotal to item 2.14</t>
  </si>
  <si>
    <t>L=18.9-0.25-0.25-0.25-0.25-0.75=17.15</t>
  </si>
  <si>
    <t xml:space="preserve">2.14) 10/2cm chipwood expansion joint </t>
  </si>
  <si>
    <t>L=39.05-0.25-0.25-0.25-0.25-(.25*6)=36.55</t>
  </si>
  <si>
    <t>L=11.75-(4*.9)=8.15</t>
  </si>
  <si>
    <t>W=0.4+0.25+0.25=0.90, d=.92</t>
  </si>
  <si>
    <t>W=0.4+0.25+0.25=0.90, L=35.54,d=0.92</t>
  </si>
  <si>
    <t>deduction backfill</t>
  </si>
  <si>
    <t>Block: - OR Sub-Structure</t>
  </si>
  <si>
    <t>L=43.45-0.25-0.25-0.4-0.4-0.5=41.65</t>
  </si>
  <si>
    <t>W=16.9-0.25-0.25-0.4-0.4-0.5=15.1</t>
  </si>
  <si>
    <t>W=16.9-0.25-0.25-0.4-0.4-0.5-(2*0.9)=13.3</t>
  </si>
  <si>
    <t>W=0.4+0.25+0.25=0.90   L=43.45 d=0.</t>
  </si>
  <si>
    <t>L=16.9-(4*.9)=13.3</t>
  </si>
  <si>
    <t>L=43.45</t>
  </si>
  <si>
    <t>1.4 Selected  Fill(insitu source)</t>
  </si>
  <si>
    <t>for axis y01-y09</t>
  </si>
  <si>
    <t xml:space="preserve">  masonary  along x-axis</t>
  </si>
  <si>
    <t>L=43.45-0.25-0.25-0.8-(3*0.4)=40.95</t>
  </si>
  <si>
    <t>L=16.9-0.25-0.25-0.8-(2*0.25)-(2*.9)=13.3</t>
  </si>
  <si>
    <t>L=43.45-0.5-0.8=42.15</t>
  </si>
  <si>
    <t>W=16.9-0.5-0.8=15.6</t>
  </si>
  <si>
    <t>L=42.15  W=0.4m</t>
  </si>
  <si>
    <t>L=16.9-0.5-0.8-(2*0.4)=14.8</t>
  </si>
  <si>
    <t>C- bulk fill under</t>
  </si>
  <si>
    <t>L=13.3 , W=0.9, d=0.3</t>
  </si>
  <si>
    <t>L=43.45-0.5-0.5=42.45</t>
  </si>
  <si>
    <t>W=16.9-0.5-0.5=15.9</t>
  </si>
  <si>
    <t>along x-axis  L=42.45  W=0.25</t>
  </si>
  <si>
    <t>along y-axis  L=15.4   W=0.25</t>
  </si>
  <si>
    <t>L=16.9-0.5-0.5-0.5=15.4</t>
  </si>
  <si>
    <t>1.6/ 25 cm thick basaltic stone hard core</t>
  </si>
  <si>
    <t>L=43.45-0.5=42.95</t>
  </si>
  <si>
    <t>L=16.9-0.5-(4*0.4)=14.8</t>
  </si>
  <si>
    <t>L=43.45-0.25-0.25-0.25-0.25=42.45</t>
  </si>
  <si>
    <t>W=16.9-0.25-0.25-0.25-0.25=15.9</t>
  </si>
  <si>
    <t>L=16.9-0.25-0.25-0.25-0.25-0.5=15.4</t>
  </si>
  <si>
    <t>2.3 10cm thick RC floor slab class C-20</t>
  </si>
  <si>
    <t>L=43.45-0.25-0.25=42.95 (x-axis)</t>
  </si>
  <si>
    <t>L=16.9-0.25-0.25-(4*.25)=15.4</t>
  </si>
  <si>
    <t>L=16.9-0.25-0.25-(2*.25)=15.9</t>
  </si>
  <si>
    <t xml:space="preserve">provide fix in position  form work </t>
  </si>
  <si>
    <t>2.3 In grade beams</t>
  </si>
  <si>
    <t>2.6 In grade beams</t>
  </si>
  <si>
    <t>kg net wight item 2.6</t>
  </si>
  <si>
    <t>kg net wight item 2.8</t>
  </si>
  <si>
    <t>L=43.45-0.25-0.25-0.25-0.25-(.25*7)=40.7</t>
  </si>
  <si>
    <t xml:space="preserve">2.9  10/2 cm expansion  joint </t>
  </si>
  <si>
    <t>mTotal to item 2.9</t>
  </si>
  <si>
    <t>on axis x01      L=33.2m</t>
  </si>
  <si>
    <t>on axis y01   L=15.9m</t>
  </si>
  <si>
    <t>3.13 masonary work below NGL</t>
  </si>
  <si>
    <t>m3 total volume of masonary</t>
  </si>
  <si>
    <t>Block: - Emergency Sub-Structure</t>
  </si>
  <si>
    <t>L=23.35+1.0+1.0=25.35</t>
  </si>
  <si>
    <t>W=11.4+1.0+1.0=13.4</t>
  </si>
  <si>
    <t>L=23.85-0.25-0.25-0.4-0.4-0.5=22.05</t>
  </si>
  <si>
    <t>W=11.9-0.25-0.25-0.4-0.4-0.5=10.1</t>
  </si>
  <si>
    <t>W=11.9-0.25-0.25-0.4-0.4-0.5-(2*0.9)</t>
  </si>
  <si>
    <t>W=8.3</t>
  </si>
  <si>
    <t>W=0.4+0.25+0.25=0.90   L=23.85 d=0.</t>
  </si>
  <si>
    <t>L=11.9-(4*.9)=8.3</t>
  </si>
  <si>
    <t>A- fill under masonary(insitu material)</t>
  </si>
  <si>
    <t>L=23.85</t>
  </si>
  <si>
    <t>for axis y01-y05</t>
  </si>
  <si>
    <t xml:space="preserve">   L=8.3 , W=0.9, d=0.3</t>
  </si>
  <si>
    <t>along x-axis(insitu material)</t>
  </si>
  <si>
    <t>L=23.85-0.25-0.25-0.8-(4*0.4)=20.95</t>
  </si>
  <si>
    <t>L=11.9-0.25-0.25-0.8-(2*0.25)-(2*.9)=8.3</t>
  </si>
  <si>
    <t>C-bulk fill and compaction (under hard core)</t>
  </si>
  <si>
    <t>L=23.85-0.5-0.8=22.55</t>
  </si>
  <si>
    <t>W=11.9-0.5-0.8=10.6</t>
  </si>
  <si>
    <t>L=22.25  W=0.4m</t>
  </si>
  <si>
    <t>L=11.9-0.5-0.8-(2*0.4)=9.8</t>
  </si>
  <si>
    <t>C-bulk fill (under hard core)</t>
  </si>
  <si>
    <t>B-backfill anin side masonary</t>
  </si>
  <si>
    <t>L=23.85-0.5-0.5=22.85</t>
  </si>
  <si>
    <t>W=11.9-0.5-0.5=10.9</t>
  </si>
  <si>
    <t>along x-axis  L=22.85  W=0.25</t>
  </si>
  <si>
    <t>along y-axis  L=10.4   W=0.25</t>
  </si>
  <si>
    <t>L=11.9-0.5-0.5-0.5=10.4</t>
  </si>
  <si>
    <t>L=23.85-0.5=23.35</t>
  </si>
  <si>
    <t>L=11.9-0.5-(4*0.4)=9.8</t>
  </si>
  <si>
    <t>L=23.85-0.25-0.25-0.25-0.25=22.85</t>
  </si>
  <si>
    <t>W=11.9-0.25-0.25-0.25-0.25=10.9</t>
  </si>
  <si>
    <t>L=11.9-0.25-0.25-0.25-0.25-0.5=10.4</t>
  </si>
  <si>
    <t>2.3 10cm thick RC floor slab class C-25</t>
  </si>
  <si>
    <t>L=23.85-0.25-0.25=23.35</t>
  </si>
  <si>
    <t>L=11.9-0.25-0.25-(4*.25)=10.4</t>
  </si>
  <si>
    <t>L=23.85-0.25-0.25=23.35 (x-axis)</t>
  </si>
  <si>
    <t>L=11.9-0.25-0.25-(2*.25)=10.9</t>
  </si>
  <si>
    <t>provide fix in position form work</t>
  </si>
  <si>
    <t>kg net wight item 2.12</t>
  </si>
  <si>
    <t>L=23.85-0.25-0.25-0.25-0.25-(.25*4)=22.05</t>
  </si>
  <si>
    <t xml:space="preserve">2.14  10/2 cm chip wood expansion joint </t>
  </si>
  <si>
    <t>mTotal to item 2.15</t>
  </si>
  <si>
    <t>on axis x01  L=4.45+3.75-.25=7.95</t>
  </si>
  <si>
    <t>on axis y08L=4.2+2.6+4.35+.25=11.4</t>
  </si>
  <si>
    <t>on axis x04  L=3.75-.25=5</t>
  </si>
  <si>
    <t>3.1 Trychltic stone masonry (Total)</t>
  </si>
  <si>
    <r>
      <t>2.13)</t>
    </r>
    <r>
      <rPr>
        <sz val="10"/>
        <color theme="1"/>
        <rFont val="Calibri"/>
        <family val="2"/>
        <scheme val="minor"/>
      </rPr>
      <t>ф8 mm deformed bars</t>
    </r>
  </si>
  <si>
    <t>Block: - Waiting Sub-Structure</t>
  </si>
  <si>
    <t>L=16.5+1.0+1.0=18.5</t>
  </si>
  <si>
    <t>W=9.6+1.0+1.0=11.6</t>
  </si>
  <si>
    <t>L=17-0.25-0.25-0.4-0.4-0.5=15.2</t>
  </si>
  <si>
    <t>W=10.1-0.25-0.25-0.4-0.4-0.5=8.3</t>
  </si>
  <si>
    <t>W=10.1-0.25-0.25-0.4-0.4-0.5-(2*0.9)</t>
  </si>
  <si>
    <t>W=6.5</t>
  </si>
  <si>
    <t>W=0.4+0.25+0.25=0.90   L=17 d=0.10</t>
  </si>
  <si>
    <t>L=11.9-(4*.9)=6.5</t>
  </si>
  <si>
    <t>1.4 Selected  borrowed   Fill</t>
  </si>
  <si>
    <t xml:space="preserve">   L=6.5 , W=0.9, d=0.00</t>
  </si>
  <si>
    <t>masonary  along x-axis</t>
  </si>
  <si>
    <t>L=17-0.25-0.25-0.8-(2*0.4)=14.9</t>
  </si>
  <si>
    <t>W=0.25 ,d=0.00</t>
  </si>
  <si>
    <t>L=11.9-0.25-0.25-0.8-(2*0.25)-(2*.9)</t>
  </si>
  <si>
    <t xml:space="preserve">  L=8.3                  W=0.25 ,d=.0</t>
  </si>
  <si>
    <t>L=17-0.5-0.8=15.7</t>
  </si>
  <si>
    <t>W=10.1-0.5-0.8=8.8</t>
  </si>
  <si>
    <t>L=15.7  W=0.4m</t>
  </si>
  <si>
    <t>L=10.1-0.5-0.8-(2*0.4)=8</t>
  </si>
  <si>
    <t>L=17-0.5-0.5=16</t>
  </si>
  <si>
    <t>W=10.1-0.5-0.5=9.1</t>
  </si>
  <si>
    <t>along x-axis  L=16 W=0.25</t>
  </si>
  <si>
    <t>L=10.1-0.5-0.5-0.5=8.6</t>
  </si>
  <si>
    <t>1.6/ 25 cm thick hard core</t>
  </si>
  <si>
    <t>L=17-0.5=16.5</t>
  </si>
  <si>
    <t>L=10.1-0.5-(4*0.4)=8</t>
  </si>
  <si>
    <t>L=17-0.25-0.25-0.25-0.25=16</t>
  </si>
  <si>
    <t>W=10.1-0.25-0.25-0.25-0.25=9.1</t>
  </si>
  <si>
    <t>L=10.1-0.25-0.25-0.25-0.25-0.5=8.6</t>
  </si>
  <si>
    <t>L=17-0.25-0.25=16.5</t>
  </si>
  <si>
    <t>L=10.1-0.25-0.25-(4*.25)=8.6</t>
  </si>
  <si>
    <t>L=17-0.25-0.25=16.5(x-axis)</t>
  </si>
  <si>
    <t>L=10.1-0.25-0.25-(2*.25)=9.1</t>
  </si>
  <si>
    <t>provide cut form work</t>
  </si>
  <si>
    <t>2.8 In grade beams</t>
  </si>
  <si>
    <t>X/01,02,03&amp;04</t>
  </si>
  <si>
    <t>Y/01,02,03,04</t>
  </si>
  <si>
    <t>stirupps</t>
  </si>
  <si>
    <t>x- xis</t>
  </si>
  <si>
    <t>L=17-0.25-0.25-0.25-0.25-(.25*4)=15</t>
  </si>
  <si>
    <t>2.14  10/2 cm  expansion joint</t>
  </si>
  <si>
    <t>on axis x01  L=3.1+2.7+3.6+.25=9.65</t>
  </si>
  <si>
    <t>on axis y01L=6+6.2+4.1-.25=16.05</t>
  </si>
  <si>
    <t>on axis y04  L=6+6.2-.25=11.95</t>
  </si>
  <si>
    <t>m3  Total to item 1.5</t>
  </si>
  <si>
    <t>Block: - Adminstrator Sub-Structure</t>
  </si>
  <si>
    <t>L=22.95+1.0+1.0=24.95</t>
  </si>
  <si>
    <t>W=13.05+1.0+1.0=15.05</t>
  </si>
  <si>
    <t>L=23.45-0.25-0.25-0.4-0.4-0.5=21.65</t>
  </si>
  <si>
    <t>W=13.55-0.25-0.25-0.4-0.4-0.5=11.75</t>
  </si>
  <si>
    <t>W=13.55-0.25-0.25-0.4-0.4-0.5-(2*0.9)=8.15</t>
  </si>
  <si>
    <t>W=0.4+0.25+0.25=0.90   L=23.45   d=0.92</t>
  </si>
  <si>
    <t>L=13.55-(4*.9)=9.95</t>
  </si>
  <si>
    <t>1.4 Selected Fill( insitu material )</t>
  </si>
  <si>
    <t>L=23.45-0.25-0.25-0.8-(3*0.4)=20.95</t>
  </si>
  <si>
    <t>L=13.55-0.25-0.25-0.8-(2*0.25)-(2*.9)=9.95</t>
  </si>
  <si>
    <t>L=23.45-0.5-0.8=22.15</t>
  </si>
  <si>
    <t>W=13.55-0.5-0.8=12.25</t>
  </si>
  <si>
    <t>L=22.15     W=0.4m</t>
  </si>
  <si>
    <t>L=13.55-0.5-0.8-(2*0.4)=11.45</t>
  </si>
  <si>
    <t>L=23.45-0.5-0.5=22.45W=13.55-0.5-0.5=12.55</t>
  </si>
  <si>
    <t>along x-axis  L=22.45   W=0.25</t>
  </si>
  <si>
    <t>along y-axis  L=12.05  W=0.25</t>
  </si>
  <si>
    <t>L=13.55-0.5-0.5-0.5=12.05</t>
  </si>
  <si>
    <t>L=9.95 , W=0.9, d=0.3</t>
  </si>
  <si>
    <t>L=23.45-0.5=22.95</t>
  </si>
  <si>
    <t>L=13.55-0.5-(4*0.4)=11.45</t>
  </si>
  <si>
    <t>L=23.45-0.25-0.25-0.25-0.25=22.45</t>
  </si>
  <si>
    <t>W=13.55-0.25-0.25-0.25-0.25=12.55</t>
  </si>
  <si>
    <t>L=13.55-0.25-0.25-0.25-0.25-0.5=12.05</t>
  </si>
  <si>
    <t>L=23.45-0.25-0.25=22.95</t>
  </si>
  <si>
    <t>L=13.55-0.25-0.25-(4*.25)=12.05</t>
  </si>
  <si>
    <t>L=23.45-0.25-0.25=22.95  (x-axis)</t>
  </si>
  <si>
    <t>L=13.55-0.25-0.25-(2*.25)=12.55</t>
  </si>
  <si>
    <t xml:space="preserve">provide cut fix form work or panel </t>
  </si>
  <si>
    <t>kg net wight item 2.14</t>
  </si>
  <si>
    <t>L=23.45-0.25-0.25-0.25-0.25-(.25*3)=21.7</t>
  </si>
  <si>
    <t xml:space="preserve">2.15  10/2 cm expansion joint b/n </t>
  </si>
  <si>
    <t>on axis x01  L=5.2+5.1+7.25+.25=17.8</t>
  </si>
  <si>
    <t>on axis y01L=5.3+2.2+5.3-0.25=12.55</t>
  </si>
  <si>
    <t>Block: - Diagnostic Sub-Structure</t>
  </si>
  <si>
    <t>L=20.85+1.0+1.0-0.5=22.35</t>
  </si>
  <si>
    <t>W=12+1.0+1.0-0.5=13.5</t>
  </si>
  <si>
    <t>L=20.85-0.25-0.25-0.4-0.4-0.5=19.05</t>
  </si>
  <si>
    <t>W=12-0.25-0.25-0.4-0.4-0.5=10.2</t>
  </si>
  <si>
    <t>W=12-0.25-0.25-0.4-0.4-0.5-(1*0.9)=13.3</t>
  </si>
  <si>
    <t>W=0.4+0.25+0.25=0.90   L=20.85 d=0.25</t>
  </si>
  <si>
    <t>L=12-(3*.9)=9.3</t>
  </si>
  <si>
    <t xml:space="preserve">   L=8.4 , W=0.9, d=0.3</t>
  </si>
  <si>
    <t>L=20.85-0.25-0.25-0.8-(4*0.4)=17.95</t>
  </si>
  <si>
    <t>L=12-0.25-0.25-0.8-(2*0.25)-(2*.9)=8.4</t>
  </si>
  <si>
    <t>L=20.85-0.5-0.8=19.55</t>
  </si>
  <si>
    <t>W=12-0.5-0.8=10.7</t>
  </si>
  <si>
    <t>L=19.55            W=0.4m</t>
  </si>
  <si>
    <t>L=12-0.5-0.8-(1*0.4)=10.3</t>
  </si>
  <si>
    <t>L=20.85-0.5-0.5=19.85</t>
  </si>
  <si>
    <t>W=12-0.5-0.5=11</t>
  </si>
  <si>
    <t>along x-axis  L=19.85  W=0.25</t>
  </si>
  <si>
    <t>along y-axis  L=10.75 W=0.25</t>
  </si>
  <si>
    <t>L=12-0.5-0.5-0.25=10.75</t>
  </si>
  <si>
    <t>L=20.85-0.5=20.35</t>
  </si>
  <si>
    <t>L=12-0.5-(3*0.4)=10.3</t>
  </si>
  <si>
    <t>L=20.85-0.25-0.25-0.25-0.25=19.85</t>
  </si>
  <si>
    <t>W=12-0.25-0.25-0.25-0.25=11</t>
  </si>
  <si>
    <t>L=12-0.25-0.25-0.25-0.25-0.25=10.75</t>
  </si>
  <si>
    <t>L=20.85-0.25-0.25=20.35 (x-axis)</t>
  </si>
  <si>
    <t>L=12-0.25-0.25-(2*.25)=11</t>
  </si>
  <si>
    <t>L=20.85-0.25-0.25-0.25-0.25-(.25*4)=18.85</t>
  </si>
  <si>
    <t xml:space="preserve">provide cut form work </t>
  </si>
  <si>
    <t>1.6/ 25cm thick basaltic hard core</t>
  </si>
  <si>
    <t xml:space="preserve">Diitto as above </t>
  </si>
  <si>
    <t xml:space="preserve">   </t>
  </si>
  <si>
    <t>Type D8 size 70/273 cm</t>
  </si>
  <si>
    <t xml:space="preserve">5.02 ditto as above but 3 phase socket in 4x4mm2 </t>
  </si>
  <si>
    <t xml:space="preserve">5.03 weather proof socket Legrand suno </t>
  </si>
  <si>
    <t xml:space="preserve">5.06 Ditto as above but for 25A/1ph for kithcen </t>
  </si>
  <si>
    <t xml:space="preserve">5.07 Ditto as above but for 20A/3ph for kithcen </t>
  </si>
  <si>
    <t>Block : Morgue House</t>
  </si>
  <si>
    <t>5.1)Type W7 ,Size 110/63</t>
  </si>
  <si>
    <t>W1 size-110/63cm</t>
  </si>
  <si>
    <t>Summary of Statement - Final Payment</t>
  </si>
  <si>
    <r>
      <t>m</t>
    </r>
    <r>
      <rPr>
        <vertAlign val="superscript"/>
        <sz val="12"/>
        <color theme="1"/>
        <rFont val="Calibri"/>
        <family val="2"/>
        <scheme val="minor"/>
      </rPr>
      <t>2</t>
    </r>
    <r>
      <rPr>
        <sz val="12"/>
        <color theme="1"/>
        <rFont val="Calibri"/>
        <family val="2"/>
        <scheme val="minor"/>
      </rPr>
      <t xml:space="preserve"> Total to item 1.1</t>
    </r>
  </si>
  <si>
    <r>
      <t>m</t>
    </r>
    <r>
      <rPr>
        <b/>
        <vertAlign val="superscript"/>
        <sz val="12"/>
        <color theme="1"/>
        <rFont val="Calibri"/>
        <family val="2"/>
        <scheme val="minor"/>
      </rPr>
      <t>3</t>
    </r>
    <r>
      <rPr>
        <b/>
        <sz val="12"/>
        <color theme="1"/>
        <rFont val="Calibri"/>
        <family val="2"/>
        <scheme val="minor"/>
      </rPr>
      <t xml:space="preserve">   Total to item 1.4</t>
    </r>
  </si>
  <si>
    <r>
      <t>m</t>
    </r>
    <r>
      <rPr>
        <b/>
        <vertAlign val="superscript"/>
        <sz val="12"/>
        <color theme="1"/>
        <rFont val="Calibri"/>
        <family val="2"/>
        <scheme val="minor"/>
      </rPr>
      <t>3</t>
    </r>
    <r>
      <rPr>
        <b/>
        <sz val="12"/>
        <color theme="1"/>
        <rFont val="Calibri"/>
        <family val="2"/>
        <scheme val="minor"/>
      </rPr>
      <t xml:space="preserve">  Total to item 1.4</t>
    </r>
  </si>
  <si>
    <r>
      <t>m</t>
    </r>
    <r>
      <rPr>
        <b/>
        <vertAlign val="superscript"/>
        <sz val="12"/>
        <color theme="1"/>
        <rFont val="Calibri"/>
        <family val="2"/>
        <scheme val="minor"/>
      </rPr>
      <t>3</t>
    </r>
    <r>
      <rPr>
        <b/>
        <sz val="12"/>
        <color theme="1"/>
        <rFont val="Calibri"/>
        <family val="2"/>
        <scheme val="minor"/>
      </rPr>
      <t xml:space="preserve">  Total to item 1.2</t>
    </r>
  </si>
  <si>
    <r>
      <t>m</t>
    </r>
    <r>
      <rPr>
        <b/>
        <vertAlign val="superscript"/>
        <sz val="12"/>
        <color theme="1"/>
        <rFont val="Calibri"/>
        <family val="2"/>
        <scheme val="minor"/>
      </rPr>
      <t>3</t>
    </r>
    <r>
      <rPr>
        <b/>
        <sz val="12"/>
        <color theme="1"/>
        <rFont val="Calibri"/>
        <family val="2"/>
        <scheme val="minor"/>
      </rPr>
      <t xml:space="preserve"> Total to item 1.6</t>
    </r>
  </si>
  <si>
    <r>
      <t>m</t>
    </r>
    <r>
      <rPr>
        <b/>
        <vertAlign val="superscript"/>
        <sz val="12"/>
        <color theme="1"/>
        <rFont val="Calibri"/>
        <family val="2"/>
        <scheme val="minor"/>
      </rPr>
      <t>3</t>
    </r>
    <r>
      <rPr>
        <b/>
        <sz val="12"/>
        <color theme="1"/>
        <rFont val="Calibri"/>
        <family val="2"/>
        <scheme val="minor"/>
      </rPr>
      <t xml:space="preserve">  Total to item 1.3</t>
    </r>
  </si>
  <si>
    <r>
      <t>m</t>
    </r>
    <r>
      <rPr>
        <b/>
        <vertAlign val="superscript"/>
        <sz val="12"/>
        <color theme="1"/>
        <rFont val="Calibri"/>
        <family val="2"/>
        <scheme val="minor"/>
      </rPr>
      <t>2</t>
    </r>
    <r>
      <rPr>
        <b/>
        <sz val="12"/>
        <color theme="1"/>
        <rFont val="Calibri"/>
        <family val="2"/>
        <scheme val="minor"/>
      </rPr>
      <t xml:space="preserve"> Total to item 2.1</t>
    </r>
  </si>
  <si>
    <r>
      <t>m</t>
    </r>
    <r>
      <rPr>
        <b/>
        <vertAlign val="superscript"/>
        <sz val="12"/>
        <color theme="1"/>
        <rFont val="Calibri"/>
        <family val="2"/>
        <scheme val="minor"/>
      </rPr>
      <t>3</t>
    </r>
    <r>
      <rPr>
        <b/>
        <sz val="12"/>
        <color theme="1"/>
        <rFont val="Calibri"/>
        <family val="2"/>
        <scheme val="minor"/>
      </rPr>
      <t xml:space="preserve"> Total to item 2.3</t>
    </r>
  </si>
  <si>
    <r>
      <t>m</t>
    </r>
    <r>
      <rPr>
        <b/>
        <vertAlign val="superscript"/>
        <sz val="12"/>
        <color theme="1"/>
        <rFont val="Calibri"/>
        <family val="2"/>
        <scheme val="minor"/>
      </rPr>
      <t>3</t>
    </r>
    <r>
      <rPr>
        <b/>
        <sz val="12"/>
        <color theme="1"/>
        <rFont val="Calibri"/>
        <family val="2"/>
        <scheme val="minor"/>
      </rPr>
      <t>Total to item 3.12</t>
    </r>
  </si>
  <si>
    <r>
      <t>m</t>
    </r>
    <r>
      <rPr>
        <b/>
        <vertAlign val="superscript"/>
        <sz val="12"/>
        <color theme="1"/>
        <rFont val="Calibri"/>
        <family val="2"/>
        <scheme val="minor"/>
      </rPr>
      <t>3</t>
    </r>
    <r>
      <rPr>
        <b/>
        <sz val="12"/>
        <color theme="1"/>
        <rFont val="Calibri"/>
        <family val="2"/>
        <scheme val="minor"/>
      </rPr>
      <t xml:space="preserve"> Total to item 2.4</t>
    </r>
  </si>
  <si>
    <r>
      <t>m</t>
    </r>
    <r>
      <rPr>
        <vertAlign val="superscript"/>
        <sz val="12"/>
        <color theme="1"/>
        <rFont val="Calibri"/>
        <family val="2"/>
        <scheme val="minor"/>
      </rPr>
      <t>2</t>
    </r>
    <r>
      <rPr>
        <sz val="12"/>
        <color theme="1"/>
        <rFont val="Calibri"/>
        <family val="2"/>
        <scheme val="minor"/>
      </rPr>
      <t xml:space="preserve"> Total to item 2.7</t>
    </r>
  </si>
  <si>
    <r>
      <t>2.11)</t>
    </r>
    <r>
      <rPr>
        <sz val="12"/>
        <color theme="1"/>
        <rFont val="Calibri"/>
        <family val="2"/>
        <scheme val="minor"/>
      </rPr>
      <t>ф14 mm deformed bars</t>
    </r>
  </si>
  <si>
    <r>
      <t>2.13)</t>
    </r>
    <r>
      <rPr>
        <sz val="12"/>
        <color theme="1"/>
        <rFont val="Calibri"/>
        <family val="2"/>
        <scheme val="minor"/>
      </rPr>
      <t>ф8 mm deformed bars</t>
    </r>
  </si>
  <si>
    <r>
      <t>m</t>
    </r>
    <r>
      <rPr>
        <b/>
        <vertAlign val="superscript"/>
        <sz val="12"/>
        <color theme="1"/>
        <rFont val="Calibri"/>
        <family val="2"/>
        <scheme val="minor"/>
      </rPr>
      <t>3</t>
    </r>
    <r>
      <rPr>
        <b/>
        <sz val="12"/>
        <color theme="1"/>
        <rFont val="Calibri"/>
        <family val="2"/>
        <scheme val="minor"/>
      </rPr>
      <t>Total to item 3.1</t>
    </r>
  </si>
  <si>
    <t xml:space="preserve">2.15  10/2 cm chipwood expansion joint </t>
  </si>
  <si>
    <r>
      <t>2.12)</t>
    </r>
    <r>
      <rPr>
        <sz val="12"/>
        <color theme="1"/>
        <rFont val="Calibri"/>
        <family val="2"/>
        <scheme val="minor"/>
      </rPr>
      <t>ф14 mm deformed bars</t>
    </r>
  </si>
  <si>
    <r>
      <t>m</t>
    </r>
    <r>
      <rPr>
        <b/>
        <vertAlign val="superscript"/>
        <sz val="12"/>
        <color theme="1"/>
        <rFont val="Calibri"/>
        <family val="2"/>
        <scheme val="minor"/>
      </rPr>
      <t xml:space="preserve">2  </t>
    </r>
    <r>
      <rPr>
        <b/>
        <sz val="12"/>
        <color theme="1"/>
        <rFont val="Calibri"/>
        <family val="2"/>
        <scheme val="minor"/>
      </rPr>
      <t>Total to item 2.7</t>
    </r>
  </si>
  <si>
    <r>
      <t>m</t>
    </r>
    <r>
      <rPr>
        <b/>
        <vertAlign val="superscript"/>
        <sz val="12"/>
        <color theme="1"/>
        <rFont val="Calibri"/>
        <family val="2"/>
        <scheme val="minor"/>
      </rPr>
      <t>3</t>
    </r>
    <r>
      <rPr>
        <b/>
        <sz val="12"/>
        <color theme="1"/>
        <rFont val="Calibri"/>
        <family val="2"/>
        <scheme val="minor"/>
      </rPr>
      <t>Total to item 3.2</t>
    </r>
  </si>
  <si>
    <r>
      <t>m</t>
    </r>
    <r>
      <rPr>
        <b/>
        <vertAlign val="superscript"/>
        <sz val="12"/>
        <color theme="1"/>
        <rFont val="Calibri"/>
        <family val="2"/>
        <scheme val="minor"/>
      </rPr>
      <t>3</t>
    </r>
    <r>
      <rPr>
        <b/>
        <sz val="12"/>
        <color theme="1"/>
        <rFont val="Calibri"/>
        <family val="2"/>
        <scheme val="minor"/>
      </rPr>
      <t>Total to item 2.4</t>
    </r>
  </si>
  <si>
    <r>
      <t>m</t>
    </r>
    <r>
      <rPr>
        <b/>
        <vertAlign val="superscript"/>
        <sz val="12"/>
        <color theme="1"/>
        <rFont val="Calibri"/>
        <family val="2"/>
        <scheme val="minor"/>
      </rPr>
      <t xml:space="preserve">2 </t>
    </r>
    <r>
      <rPr>
        <b/>
        <sz val="12"/>
        <color theme="1"/>
        <rFont val="Calibri"/>
        <family val="2"/>
        <scheme val="minor"/>
      </rPr>
      <t>Total to item 2.3</t>
    </r>
  </si>
  <si>
    <r>
      <t>m</t>
    </r>
    <r>
      <rPr>
        <b/>
        <vertAlign val="superscript"/>
        <sz val="12"/>
        <color theme="1"/>
        <rFont val="Calibri"/>
        <family val="2"/>
        <scheme val="minor"/>
      </rPr>
      <t xml:space="preserve">3  </t>
    </r>
    <r>
      <rPr>
        <b/>
        <sz val="12"/>
        <color theme="1"/>
        <rFont val="Calibri"/>
        <family val="2"/>
        <scheme val="minor"/>
      </rPr>
      <t>Total Volume of masonary</t>
    </r>
  </si>
  <si>
    <r>
      <t>m</t>
    </r>
    <r>
      <rPr>
        <b/>
        <vertAlign val="superscript"/>
        <sz val="12"/>
        <color theme="1"/>
        <rFont val="Calibri"/>
        <family val="2"/>
        <scheme val="minor"/>
      </rPr>
      <t>3</t>
    </r>
    <r>
      <rPr>
        <b/>
        <sz val="12"/>
        <color theme="1"/>
        <rFont val="Calibri"/>
        <family val="2"/>
        <scheme val="minor"/>
      </rPr>
      <t xml:space="preserve">   Total item 1.4(insitu material)</t>
    </r>
  </si>
  <si>
    <r>
      <t>m</t>
    </r>
    <r>
      <rPr>
        <b/>
        <vertAlign val="superscript"/>
        <sz val="12"/>
        <color theme="1"/>
        <rFont val="Calibri"/>
        <family val="2"/>
        <scheme val="minor"/>
      </rPr>
      <t xml:space="preserve">2 </t>
    </r>
    <r>
      <rPr>
        <b/>
        <sz val="12"/>
        <color theme="1"/>
        <rFont val="Calibri"/>
        <family val="2"/>
        <scheme val="minor"/>
      </rPr>
      <t>Total to item 2.1</t>
    </r>
  </si>
  <si>
    <r>
      <t>m</t>
    </r>
    <r>
      <rPr>
        <b/>
        <vertAlign val="superscript"/>
        <sz val="12"/>
        <color theme="1"/>
        <rFont val="Calibri"/>
        <family val="2"/>
        <scheme val="minor"/>
      </rPr>
      <t>2</t>
    </r>
    <r>
      <rPr>
        <b/>
        <sz val="12"/>
        <color theme="1"/>
        <rFont val="Calibri"/>
        <family val="2"/>
        <scheme val="minor"/>
      </rPr>
      <t xml:space="preserve">  Total to item 1.6</t>
    </r>
  </si>
  <si>
    <r>
      <t>m</t>
    </r>
    <r>
      <rPr>
        <b/>
        <vertAlign val="superscript"/>
        <sz val="12"/>
        <color theme="1"/>
        <rFont val="Calibri"/>
        <family val="2"/>
        <scheme val="minor"/>
      </rPr>
      <t>3</t>
    </r>
    <r>
      <rPr>
        <b/>
        <sz val="12"/>
        <color theme="1"/>
        <rFont val="Calibri"/>
        <family val="2"/>
        <scheme val="minor"/>
      </rPr>
      <t xml:space="preserve">  Total to item 1.5</t>
    </r>
  </si>
  <si>
    <r>
      <t>m</t>
    </r>
    <r>
      <rPr>
        <b/>
        <vertAlign val="superscript"/>
        <sz val="12"/>
        <color theme="1"/>
        <rFont val="Calibri"/>
        <family val="2"/>
        <scheme val="minor"/>
      </rPr>
      <t>3</t>
    </r>
    <r>
      <rPr>
        <b/>
        <sz val="12"/>
        <color theme="1"/>
        <rFont val="Calibri"/>
        <family val="2"/>
        <scheme val="minor"/>
      </rPr>
      <t xml:space="preserve">   Total to item 1.4( borrowed)</t>
    </r>
  </si>
  <si>
    <r>
      <t>m</t>
    </r>
    <r>
      <rPr>
        <b/>
        <vertAlign val="superscript"/>
        <sz val="12"/>
        <color theme="1"/>
        <rFont val="Calibri"/>
        <family val="2"/>
        <scheme val="minor"/>
      </rPr>
      <t>2</t>
    </r>
    <r>
      <rPr>
        <b/>
        <sz val="12"/>
        <color theme="1"/>
        <rFont val="Calibri"/>
        <family val="2"/>
        <scheme val="minor"/>
      </rPr>
      <t xml:space="preserve">   Total to item 1.1</t>
    </r>
  </si>
  <si>
    <r>
      <t>m</t>
    </r>
    <r>
      <rPr>
        <b/>
        <vertAlign val="superscript"/>
        <sz val="12"/>
        <color theme="1"/>
        <rFont val="Calibri"/>
        <family val="2"/>
        <scheme val="minor"/>
      </rPr>
      <t xml:space="preserve">2 </t>
    </r>
    <r>
      <rPr>
        <b/>
        <sz val="12"/>
        <color theme="1"/>
        <rFont val="Calibri"/>
        <family val="2"/>
        <scheme val="minor"/>
      </rPr>
      <t>Total to item 2.8</t>
    </r>
  </si>
  <si>
    <r>
      <t>m</t>
    </r>
    <r>
      <rPr>
        <b/>
        <vertAlign val="superscript"/>
        <sz val="12"/>
        <color theme="1"/>
        <rFont val="Calibri"/>
        <family val="2"/>
        <scheme val="minor"/>
      </rPr>
      <t xml:space="preserve">3 </t>
    </r>
    <r>
      <rPr>
        <b/>
        <sz val="12"/>
        <color theme="1"/>
        <rFont val="Calibri"/>
        <family val="2"/>
        <scheme val="minor"/>
      </rPr>
      <t xml:space="preserve">Total Volume of masonary </t>
    </r>
  </si>
  <si>
    <r>
      <t>m</t>
    </r>
    <r>
      <rPr>
        <b/>
        <vertAlign val="superscript"/>
        <sz val="12"/>
        <color theme="1"/>
        <rFont val="Calibri"/>
        <family val="2"/>
        <scheme val="minor"/>
      </rPr>
      <t>2</t>
    </r>
    <r>
      <rPr>
        <b/>
        <sz val="12"/>
        <color theme="1"/>
        <rFont val="Calibri"/>
        <family val="2"/>
        <scheme val="minor"/>
      </rPr>
      <t>Total to item 2.3</t>
    </r>
  </si>
  <si>
    <r>
      <t>m</t>
    </r>
    <r>
      <rPr>
        <b/>
        <vertAlign val="superscript"/>
        <sz val="12"/>
        <color theme="1"/>
        <rFont val="Calibri"/>
        <family val="2"/>
        <scheme val="minor"/>
      </rPr>
      <t>2</t>
    </r>
    <r>
      <rPr>
        <b/>
        <sz val="12"/>
        <color theme="1"/>
        <rFont val="Calibri"/>
        <family val="2"/>
        <scheme val="minor"/>
      </rPr>
      <t>Total to item 2.1</t>
    </r>
  </si>
  <si>
    <r>
      <t>2.14)</t>
    </r>
    <r>
      <rPr>
        <sz val="12"/>
        <color theme="1"/>
        <rFont val="Calibri"/>
        <family val="2"/>
        <scheme val="minor"/>
      </rPr>
      <t>ф8 mm deformed bars</t>
    </r>
  </si>
  <si>
    <r>
      <t>m</t>
    </r>
    <r>
      <rPr>
        <b/>
        <vertAlign val="superscript"/>
        <sz val="12"/>
        <color theme="1"/>
        <rFont val="Calibri"/>
        <family val="2"/>
        <scheme val="minor"/>
      </rPr>
      <t xml:space="preserve">2 </t>
    </r>
    <r>
      <rPr>
        <b/>
        <sz val="12"/>
        <color theme="1"/>
        <rFont val="Calibri"/>
        <family val="2"/>
        <scheme val="minor"/>
      </rPr>
      <t>Total to item 2.7</t>
    </r>
  </si>
  <si>
    <r>
      <t>m</t>
    </r>
    <r>
      <rPr>
        <b/>
        <vertAlign val="superscript"/>
        <sz val="12"/>
        <color theme="1"/>
        <rFont val="Calibri"/>
        <family val="2"/>
        <scheme val="minor"/>
      </rPr>
      <t xml:space="preserve">3 </t>
    </r>
    <r>
      <rPr>
        <b/>
        <sz val="12"/>
        <color theme="1"/>
        <rFont val="Calibri"/>
        <family val="2"/>
        <scheme val="minor"/>
      </rPr>
      <t>Total to item 2.4</t>
    </r>
  </si>
  <si>
    <r>
      <t>m</t>
    </r>
    <r>
      <rPr>
        <b/>
        <vertAlign val="superscript"/>
        <sz val="12"/>
        <color theme="1"/>
        <rFont val="Calibri"/>
        <family val="2"/>
        <scheme val="minor"/>
      </rPr>
      <t xml:space="preserve">3 </t>
    </r>
    <r>
      <rPr>
        <b/>
        <sz val="12"/>
        <color theme="1"/>
        <rFont val="Calibri"/>
        <family val="2"/>
        <scheme val="minor"/>
      </rPr>
      <t>Total volume of masonary</t>
    </r>
  </si>
  <si>
    <r>
      <t>m</t>
    </r>
    <r>
      <rPr>
        <b/>
        <vertAlign val="superscript"/>
        <sz val="12"/>
        <color theme="1"/>
        <rFont val="Calibri"/>
        <family val="2"/>
        <scheme val="minor"/>
      </rPr>
      <t xml:space="preserve">2  </t>
    </r>
    <r>
      <rPr>
        <b/>
        <sz val="12"/>
        <color theme="1"/>
        <rFont val="Calibri"/>
        <family val="2"/>
        <scheme val="minor"/>
      </rPr>
      <t>Total to item 2.3</t>
    </r>
  </si>
  <si>
    <r>
      <t>2.11)</t>
    </r>
    <r>
      <rPr>
        <sz val="10"/>
        <color theme="1"/>
        <rFont val="Calibri"/>
        <family val="2"/>
        <scheme val="minor"/>
      </rPr>
      <t>ф14 mm deformed bars</t>
    </r>
  </si>
  <si>
    <r>
      <t>m</t>
    </r>
    <r>
      <rPr>
        <b/>
        <vertAlign val="superscript"/>
        <sz val="12"/>
        <color theme="1"/>
        <rFont val="Calibri"/>
        <family val="2"/>
        <scheme val="minor"/>
      </rPr>
      <t>2</t>
    </r>
    <r>
      <rPr>
        <b/>
        <sz val="12"/>
        <color theme="1"/>
        <rFont val="Calibri"/>
        <family val="2"/>
        <scheme val="minor"/>
      </rPr>
      <t>Total to item 2.</t>
    </r>
  </si>
  <si>
    <t>m3 net volume item 2.4</t>
  </si>
  <si>
    <t>2.4 In grade beams</t>
  </si>
  <si>
    <r>
      <t>m</t>
    </r>
    <r>
      <rPr>
        <vertAlign val="superscript"/>
        <sz val="12"/>
        <color theme="1"/>
        <rFont val="Calibri"/>
        <family val="2"/>
        <scheme val="minor"/>
      </rPr>
      <t>2</t>
    </r>
    <r>
      <rPr>
        <sz val="12"/>
        <color theme="1"/>
        <rFont val="Calibri"/>
        <family val="2"/>
        <scheme val="minor"/>
      </rPr>
      <t xml:space="preserve">  Total to item 1.6</t>
    </r>
  </si>
  <si>
    <r>
      <t>m</t>
    </r>
    <r>
      <rPr>
        <vertAlign val="superscript"/>
        <sz val="12"/>
        <rFont val="Calibri"/>
        <family val="2"/>
        <scheme val="minor"/>
      </rPr>
      <t>3</t>
    </r>
  </si>
  <si>
    <r>
      <t>m</t>
    </r>
    <r>
      <rPr>
        <vertAlign val="superscript"/>
        <sz val="12"/>
        <rFont val="Calibri"/>
        <family val="2"/>
        <scheme val="minor"/>
      </rPr>
      <t>2</t>
    </r>
  </si>
  <si>
    <r>
      <t xml:space="preserve">light points in rigid thermoplastic conduit of 16mm </t>
    </r>
    <r>
      <rPr>
        <vertAlign val="superscript"/>
        <sz val="12"/>
        <rFont val="Calibri"/>
        <family val="2"/>
        <scheme val="minor"/>
      </rPr>
      <t xml:space="preserve"> </t>
    </r>
  </si>
  <si>
    <t>Block : Staff Residence &amp; SQ</t>
  </si>
  <si>
    <r>
      <t>m</t>
    </r>
    <r>
      <rPr>
        <b/>
        <vertAlign val="superscript"/>
        <sz val="12"/>
        <color theme="1"/>
        <rFont val="Calibri"/>
        <family val="2"/>
        <scheme val="minor"/>
      </rPr>
      <t xml:space="preserve">3 </t>
    </r>
    <r>
      <rPr>
        <b/>
        <sz val="12"/>
        <color theme="1"/>
        <rFont val="Calibri"/>
        <family val="2"/>
        <scheme val="minor"/>
      </rPr>
      <t>Total to item 3.2</t>
    </r>
  </si>
  <si>
    <r>
      <t>m</t>
    </r>
    <r>
      <rPr>
        <b/>
        <vertAlign val="superscript"/>
        <sz val="12"/>
        <color theme="1"/>
        <rFont val="Calibri"/>
        <family val="2"/>
        <scheme val="minor"/>
      </rPr>
      <t xml:space="preserve">3 </t>
    </r>
    <r>
      <rPr>
        <b/>
        <sz val="12"/>
        <color theme="1"/>
        <rFont val="Calibri"/>
        <family val="2"/>
        <scheme val="minor"/>
      </rPr>
      <t>Total to item 3.1</t>
    </r>
  </si>
  <si>
    <r>
      <t>m</t>
    </r>
    <r>
      <rPr>
        <b/>
        <vertAlign val="superscript"/>
        <sz val="12"/>
        <color theme="1"/>
        <rFont val="Calibri"/>
        <family val="2"/>
        <scheme val="minor"/>
      </rPr>
      <t>3</t>
    </r>
    <r>
      <rPr>
        <b/>
        <sz val="12"/>
        <color theme="1"/>
        <rFont val="Calibri"/>
        <family val="2"/>
        <scheme val="minor"/>
      </rPr>
      <t>Total VOLUME MASONARY</t>
    </r>
  </si>
  <si>
    <t>Block: - Kitchen Sub-Structure</t>
  </si>
  <si>
    <t>L=29.2+1.0+1.0-.5=30.7</t>
  </si>
  <si>
    <t>W=13.55+1.0+1.0-.5=15.05</t>
  </si>
  <si>
    <t>L=29.2-0.25-0.25-0.4-0.4-0.5=27.4</t>
  </si>
  <si>
    <t>W=13.55-0.25-0.25-0.4-0.4-0.5-(2*0.9)=9.95</t>
  </si>
  <si>
    <t>W=0.4+0.25+0.25=0.90   L=29.2  d=0.92</t>
  </si>
  <si>
    <t>1.4 Selected Fill</t>
  </si>
  <si>
    <t>L=29.2</t>
  </si>
  <si>
    <t xml:space="preserve">   L=9.95 , W=0.9, d=0.3</t>
  </si>
  <si>
    <t>L=29.2-0.25-0.25-0.8-(3*0.4)=26.70</t>
  </si>
  <si>
    <t>L=29.2-0.5-0.8=27.9</t>
  </si>
  <si>
    <t>L=27.9   W=0.4m</t>
  </si>
  <si>
    <t>L=29.2-0.25-0.25=28.7</t>
  </si>
  <si>
    <t>L=29.2-0.25-0.25=28.7 (x-axis)</t>
  </si>
  <si>
    <t>L=29.2-0.5-0.5=28.2W=13.55-0.5-0.5=12.55</t>
  </si>
  <si>
    <t>along x-axis  L=28.2   W=0.25</t>
  </si>
  <si>
    <t>L=29.2-0.5=28.7</t>
  </si>
  <si>
    <t>L=29.2-0.25-0.25-0.25-0.25-(.25*4)=27.2</t>
  </si>
  <si>
    <t>L=29.2-0.25-0.25-0.25-0.25=28.2</t>
  </si>
  <si>
    <t xml:space="preserve">provide fix in   form work </t>
  </si>
  <si>
    <t>on axis x01  L=20.35</t>
  </si>
  <si>
    <t>on axis y01   L=7.25m</t>
  </si>
  <si>
    <r>
      <t>m</t>
    </r>
    <r>
      <rPr>
        <b/>
        <vertAlign val="superscript"/>
        <sz val="12"/>
        <color theme="1"/>
        <rFont val="Calibri"/>
        <family val="2"/>
        <scheme val="minor"/>
      </rPr>
      <t>3</t>
    </r>
    <r>
      <rPr>
        <b/>
        <sz val="12"/>
        <color theme="1"/>
        <rFont val="Calibri"/>
        <family val="2"/>
        <scheme val="minor"/>
      </rPr>
      <t xml:space="preserve">   Total to item 1.49 ( borrowed)</t>
    </r>
  </si>
  <si>
    <r>
      <t xml:space="preserve">  m</t>
    </r>
    <r>
      <rPr>
        <b/>
        <vertAlign val="superscript"/>
        <sz val="12"/>
        <color theme="1"/>
        <rFont val="Calibri"/>
        <family val="2"/>
        <scheme val="minor"/>
      </rPr>
      <t>3</t>
    </r>
    <r>
      <rPr>
        <b/>
        <sz val="12"/>
        <color theme="1"/>
        <rFont val="Calibri"/>
        <family val="2"/>
        <scheme val="minor"/>
      </rPr>
      <t xml:space="preserve">  Total to item 1.3</t>
    </r>
  </si>
  <si>
    <r>
      <t>m</t>
    </r>
    <r>
      <rPr>
        <b/>
        <vertAlign val="superscript"/>
        <sz val="12"/>
        <color theme="1"/>
        <rFont val="Calibri"/>
        <family val="2"/>
        <scheme val="minor"/>
      </rPr>
      <t>3</t>
    </r>
    <r>
      <rPr>
        <b/>
        <sz val="12"/>
        <color theme="1"/>
        <rFont val="Calibri"/>
        <family val="2"/>
        <scheme val="minor"/>
      </rPr>
      <t xml:space="preserve">   Total to item 1.4( insitu materal)</t>
    </r>
  </si>
  <si>
    <r>
      <t>m</t>
    </r>
    <r>
      <rPr>
        <b/>
        <vertAlign val="superscript"/>
        <sz val="12"/>
        <color theme="1"/>
        <rFont val="Calibri"/>
        <family val="2"/>
        <scheme val="minor"/>
      </rPr>
      <t>3</t>
    </r>
    <r>
      <rPr>
        <b/>
        <sz val="12"/>
        <color theme="1"/>
        <rFont val="Calibri"/>
        <family val="2"/>
        <scheme val="minor"/>
      </rPr>
      <t>Total Volume Masonary</t>
    </r>
  </si>
  <si>
    <r>
      <t>m</t>
    </r>
    <r>
      <rPr>
        <b/>
        <vertAlign val="superscript"/>
        <sz val="12"/>
        <color theme="1"/>
        <rFont val="Calibri"/>
        <family val="2"/>
        <scheme val="minor"/>
      </rPr>
      <t>2</t>
    </r>
    <r>
      <rPr>
        <b/>
        <sz val="12"/>
        <color theme="1"/>
        <rFont val="Calibri"/>
        <family val="2"/>
        <scheme val="minor"/>
      </rPr>
      <t>Total to item 2.7</t>
    </r>
  </si>
  <si>
    <t>Block: - Guard Sub-Structure</t>
  </si>
  <si>
    <t>Block: - Guenerator House Sub-Structure</t>
  </si>
  <si>
    <t>L=5.4+1.0+1.0=7.4</t>
  </si>
  <si>
    <t>W=3.95+1.0+1.0=5.95</t>
  </si>
  <si>
    <t>1.3 Ditto but Trench excavation</t>
  </si>
  <si>
    <t xml:space="preserve">2.4 In grade beams  </t>
  </si>
  <si>
    <t>2.7 To grade beam</t>
  </si>
  <si>
    <t>deduction</t>
  </si>
  <si>
    <t>BGL</t>
  </si>
  <si>
    <t>3.12 masonary work above AGL</t>
  </si>
  <si>
    <t>Dia. 14mm deformed bar</t>
  </si>
  <si>
    <r>
      <t>m</t>
    </r>
    <r>
      <rPr>
        <b/>
        <vertAlign val="superscript"/>
        <sz val="12"/>
        <color theme="1"/>
        <rFont val="Calibri"/>
        <family val="2"/>
        <scheme val="minor"/>
      </rPr>
      <t>2</t>
    </r>
    <r>
      <rPr>
        <b/>
        <sz val="12"/>
        <color theme="1"/>
        <rFont val="Calibri"/>
        <family val="2"/>
        <scheme val="minor"/>
      </rPr>
      <t>Total to item 2.4</t>
    </r>
  </si>
  <si>
    <t xml:space="preserve">provide fix in position form work or panel </t>
  </si>
  <si>
    <t>Block: - Transformer Sub-Structure</t>
  </si>
  <si>
    <t>1.4) Selected fill under land core</t>
  </si>
  <si>
    <t>1)Excavation &amp; earth work</t>
  </si>
  <si>
    <t>1.1) Clearoff sitr to remove</t>
  </si>
  <si>
    <t>Total</t>
  </si>
  <si>
    <t>5.4+1.0+1.0=7.4</t>
  </si>
  <si>
    <t>1.5) Cart away</t>
  </si>
  <si>
    <t>2.9+1.0+1.0=4.9</t>
  </si>
  <si>
    <t>From item 1.1</t>
  </si>
  <si>
    <t>From item 1.2</t>
  </si>
  <si>
    <t>1.2) Bulk excavation</t>
  </si>
  <si>
    <t>From item 1.3</t>
  </si>
  <si>
    <t xml:space="preserve">G.total </t>
  </si>
  <si>
    <t>1.6) 25cm thick land core</t>
  </si>
  <si>
    <t>1.3) Dittobut trench excavation</t>
  </si>
  <si>
    <t xml:space="preserve">m² Total  </t>
  </si>
  <si>
    <t>Block: - Morgue Sub-Structure</t>
  </si>
  <si>
    <r>
      <t>m</t>
    </r>
    <r>
      <rPr>
        <vertAlign val="superscript"/>
        <sz val="14"/>
        <rFont val="Calibri"/>
        <family val="2"/>
        <scheme val="minor"/>
      </rPr>
      <t>2</t>
    </r>
  </si>
  <si>
    <r>
      <t>m</t>
    </r>
    <r>
      <rPr>
        <vertAlign val="superscript"/>
        <sz val="14"/>
        <rFont val="Calibri"/>
        <family val="2"/>
        <scheme val="minor"/>
      </rPr>
      <t>3</t>
    </r>
  </si>
  <si>
    <t xml:space="preserve"> Under masonery </t>
  </si>
  <si>
    <t>axis x01-x02/Y01-Y02</t>
  </si>
  <si>
    <t>L=5.0m   W=0.50m</t>
  </si>
  <si>
    <t>axis y01-yx02/x01-x02</t>
  </si>
  <si>
    <t>L=2.7-.50=2.2m  W=0.50m</t>
  </si>
  <si>
    <t>2.3,10cmthick RC ground slab</t>
  </si>
  <si>
    <t>2.4 a,(C-25)  IN GRADE BEAM</t>
  </si>
  <si>
    <t>L=5.2m             W=0.25m</t>
  </si>
  <si>
    <t>D=0.40m</t>
  </si>
  <si>
    <t>L=2.2m  W=0.25m     D=0.40m</t>
  </si>
  <si>
    <t xml:space="preserve"> Form work</t>
  </si>
  <si>
    <t>2.7 a, Grade beam</t>
  </si>
  <si>
    <t>2.14)10/2cm chipwoodexpantion joint</t>
  </si>
  <si>
    <t>Block: - Site Work</t>
  </si>
  <si>
    <t>11.2.1 Sub Base Coarse</t>
  </si>
  <si>
    <t>3.02 Cart away surplus material</t>
  </si>
  <si>
    <t>Back Fill around Masonery Work</t>
  </si>
  <si>
    <t>BNGL</t>
  </si>
  <si>
    <t>ANGL</t>
  </si>
  <si>
    <t>3.1. Excavation &amp; Earth Work</t>
  </si>
  <si>
    <t>3.03. Stone Masonery</t>
  </si>
  <si>
    <t>3.04. Stone Masonery</t>
  </si>
  <si>
    <t>Total item to 3.05</t>
  </si>
  <si>
    <t>3.05) 50cm thick dressd masonary pilars</t>
  </si>
  <si>
    <t>11.4.2/ Apply mass concret</t>
  </si>
  <si>
    <t>from Ipd to morge to ash needle pit</t>
  </si>
  <si>
    <t xml:space="preserve"> from kitchen to morgue</t>
  </si>
  <si>
    <t>from or to generator</t>
  </si>
  <si>
    <t>b/n drylatrines</t>
  </si>
  <si>
    <t>Total item to 11.4.2</t>
  </si>
  <si>
    <t xml:space="preserve">11.5/ constraction of curb stone </t>
  </si>
  <si>
    <t>from entrance to emergency &amp; waiting</t>
  </si>
  <si>
    <t>from     Ipd to morge&amp; from kitchen to morgue</t>
  </si>
  <si>
    <t>from opd toilet</t>
  </si>
  <si>
    <t>Total item to 11.5</t>
  </si>
  <si>
    <t>Total item to 3.03</t>
  </si>
  <si>
    <t>Total item to 3.04</t>
  </si>
  <si>
    <t>1/Excavation &amp;masonary work</t>
  </si>
  <si>
    <t>1.1/Excavation in 50cm from NGL</t>
  </si>
  <si>
    <t>from Block Emergancy  Verenda</t>
  </si>
  <si>
    <t>from Block OR&amp;Delivery</t>
  </si>
  <si>
    <t>from Block Kitchen</t>
  </si>
  <si>
    <t>Opd</t>
  </si>
  <si>
    <t>from Block Generator</t>
  </si>
  <si>
    <t>1.2/stone masonary</t>
  </si>
  <si>
    <t>from Block Waiting to Opd</t>
  </si>
  <si>
    <t>foundation 50cm thick below NGL</t>
  </si>
  <si>
    <t>Waiting Blockinterance side</t>
  </si>
  <si>
    <t xml:space="preserve">from Block morge </t>
  </si>
  <si>
    <t>from Block  Opd</t>
  </si>
  <si>
    <t>from Block Emergancy</t>
  </si>
  <si>
    <t>from block waiting</t>
  </si>
  <si>
    <t>Waiting  but interance side</t>
  </si>
  <si>
    <t>Waiting Blockbut interance side</t>
  </si>
  <si>
    <t>from block Emergancy</t>
  </si>
  <si>
    <t>emergency verenda ramp</t>
  </si>
  <si>
    <t>Emeregency verenda ramp</t>
  </si>
  <si>
    <t>from Block kitchen</t>
  </si>
  <si>
    <t>1.3/Ditto above but semi dressed masonary Above NGL</t>
  </si>
  <si>
    <t>Masonary above NGL</t>
  </si>
  <si>
    <t>from Block Opd</t>
  </si>
  <si>
    <t>from Block  Waiting To Opd</t>
  </si>
  <si>
    <t>1.4/ Cartaway</t>
  </si>
  <si>
    <t>Ditto item no 1.10</t>
  </si>
  <si>
    <t>Total item to 1.4</t>
  </si>
  <si>
    <t>1.5/fill under hard core</t>
  </si>
  <si>
    <t>25cm ave.depth - 15 cm hard core</t>
  </si>
  <si>
    <t>40cm ave.depth - 15 cm hard core</t>
  </si>
  <si>
    <t>from Block OPD</t>
  </si>
  <si>
    <t>20cm ave.depth - 15 cm hard core</t>
  </si>
  <si>
    <t>from Block Opd to waiting</t>
  </si>
  <si>
    <t>Total item to 1.5</t>
  </si>
  <si>
    <t xml:space="preserve">1.6/ 15cm thick hard core </t>
  </si>
  <si>
    <t>Waiting block</t>
  </si>
  <si>
    <t>30cm ave.depth - 15 cm hard core</t>
  </si>
  <si>
    <t>from Block morge</t>
  </si>
  <si>
    <t>ditto above</t>
  </si>
  <si>
    <t>Ditto above</t>
  </si>
  <si>
    <t>Total item to 2.1</t>
  </si>
  <si>
    <t>Total item to 1.6</t>
  </si>
  <si>
    <t>2/concrete work</t>
  </si>
  <si>
    <t>2.1) 5cm thick lean concrete for masonary work</t>
  </si>
  <si>
    <t>Ditto above but interance side</t>
  </si>
  <si>
    <t>from Generator block</t>
  </si>
  <si>
    <t>Total item to 2.2</t>
  </si>
  <si>
    <t>2.2/10cm thick reinforced concrete slab</t>
  </si>
  <si>
    <t>PLACENTAL PIT</t>
  </si>
  <si>
    <t>1.01) Bulk Excavation on ordinary soil 150 cm</t>
  </si>
  <si>
    <t>Total item to 1.01</t>
  </si>
  <si>
    <t>Total item to 1.02</t>
  </si>
  <si>
    <t>Total item to 1.03</t>
  </si>
  <si>
    <t>INCINANATOR</t>
  </si>
  <si>
    <t>1.1) Removal of Top Soil</t>
  </si>
  <si>
    <t>1.3) Bulk Excavation on ordinary soil 750 cm</t>
  </si>
  <si>
    <t>1.04) Cartaway</t>
  </si>
  <si>
    <t>Total item to 1.04</t>
  </si>
  <si>
    <t>1.05) Cartaway</t>
  </si>
  <si>
    <t>Total item to 1.05</t>
  </si>
  <si>
    <r>
      <t>m</t>
    </r>
    <r>
      <rPr>
        <vertAlign val="superscript"/>
        <sz val="12"/>
        <color theme="1"/>
        <rFont val="Calibri"/>
        <family val="2"/>
        <scheme val="minor"/>
      </rPr>
      <t>3</t>
    </r>
    <r>
      <rPr>
        <sz val="12"/>
        <color theme="1"/>
        <rFont val="Calibri"/>
        <family val="2"/>
        <scheme val="minor"/>
      </rPr>
      <t xml:space="preserve"> Total to item 3.07</t>
    </r>
  </si>
  <si>
    <t>manhole and ducts</t>
  </si>
  <si>
    <t>Manhole in brick or masonry, internally plastered including reinforced concrete cover with lifting lug of:</t>
  </si>
  <si>
    <t>2.1.1 1200x1000x700mm</t>
  </si>
  <si>
    <t>2.1.2 Ditto, but with 1000x1000x700mm</t>
  </si>
  <si>
    <t>2.1.2 Ditto, but with 600x600x500mm</t>
  </si>
  <si>
    <t>Cement pipe of dia. 110mm diameter to main power distribution. Price include digging and back fill</t>
  </si>
  <si>
    <t>FEEDER CABLES (actual measurement to be deterimed</t>
  </si>
  <si>
    <t>3x240/120mm2 from KWHM to CMDB (TENTATIVE)</t>
  </si>
  <si>
    <t>3x25/16mm2</t>
  </si>
  <si>
    <t>5x16mm2</t>
  </si>
  <si>
    <t>5x10mm2</t>
  </si>
  <si>
    <t>m net length</t>
  </si>
  <si>
    <t>3x50/25mm</t>
  </si>
  <si>
    <t>4x10mm</t>
  </si>
  <si>
    <t>Total item 1.1</t>
  </si>
  <si>
    <t>Carteaway</t>
  </si>
  <si>
    <r>
      <t>m</t>
    </r>
    <r>
      <rPr>
        <vertAlign val="superscript"/>
        <sz val="16"/>
        <color indexed="8"/>
        <rFont val="Calibri"/>
        <family val="2"/>
        <scheme val="minor"/>
      </rPr>
      <t>3</t>
    </r>
    <r>
      <rPr>
        <sz val="11"/>
        <color theme="1"/>
        <rFont val="Calibri"/>
        <family val="2"/>
        <scheme val="minor"/>
      </rPr>
      <t/>
    </r>
  </si>
  <si>
    <r>
      <t>M</t>
    </r>
    <r>
      <rPr>
        <vertAlign val="superscript"/>
        <sz val="10.5"/>
        <rFont val="Book Antiqua"/>
        <family val="1"/>
      </rPr>
      <t xml:space="preserve"> 2</t>
    </r>
  </si>
  <si>
    <t>Remove top soil</t>
  </si>
  <si>
    <t xml:space="preserve">Bulk Excavation with thickness of 75cm </t>
  </si>
  <si>
    <t>25cm thick hard core</t>
  </si>
  <si>
    <r>
      <t>m</t>
    </r>
    <r>
      <rPr>
        <b/>
        <vertAlign val="superscript"/>
        <sz val="12"/>
        <color theme="1"/>
        <rFont val="Calibri"/>
        <family val="2"/>
        <scheme val="minor"/>
      </rPr>
      <t>2</t>
    </r>
    <r>
      <rPr>
        <b/>
        <sz val="12"/>
        <color theme="1"/>
        <rFont val="Calibri"/>
        <family val="2"/>
        <scheme val="minor"/>
      </rPr>
      <t xml:space="preserve"> net area item no 2.7</t>
    </r>
  </si>
  <si>
    <r>
      <t xml:space="preserve">1.8) </t>
    </r>
    <r>
      <rPr>
        <sz val="12"/>
        <color theme="1"/>
        <rFont val="Calibri"/>
        <family val="2"/>
        <scheme val="minor"/>
      </rPr>
      <t>ф12 mm deformed bars</t>
    </r>
  </si>
  <si>
    <r>
      <t xml:space="preserve">1.9) </t>
    </r>
    <r>
      <rPr>
        <sz val="12"/>
        <color theme="1"/>
        <rFont val="Calibri"/>
        <family val="2"/>
        <scheme val="minor"/>
      </rPr>
      <t>ф8mm deformed bars</t>
    </r>
  </si>
  <si>
    <r>
      <t>m</t>
    </r>
    <r>
      <rPr>
        <b/>
        <vertAlign val="superscript"/>
        <sz val="12"/>
        <color theme="1"/>
        <rFont val="Calibri"/>
        <family val="2"/>
        <scheme val="minor"/>
      </rPr>
      <t>2</t>
    </r>
    <r>
      <rPr>
        <b/>
        <sz val="12"/>
        <color theme="1"/>
        <rFont val="Calibri"/>
        <family val="2"/>
        <scheme val="minor"/>
      </rPr>
      <t xml:space="preserve"> net  area item 1.1</t>
    </r>
  </si>
  <si>
    <r>
      <t>m</t>
    </r>
    <r>
      <rPr>
        <b/>
        <vertAlign val="superscript"/>
        <sz val="12"/>
        <color theme="1"/>
        <rFont val="Calibri"/>
        <family val="2"/>
        <scheme val="minor"/>
      </rPr>
      <t>3</t>
    </r>
    <r>
      <rPr>
        <b/>
        <sz val="12"/>
        <color theme="1"/>
        <rFont val="Calibri"/>
        <family val="2"/>
        <scheme val="minor"/>
      </rPr>
      <t xml:space="preserve">  net Volume item 1.2</t>
    </r>
  </si>
  <si>
    <r>
      <t>m</t>
    </r>
    <r>
      <rPr>
        <vertAlign val="superscript"/>
        <sz val="12"/>
        <color theme="1"/>
        <rFont val="Calibri"/>
        <family val="2"/>
        <scheme val="minor"/>
      </rPr>
      <t>3</t>
    </r>
    <r>
      <rPr>
        <sz val="12"/>
        <color theme="1"/>
        <rFont val="Calibri"/>
        <family val="2"/>
        <scheme val="minor"/>
      </rPr>
      <t xml:space="preserve">  Total to item 1.3</t>
    </r>
  </si>
  <si>
    <r>
      <t>l = (1.9</t>
    </r>
    <r>
      <rPr>
        <sz val="12"/>
        <color theme="1"/>
        <rFont val="Calibri"/>
        <family val="2"/>
        <scheme val="minor"/>
      </rPr>
      <t>^2+7.21^2)^0.5 = 7.45m</t>
    </r>
  </si>
  <si>
    <r>
      <t>m</t>
    </r>
    <r>
      <rPr>
        <b/>
        <vertAlign val="superscript"/>
        <sz val="12"/>
        <color theme="1"/>
        <rFont val="Calibri"/>
        <family val="2"/>
        <scheme val="minor"/>
      </rPr>
      <t xml:space="preserve">3 </t>
    </r>
    <r>
      <rPr>
        <b/>
        <sz val="12"/>
        <color theme="1"/>
        <rFont val="Calibri"/>
        <family val="2"/>
        <scheme val="minor"/>
      </rPr>
      <t>Total to item 2.3</t>
    </r>
  </si>
  <si>
    <r>
      <t>m</t>
    </r>
    <r>
      <rPr>
        <b/>
        <vertAlign val="superscript"/>
        <sz val="12"/>
        <color theme="1"/>
        <rFont val="Calibri"/>
        <family val="2"/>
        <scheme val="minor"/>
      </rPr>
      <t xml:space="preserve">2 </t>
    </r>
    <r>
      <rPr>
        <b/>
        <sz val="12"/>
        <color theme="1"/>
        <rFont val="Calibri"/>
        <family val="2"/>
        <scheme val="minor"/>
      </rPr>
      <t>Total to item 2.6</t>
    </r>
  </si>
  <si>
    <r>
      <t>2.6)</t>
    </r>
    <r>
      <rPr>
        <sz val="12"/>
        <color theme="1"/>
        <rFont val="Calibri"/>
        <family val="2"/>
        <scheme val="minor"/>
      </rPr>
      <t>ф14 mm deformed bars</t>
    </r>
  </si>
  <si>
    <r>
      <t>2.8)</t>
    </r>
    <r>
      <rPr>
        <sz val="12"/>
        <color theme="1"/>
        <rFont val="Calibri"/>
        <family val="2"/>
        <scheme val="minor"/>
      </rPr>
      <t>ф8 mm deformed bars</t>
    </r>
  </si>
  <si>
    <t xml:space="preserve">Concrete pipes of half diameter 30cm </t>
  </si>
  <si>
    <r>
      <t>m</t>
    </r>
    <r>
      <rPr>
        <vertAlign val="superscript"/>
        <sz val="12"/>
        <rFont val="Calibri"/>
        <family val="2"/>
      </rPr>
      <t>2</t>
    </r>
  </si>
  <si>
    <r>
      <t>m</t>
    </r>
    <r>
      <rPr>
        <vertAlign val="superscript"/>
        <sz val="12"/>
        <rFont val="Calibri"/>
        <family val="2"/>
      </rPr>
      <t>3</t>
    </r>
  </si>
  <si>
    <r>
      <t xml:space="preserve">light points in rigid thermoplastic conduit of 16mm </t>
    </r>
    <r>
      <rPr>
        <vertAlign val="superscript"/>
        <sz val="12"/>
        <rFont val="Calibri"/>
        <family val="2"/>
      </rPr>
      <t xml:space="preserve"> </t>
    </r>
  </si>
  <si>
    <t>Terrazo window cill</t>
  </si>
  <si>
    <r>
      <t>m</t>
    </r>
    <r>
      <rPr>
        <vertAlign val="superscript"/>
        <sz val="12"/>
        <rFont val="Calibri"/>
        <family val="2"/>
        <scheme val="minor"/>
      </rPr>
      <t>3</t>
    </r>
    <r>
      <rPr>
        <sz val="11"/>
        <color theme="1"/>
        <rFont val="Calibri"/>
        <family val="2"/>
        <scheme val="minor"/>
      </rPr>
      <t/>
    </r>
  </si>
  <si>
    <r>
      <t>N</t>
    </r>
    <r>
      <rPr>
        <vertAlign val="superscript"/>
        <sz val="12"/>
        <rFont val="Calibri"/>
        <family val="2"/>
        <scheme val="minor"/>
      </rPr>
      <t>o</t>
    </r>
  </si>
  <si>
    <t>Cost</t>
  </si>
  <si>
    <r>
      <t>m</t>
    </r>
    <r>
      <rPr>
        <b/>
        <vertAlign val="superscript"/>
        <sz val="12"/>
        <color theme="1"/>
        <rFont val="Calibri"/>
        <family val="2"/>
        <scheme val="minor"/>
      </rPr>
      <t>3</t>
    </r>
    <r>
      <rPr>
        <b/>
        <sz val="12"/>
        <color theme="1"/>
        <rFont val="Calibri"/>
        <family val="2"/>
        <scheme val="minor"/>
      </rPr>
      <t xml:space="preserve">  net volume to item 1.2</t>
    </r>
  </si>
  <si>
    <t>B/n axis Y/01 &amp; Y/02 on axis X/04</t>
  </si>
  <si>
    <t>B/n axis Y/02 &amp; Y/03 on axis X/04</t>
  </si>
  <si>
    <t>B/n axis Y/04 &amp; Y/03 on axis X/04</t>
  </si>
  <si>
    <t>B/n axis Y/04 &amp; Y/05 on axis X/04</t>
  </si>
  <si>
    <t>B/n axis Y/06 &amp; Y/05 on axis X/04</t>
  </si>
  <si>
    <t>B/n axis Y/06 &amp; Y/07 on axis X/04</t>
  </si>
  <si>
    <t>B/n axis Y/08 &amp; Y/07 on axis X/04</t>
  </si>
  <si>
    <t>B/n axis X/03 &amp; X/04 on axis Y/03</t>
  </si>
  <si>
    <t>B/n axis X/03 &amp; X/04 on axis Y/03 &amp; Y/02</t>
  </si>
  <si>
    <t>B/n axis X/03 &amp; X/04 on axis Y/06 &amp; Y/07</t>
  </si>
  <si>
    <t>B/n axis X/03 &amp; X/04 on axis Y/08 &amp; Y/07</t>
  </si>
  <si>
    <t>B/n axis Y/07 &amp; Y/08 on axis X/01 &amp; X/08</t>
  </si>
  <si>
    <t>B/n axis X/01 &amp; X/02 on axis Y/03 &amp; Y/04</t>
  </si>
  <si>
    <t>B/n axis X/03 &amp; X/04 on axis Y/01 &amp; Y/02</t>
  </si>
  <si>
    <t>B- Fill around Masonary</t>
  </si>
  <si>
    <t>C- Under hardcore</t>
  </si>
  <si>
    <t xml:space="preserve">2.15  10/2 cm chip wood expansion joint </t>
  </si>
  <si>
    <t xml:space="preserve">3.5.-40x30x2mm RHS </t>
  </si>
  <si>
    <t>5.5.Type D6 size 90/275 cm</t>
  </si>
  <si>
    <t>around fence and to morgue</t>
  </si>
  <si>
    <t>staff to generator</t>
  </si>
  <si>
    <t>staff gents</t>
  </si>
  <si>
    <t>staff ladies</t>
  </si>
  <si>
    <t>toilet, handi., shower</t>
  </si>
  <si>
    <t>4.00. FEEDER CABLES</t>
  </si>
  <si>
    <t>4.6. 3x50/25mm</t>
  </si>
  <si>
    <t>4.7. 4x10mm</t>
  </si>
  <si>
    <t>Soft Rock</t>
  </si>
  <si>
    <t>Hard Rock</t>
  </si>
  <si>
    <t>Variation Work</t>
  </si>
  <si>
    <t>Hard Rock Excavation for uPVC, PN-4 pipe for waste water drinage from the manhole to the  septic tank.</t>
  </si>
  <si>
    <t>Avg Depth 0.4m</t>
  </si>
  <si>
    <t>IPD Block</t>
  </si>
  <si>
    <t>OR Block</t>
  </si>
  <si>
    <t>Avg Depth 0.5m</t>
  </si>
  <si>
    <t>Avg Depth 0.6m</t>
  </si>
  <si>
    <t>From OPD Through Lattrin to Septic Tank</t>
  </si>
  <si>
    <t>From Emer. through Lattrin to Septic Tank</t>
  </si>
  <si>
    <t>Excavation In hard rock</t>
  </si>
  <si>
    <t>m3</t>
  </si>
  <si>
    <t>This payment Amt.</t>
  </si>
  <si>
    <t xml:space="preserve">Remove and spread surplus material </t>
  </si>
  <si>
    <t>10.4.15. Elevated Water Tank</t>
  </si>
  <si>
    <t>10.4.15.1. Site Clearance</t>
  </si>
  <si>
    <t>m2 net area item 10.4.15.1</t>
  </si>
  <si>
    <t>10.4.15.2. Pit Excavation</t>
  </si>
  <si>
    <t>m3 net Volume Item 10.4.15.2</t>
  </si>
  <si>
    <t>10.4.15.3. Back Fill around Footing</t>
  </si>
  <si>
    <t>m3 net Volume Item 10.4.15.3</t>
  </si>
  <si>
    <t>10.4.15.4. Cartaway</t>
  </si>
  <si>
    <t>m3 net Volume Item 10.4.15.4</t>
  </si>
  <si>
    <t>Item 10.4.15.1</t>
  </si>
  <si>
    <t>Item 10.4.15.2</t>
  </si>
  <si>
    <t>Excvation &amp; Earth Work</t>
  </si>
  <si>
    <t>10.4.15.5. Lean Concrete</t>
  </si>
  <si>
    <t>Under Footing Pad</t>
  </si>
  <si>
    <t>Under Grade Beam</t>
  </si>
  <si>
    <t>m2 net area item 10.4.15.5</t>
  </si>
  <si>
    <t>C-25 Concrete</t>
  </si>
  <si>
    <t>10.4.15.6. 16cm thick floor slab</t>
  </si>
  <si>
    <t>m3 net volume item 10.4.15.6</t>
  </si>
  <si>
    <t>m3 net volume item 10.4.15.7</t>
  </si>
  <si>
    <t>10.4.15.7. In Grade Beams</t>
  </si>
  <si>
    <t>10.4.15.8. In Footing Pad</t>
  </si>
  <si>
    <t>m3 net volume item 10.4.15.8</t>
  </si>
  <si>
    <t>m3 net volume item 10.4.15.9</t>
  </si>
  <si>
    <t>m3 net volume item 10.4.15.10</t>
  </si>
  <si>
    <t>m3 net volume item 10.4.15.11</t>
  </si>
  <si>
    <t>m2 net area item 10.4.15.12</t>
  </si>
  <si>
    <t>m2 net area item 10.4.15.13</t>
  </si>
  <si>
    <t>10.4.15.9. In Footing Column</t>
  </si>
  <si>
    <t>10.4.15.10. In Elevation Column</t>
  </si>
  <si>
    <t>10.4.15.11. In Roof</t>
  </si>
  <si>
    <t>10.4.15.12. 16cm thick floor slab</t>
  </si>
  <si>
    <t>10.4.15.13. In Grade Beams</t>
  </si>
  <si>
    <t>m2 net area item 10.4.15.14</t>
  </si>
  <si>
    <t>10.4.15.14. In Footing Pad</t>
  </si>
  <si>
    <t>10.4.15.15. In Footing Column</t>
  </si>
  <si>
    <t>m2 net area item 10.4.15.15</t>
  </si>
  <si>
    <t>Elevated Water Tank</t>
  </si>
  <si>
    <t>Footing Pad</t>
  </si>
  <si>
    <t>In Footing Column</t>
  </si>
  <si>
    <t>Sttriup</t>
  </si>
  <si>
    <t>In Grade Beam</t>
  </si>
  <si>
    <t>In Elevation Column</t>
  </si>
  <si>
    <t>Roof Slab</t>
  </si>
  <si>
    <t>Length (m)</t>
  </si>
  <si>
    <t>10.4.15.1</t>
  </si>
  <si>
    <t>SUB- STRUCTURE</t>
  </si>
  <si>
    <t>EXCAVATION &amp; EARTH WORK</t>
  </si>
  <si>
    <t>Pit Excavation</t>
  </si>
  <si>
    <t>10.4.15.2</t>
  </si>
  <si>
    <t>Back Fill around Footing</t>
  </si>
  <si>
    <t>10.4.15.3</t>
  </si>
  <si>
    <t>Cartaway</t>
  </si>
  <si>
    <t>10.4.15.4</t>
  </si>
  <si>
    <t>Lean Concrete</t>
  </si>
  <si>
    <t>10.4.15.5</t>
  </si>
  <si>
    <t>C-25 16cm thick floor slab</t>
  </si>
  <si>
    <t>10.4.15.6</t>
  </si>
  <si>
    <t>In Grade Beams</t>
  </si>
  <si>
    <t>10.4.15.7</t>
  </si>
  <si>
    <t>In Footing Pad</t>
  </si>
  <si>
    <t>10.4.15.8</t>
  </si>
  <si>
    <t>10.4.15.9</t>
  </si>
  <si>
    <t>10.4.15.10</t>
  </si>
  <si>
    <t xml:space="preserve">Construct Septic tank as per the detail drawing </t>
  </si>
  <si>
    <t>In Roof</t>
  </si>
  <si>
    <t>10.4.15.11</t>
  </si>
  <si>
    <t>Formwork</t>
  </si>
  <si>
    <t>10.4.15.12</t>
  </si>
  <si>
    <t>10.4.15.13</t>
  </si>
  <si>
    <t>10.4.15.14</t>
  </si>
  <si>
    <t>10.4.15.15</t>
  </si>
  <si>
    <t>10.4.15.16</t>
  </si>
  <si>
    <t>10.4.15.17</t>
  </si>
  <si>
    <t>Dia. 14 mm deformed bar</t>
  </si>
  <si>
    <t>m2 net area item 10.4.15.16</t>
  </si>
  <si>
    <t>10.4.15.17. In Roof</t>
  </si>
  <si>
    <t>m2 net area item 10.4.15.17</t>
  </si>
  <si>
    <t>10.4.15.16. In Elevation Column</t>
  </si>
  <si>
    <r>
      <t xml:space="preserve"> </t>
    </r>
    <r>
      <rPr>
        <b/>
        <u/>
        <sz val="16"/>
        <rFont val="Times New Roman"/>
        <family val="1"/>
      </rPr>
      <t>SUMMARY OF STATEMENT</t>
    </r>
    <r>
      <rPr>
        <b/>
        <sz val="16"/>
        <rFont val="Times New Roman"/>
        <family val="1"/>
      </rPr>
      <t xml:space="preserve">   </t>
    </r>
  </si>
  <si>
    <t>Block:-OPD</t>
  </si>
  <si>
    <t>value of work executed and/or materials supplied to date is  Birr</t>
  </si>
  <si>
    <r>
      <t>Block:-</t>
    </r>
    <r>
      <rPr>
        <b/>
        <u/>
        <sz val="14"/>
        <rFont val="Cambria"/>
        <family val="1"/>
      </rPr>
      <t>Staff Resiedence &amp; Service Quarter</t>
    </r>
  </si>
  <si>
    <r>
      <t>value of work executed and/or materials supplied to date is</t>
    </r>
    <r>
      <rPr>
        <b/>
        <u/>
        <sz val="12"/>
        <rFont val="Cambria"/>
        <family val="1"/>
      </rPr>
      <t xml:space="preserve">  </t>
    </r>
    <r>
      <rPr>
        <b/>
        <sz val="12"/>
        <rFont val="Cambria"/>
        <family val="1"/>
      </rPr>
      <t>Birr</t>
    </r>
  </si>
  <si>
    <r>
      <t>value of work executed and/or materials supplied to date is</t>
    </r>
    <r>
      <rPr>
        <b/>
        <u/>
        <sz val="10"/>
        <rFont val="Cambria"/>
        <family val="1"/>
      </rPr>
      <t xml:space="preserve">  </t>
    </r>
    <r>
      <rPr>
        <b/>
        <sz val="10"/>
        <rFont val="Cambria"/>
        <family val="1"/>
      </rPr>
      <t>Birr</t>
    </r>
  </si>
  <si>
    <r>
      <t>value of work executed and/or materials supplied to date is</t>
    </r>
    <r>
      <rPr>
        <u/>
        <sz val="12"/>
        <rFont val="Cambria"/>
        <family val="1"/>
      </rPr>
      <t xml:space="preserve">  </t>
    </r>
    <r>
      <rPr>
        <sz val="12"/>
        <rFont val="Cambria"/>
        <family val="1"/>
      </rPr>
      <t>Birr</t>
    </r>
  </si>
  <si>
    <r>
      <t>Block:-</t>
    </r>
    <r>
      <rPr>
        <b/>
        <u/>
        <sz val="14"/>
        <rFont val="Cambria"/>
        <family val="1"/>
      </rPr>
      <t>Administration</t>
    </r>
  </si>
  <si>
    <r>
      <t>Block:-</t>
    </r>
    <r>
      <rPr>
        <b/>
        <u/>
        <sz val="14"/>
        <rFont val="Cambria"/>
        <family val="1"/>
      </rPr>
      <t>Diagnostic</t>
    </r>
  </si>
  <si>
    <r>
      <t>value of work executed and/or materials supplied to date is</t>
    </r>
    <r>
      <rPr>
        <u/>
        <sz val="11"/>
        <rFont val="Cambria"/>
        <family val="1"/>
      </rPr>
      <t xml:space="preserve">  </t>
    </r>
    <r>
      <rPr>
        <sz val="11"/>
        <rFont val="Cambria"/>
        <family val="1"/>
      </rPr>
      <t>Birr</t>
    </r>
  </si>
  <si>
    <r>
      <t>value of work executed and/or materials supplied to date is</t>
    </r>
    <r>
      <rPr>
        <u/>
        <sz val="12"/>
        <rFont val="Calibri"/>
        <family val="2"/>
      </rPr>
      <t xml:space="preserve">  </t>
    </r>
    <r>
      <rPr>
        <sz val="12"/>
        <rFont val="Calibri"/>
        <family val="2"/>
      </rPr>
      <t>Birr</t>
    </r>
  </si>
  <si>
    <r>
      <t>m</t>
    </r>
    <r>
      <rPr>
        <vertAlign val="superscript"/>
        <sz val="13"/>
        <rFont val="Calibri"/>
        <family val="2"/>
      </rPr>
      <t>2</t>
    </r>
  </si>
  <si>
    <r>
      <t>m</t>
    </r>
    <r>
      <rPr>
        <vertAlign val="superscript"/>
        <sz val="13"/>
        <rFont val="Calibri"/>
        <family val="2"/>
      </rPr>
      <t>3</t>
    </r>
  </si>
  <si>
    <r>
      <t>N</t>
    </r>
    <r>
      <rPr>
        <vertAlign val="superscript"/>
        <sz val="13"/>
        <rFont val="Calibri"/>
        <family val="2"/>
      </rPr>
      <t>o</t>
    </r>
  </si>
  <si>
    <t xml:space="preserve"> 1.5 Cart away excavated material</t>
  </si>
  <si>
    <t>SUB STRUCTURE</t>
  </si>
  <si>
    <t>1.6)Hard core</t>
  </si>
  <si>
    <t xml:space="preserve">1.1)Site clearing </t>
  </si>
  <si>
    <t>TOTAL=12.60m2</t>
  </si>
  <si>
    <t>TOTAL=23.40m3</t>
  </si>
  <si>
    <t>2)CONCRETE WORK</t>
  </si>
  <si>
    <t>1.2)Bulk excavation</t>
  </si>
  <si>
    <t>2.1)Lean concrete</t>
  </si>
  <si>
    <t>TOTAL=21.06m3</t>
  </si>
  <si>
    <t>1.3)Ditto but  exceeding 1.50mt</t>
  </si>
  <si>
    <t>TOTAL=3.08m2</t>
  </si>
  <si>
    <t>TOTAL=4.05m3</t>
  </si>
  <si>
    <t>1.4)selected borrowed fill</t>
  </si>
  <si>
    <t>2.3)10cm thick concrete slab</t>
  </si>
  <si>
    <t>item 1.1</t>
  </si>
  <si>
    <t>item 1.2</t>
  </si>
  <si>
    <t>item 1.03</t>
  </si>
  <si>
    <t xml:space="preserve">2.4)in grade beam </t>
  </si>
  <si>
    <t>beam</t>
  </si>
  <si>
    <t>TOTAL=31.01m3</t>
  </si>
  <si>
    <t>1.5)Cart away</t>
  </si>
  <si>
    <t>item 1.3</t>
  </si>
  <si>
    <t>TOTAL=32.13m3</t>
  </si>
  <si>
    <t>TOTAL=2.84m3</t>
  </si>
  <si>
    <t>2.11 Reinforcement steel bar</t>
  </si>
  <si>
    <t xml:space="preserve">Dia 14mm </t>
  </si>
  <si>
    <t xml:space="preserve">Dia 12mm </t>
  </si>
  <si>
    <t xml:space="preserve">Dia 10mm </t>
  </si>
  <si>
    <t xml:space="preserve">Dia 8mm </t>
  </si>
  <si>
    <t>joint</t>
  </si>
  <si>
    <t>2.7)Grade beam</t>
  </si>
  <si>
    <t>TOTAL=14.40ml</t>
  </si>
  <si>
    <t>3)MASONRY</t>
  </si>
  <si>
    <t>3.1)Masonry below NGL</t>
  </si>
  <si>
    <t>g.beam</t>
  </si>
  <si>
    <t>TOTAL=10.42m3</t>
  </si>
  <si>
    <t>TOTAL=4.31m3</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</si>
</sst>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4" formatCode="_(&quot;$&quot;* #,##0.00_);_(&quot;$&quot;* \(#,##0.00\);_(&quot;$&quot;* &quot;-&quot;??_);_(@_)"/>
    <numFmt numFmtId="43" formatCode="_(* #,##0.00_);_(* \(#,##0.00\);_(* &quot;-&quot;??_);_(@_)"/>
    <numFmt numFmtId="164" formatCode="_(* #,##0.0_);_(* \(#,##0.0\);_(* &quot;-&quot;??_);_(@_)"/>
    <numFmt numFmtId="165" formatCode="_(* #,##0.000_);_(* \(#,##0.000\);_(* &quot;-&quot;??_);_(@_)"/>
    <numFmt numFmtId="166" formatCode="#,##0.0"/>
    <numFmt numFmtId="167" formatCode="0.0"/>
    <numFmt numFmtId="168" formatCode="[$-409]mmmm\ d\,\ yyyy;@"/>
    <numFmt numFmtId="169" formatCode="_ * #,##0.00_ ;_ * \-#,##0.00_ ;_ * &quot;-&quot;??_ ;_ @_ "/>
    <numFmt numFmtId="170" formatCode="#,##0.0000"/>
    <numFmt numFmtId="171" formatCode="#,##0.000"/>
    <numFmt numFmtId="172" formatCode="_(* #,##0_);_(* \(#,##0\);_(* &quot;-&quot;??_);_(@_)"/>
    <numFmt numFmtId="173" formatCode="#,##0.00;[Red]#,##0.00"/>
  </numFmts>
  <fonts count="191">
    <font>
      <sz val="11"/>
      <color theme="1"/>
      <name val="Calibri"/>
      <family val="2"/>
      <scheme val="minor"/>
    </font>
    <font>
      <sz val="10"/>
      <color theme="1"/>
      <name val="Calibri"/>
      <family val="2"/>
      <scheme val="minor"/>
    </font>
    <font>
      <sz val="10"/>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1"/>
      <name val="Calibri"/>
      <family val="2"/>
      <scheme val="minor"/>
    </font>
    <font>
      <sz val="10"/>
      <name val="Calibri"/>
      <family val="2"/>
      <scheme val="minor"/>
    </font>
    <font>
      <sz val="9"/>
      <color theme="1"/>
      <name val="Calibri"/>
      <family val="2"/>
      <scheme val="minor"/>
    </font>
    <font>
      <sz val="8"/>
      <color theme="1"/>
      <name val="Calibri"/>
      <family val="2"/>
      <scheme val="minor"/>
    </font>
    <font>
      <b/>
      <sz val="10"/>
      <color theme="1"/>
      <name val="Calibri"/>
      <family val="2"/>
      <scheme val="minor"/>
    </font>
    <font>
      <sz val="9"/>
      <color theme="1"/>
      <name val="Calibri"/>
      <family val="2"/>
    </font>
    <font>
      <sz val="8"/>
      <color theme="1"/>
      <name val="Calibri"/>
      <family val="2"/>
    </font>
    <font>
      <sz val="10"/>
      <color theme="1"/>
      <name val="Calibri"/>
      <family val="2"/>
    </font>
    <font>
      <b/>
      <sz val="10"/>
      <name val="Calibri"/>
      <family val="2"/>
      <scheme val="minor"/>
    </font>
    <font>
      <i/>
      <sz val="10"/>
      <name val="Calibri"/>
      <family val="2"/>
      <scheme val="minor"/>
    </font>
    <font>
      <sz val="8"/>
      <name val="Calibri"/>
      <family val="2"/>
      <scheme val="minor"/>
    </font>
    <font>
      <b/>
      <sz val="11"/>
      <name val="Calibri"/>
      <family val="2"/>
      <scheme val="minor"/>
    </font>
    <font>
      <sz val="10"/>
      <name val="Calibri"/>
      <family val="2"/>
    </font>
    <font>
      <sz val="9"/>
      <name val="Calibri"/>
      <family val="2"/>
    </font>
    <font>
      <b/>
      <vertAlign val="superscript"/>
      <sz val="10"/>
      <color theme="1"/>
      <name val="Calibri"/>
      <family val="2"/>
      <scheme val="minor"/>
    </font>
    <font>
      <vertAlign val="superscript"/>
      <sz val="10"/>
      <color theme="1"/>
      <name val="Calibri"/>
      <family val="2"/>
      <scheme val="minor"/>
    </font>
    <font>
      <sz val="11"/>
      <name val="Calibri"/>
      <family val="2"/>
      <scheme val="minor"/>
    </font>
    <font>
      <sz val="11"/>
      <color theme="1"/>
      <name val="Calibri"/>
      <family val="2"/>
    </font>
    <font>
      <i/>
      <u/>
      <sz val="10"/>
      <name val="Calibri"/>
      <family val="2"/>
      <scheme val="minor"/>
    </font>
    <font>
      <i/>
      <sz val="10"/>
      <name val="Calibri"/>
      <family val="2"/>
    </font>
    <font>
      <sz val="11"/>
      <name val="Calibri"/>
      <family val="2"/>
    </font>
    <font>
      <sz val="11"/>
      <color indexed="8"/>
      <name val="Calibri"/>
      <family val="2"/>
    </font>
    <font>
      <b/>
      <i/>
      <sz val="12"/>
      <name val="Cambria"/>
      <family val="1"/>
      <scheme val="major"/>
    </font>
    <font>
      <b/>
      <sz val="12"/>
      <name val="Calibri"/>
      <family val="2"/>
    </font>
    <font>
      <b/>
      <sz val="12"/>
      <name val="Arial"/>
      <family val="2"/>
    </font>
    <font>
      <i/>
      <sz val="12"/>
      <name val="Calibri"/>
      <family val="2"/>
      <scheme val="minor"/>
    </font>
    <font>
      <i/>
      <sz val="10"/>
      <name val="Cambria"/>
      <family val="1"/>
    </font>
    <font>
      <sz val="12"/>
      <color theme="1"/>
      <name val="Calibri"/>
      <family val="2"/>
      <scheme val="minor"/>
    </font>
    <font>
      <sz val="12"/>
      <name val="Calibri"/>
      <family val="2"/>
    </font>
    <font>
      <b/>
      <sz val="12"/>
      <color theme="1"/>
      <name val="Calibri"/>
      <family val="2"/>
      <scheme val="minor"/>
    </font>
    <font>
      <sz val="12"/>
      <name val="Calibri"/>
      <family val="2"/>
      <scheme val="minor"/>
    </font>
    <font>
      <b/>
      <sz val="12"/>
      <name val="Calibri"/>
      <family val="2"/>
      <scheme val="minor"/>
    </font>
    <font>
      <b/>
      <i/>
      <sz val="14"/>
      <color theme="1"/>
      <name val="Calibri"/>
      <family val="2"/>
      <scheme val="minor"/>
    </font>
    <font>
      <sz val="14"/>
      <color theme="1"/>
      <name val="Calibri"/>
      <family val="2"/>
      <scheme val="minor"/>
    </font>
    <font>
      <b/>
      <sz val="14"/>
      <color theme="1"/>
      <name val="Calibri"/>
      <family val="2"/>
    </font>
    <font>
      <b/>
      <i/>
      <sz val="14"/>
      <name val="Cambria"/>
      <family val="1"/>
      <scheme val="major"/>
    </font>
    <font>
      <sz val="14"/>
      <color theme="1"/>
      <name val="Arial"/>
      <family val="2"/>
    </font>
    <font>
      <b/>
      <sz val="14"/>
      <color theme="1"/>
      <name val="Arial"/>
      <family val="2"/>
    </font>
    <font>
      <sz val="14"/>
      <color theme="1"/>
      <name val="Calibri"/>
      <family val="2"/>
    </font>
    <font>
      <b/>
      <u/>
      <sz val="14"/>
      <color theme="1"/>
      <name val="Arial"/>
      <family val="2"/>
    </font>
    <font>
      <i/>
      <sz val="14"/>
      <color theme="1"/>
      <name val="Calibri"/>
      <family val="2"/>
    </font>
    <font>
      <b/>
      <u/>
      <sz val="14"/>
      <color theme="1"/>
      <name val="Calibri"/>
      <family val="2"/>
    </font>
    <font>
      <b/>
      <i/>
      <sz val="11"/>
      <name val="Cambria"/>
      <family val="1"/>
      <scheme val="major"/>
    </font>
    <font>
      <u/>
      <sz val="12"/>
      <name val="Calibri"/>
      <family val="2"/>
      <scheme val="minor"/>
    </font>
    <font>
      <sz val="12"/>
      <color theme="1"/>
      <name val="Calibri"/>
      <family val="2"/>
    </font>
    <font>
      <b/>
      <i/>
      <sz val="12"/>
      <name val="Calibri"/>
      <family val="2"/>
      <scheme val="minor"/>
    </font>
    <font>
      <b/>
      <i/>
      <sz val="12"/>
      <name val="Times New Roman"/>
      <family val="1"/>
    </font>
    <font>
      <i/>
      <sz val="12"/>
      <name val="Times New Roman"/>
      <family val="1"/>
    </font>
    <font>
      <sz val="12"/>
      <name val="Arial"/>
      <family val="2"/>
    </font>
    <font>
      <i/>
      <u/>
      <sz val="12"/>
      <name val="Calibri"/>
      <family val="2"/>
      <scheme val="minor"/>
    </font>
    <font>
      <b/>
      <sz val="14"/>
      <name val="Calibri"/>
      <family val="2"/>
    </font>
    <font>
      <sz val="14"/>
      <name val="Calibri"/>
      <family val="2"/>
      <scheme val="minor"/>
    </font>
    <font>
      <b/>
      <sz val="14"/>
      <name val="Calibri"/>
      <family val="2"/>
      <scheme val="minor"/>
    </font>
    <font>
      <sz val="14"/>
      <name val="Calibri"/>
      <family val="2"/>
    </font>
    <font>
      <b/>
      <u/>
      <sz val="14"/>
      <name val="Calibri"/>
      <family val="2"/>
      <scheme val="minor"/>
    </font>
    <font>
      <b/>
      <sz val="14"/>
      <name val="Arial"/>
      <family val="2"/>
    </font>
    <font>
      <i/>
      <sz val="14"/>
      <name val="Calibri"/>
      <family val="2"/>
      <scheme val="minor"/>
    </font>
    <font>
      <sz val="10"/>
      <name val="Arial"/>
      <family val="2"/>
    </font>
    <font>
      <b/>
      <i/>
      <sz val="10"/>
      <name val="Cambria"/>
      <family val="1"/>
    </font>
    <font>
      <sz val="12"/>
      <color rgb="FFFF0000"/>
      <name val="Arial"/>
      <family val="2"/>
    </font>
    <font>
      <i/>
      <u/>
      <sz val="10"/>
      <name val="Calibri"/>
      <family val="2"/>
    </font>
    <font>
      <i/>
      <sz val="10"/>
      <color rgb="FFFF0000"/>
      <name val="Calibri"/>
      <family val="2"/>
      <scheme val="minor"/>
    </font>
    <font>
      <i/>
      <sz val="12"/>
      <name val="Calibri"/>
      <family val="2"/>
    </font>
    <font>
      <i/>
      <u/>
      <sz val="12"/>
      <name val="Calibri"/>
      <family val="2"/>
    </font>
    <font>
      <b/>
      <i/>
      <sz val="12"/>
      <name val="Cambria"/>
      <family val="1"/>
    </font>
    <font>
      <sz val="14"/>
      <name val="Arial"/>
      <family val="2"/>
    </font>
    <font>
      <b/>
      <i/>
      <sz val="14"/>
      <name val="Cambria"/>
      <family val="1"/>
    </font>
    <font>
      <b/>
      <sz val="14"/>
      <name val="Times New Roman"/>
      <family val="1"/>
    </font>
    <font>
      <b/>
      <i/>
      <sz val="14"/>
      <name val="Calibri"/>
      <family val="2"/>
      <scheme val="minor"/>
    </font>
    <font>
      <b/>
      <i/>
      <sz val="14"/>
      <name val="Arial"/>
      <family val="2"/>
    </font>
    <font>
      <b/>
      <i/>
      <u/>
      <sz val="12"/>
      <name val="Cambria"/>
      <family val="1"/>
    </font>
    <font>
      <b/>
      <i/>
      <sz val="12"/>
      <color rgb="FFFF0000"/>
      <name val="Cambria"/>
      <family val="1"/>
    </font>
    <font>
      <sz val="12"/>
      <name val="Times New Roman"/>
      <family val="1"/>
    </font>
    <font>
      <b/>
      <i/>
      <sz val="16"/>
      <name val="Cambria"/>
      <family val="1"/>
    </font>
    <font>
      <sz val="12"/>
      <color rgb="FFFF0000"/>
      <name val="Calibri"/>
      <family val="2"/>
      <scheme val="minor"/>
    </font>
    <font>
      <b/>
      <u/>
      <sz val="12"/>
      <name val="Calibri"/>
      <family val="2"/>
      <scheme val="minor"/>
    </font>
    <font>
      <i/>
      <sz val="12"/>
      <color rgb="FFFF0000"/>
      <name val="Calibri"/>
      <family val="2"/>
      <scheme val="minor"/>
    </font>
    <font>
      <sz val="13"/>
      <color theme="1"/>
      <name val="Calibri"/>
      <family val="2"/>
      <scheme val="minor"/>
    </font>
    <font>
      <b/>
      <i/>
      <sz val="13"/>
      <color theme="1"/>
      <name val="Calibri"/>
      <family val="2"/>
      <scheme val="minor"/>
    </font>
    <font>
      <i/>
      <sz val="13"/>
      <name val="Cambria"/>
      <family val="1"/>
      <scheme val="major"/>
    </font>
    <font>
      <b/>
      <sz val="13"/>
      <name val="Arial"/>
      <family val="2"/>
    </font>
    <font>
      <sz val="13"/>
      <name val="Arial"/>
      <family val="2"/>
    </font>
    <font>
      <b/>
      <u/>
      <sz val="12"/>
      <name val="Calibri"/>
      <family val="2"/>
    </font>
    <font>
      <sz val="16"/>
      <color theme="1"/>
      <name val="Calibri"/>
      <family val="2"/>
      <scheme val="minor"/>
    </font>
    <font>
      <b/>
      <sz val="16"/>
      <color theme="1"/>
      <name val="Calibri"/>
      <family val="2"/>
      <scheme val="minor"/>
    </font>
    <font>
      <b/>
      <sz val="16"/>
      <name val="Calibri"/>
      <family val="2"/>
      <scheme val="minor"/>
    </font>
    <font>
      <b/>
      <sz val="16"/>
      <color indexed="8"/>
      <name val="Calibri"/>
      <family val="2"/>
      <scheme val="minor"/>
    </font>
    <font>
      <sz val="16"/>
      <name val="Calibri"/>
      <family val="2"/>
      <scheme val="minor"/>
    </font>
    <font>
      <sz val="16"/>
      <color indexed="8"/>
      <name val="Calibri"/>
      <family val="2"/>
      <scheme val="minor"/>
    </font>
    <font>
      <vertAlign val="superscript"/>
      <sz val="16"/>
      <color indexed="8"/>
      <name val="Calibri"/>
      <family val="2"/>
      <scheme val="minor"/>
    </font>
    <font>
      <sz val="20"/>
      <color rgb="FFFF0000"/>
      <name val="Calibri"/>
      <family val="2"/>
      <scheme val="minor"/>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35"/>
      <color theme="10"/>
      <name val="Calibri"/>
      <family val="2"/>
    </font>
    <font>
      <sz val="11"/>
      <color indexed="62"/>
      <name val="Calibri"/>
      <family val="2"/>
    </font>
    <font>
      <sz val="11"/>
      <color indexed="52"/>
      <name val="Calibri"/>
      <family val="2"/>
    </font>
    <font>
      <sz val="11"/>
      <color indexed="60"/>
      <name val="Calibri"/>
      <family val="2"/>
    </font>
    <font>
      <sz val="11"/>
      <color theme="1"/>
      <name val="Tahoma"/>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20"/>
      <color indexed="8"/>
      <name val="Calibri"/>
      <family val="2"/>
      <scheme val="minor"/>
    </font>
    <font>
      <sz val="20"/>
      <color indexed="8"/>
      <name val="Calibri"/>
      <family val="2"/>
      <scheme val="minor"/>
    </font>
    <font>
      <b/>
      <sz val="20"/>
      <color theme="1"/>
      <name val="Calibri"/>
      <family val="2"/>
      <scheme val="minor"/>
    </font>
    <font>
      <sz val="14"/>
      <color indexed="8"/>
      <name val="Calibri"/>
      <family val="2"/>
      <scheme val="minor"/>
    </font>
    <font>
      <sz val="16"/>
      <color rgb="FFFF0000"/>
      <name val="Calibri"/>
      <family val="2"/>
      <scheme val="minor"/>
    </font>
    <font>
      <b/>
      <sz val="14"/>
      <color theme="1"/>
      <name val="Calibri"/>
      <family val="2"/>
      <scheme val="minor"/>
    </font>
    <font>
      <sz val="14"/>
      <name val="Times New Roman"/>
      <family val="1"/>
    </font>
    <font>
      <b/>
      <sz val="12"/>
      <name val="Times New Roman"/>
      <family val="1"/>
    </font>
    <font>
      <sz val="12"/>
      <color theme="1"/>
      <name val="Times New Roman"/>
      <family val="1"/>
    </font>
    <font>
      <sz val="11"/>
      <color theme="1"/>
      <name val="Times New Roman"/>
      <family val="1"/>
    </font>
    <font>
      <sz val="11"/>
      <name val="Times New Roman"/>
      <family val="1"/>
    </font>
    <font>
      <sz val="12"/>
      <color indexed="8"/>
      <name val="Calibri"/>
      <family val="2"/>
      <scheme val="minor"/>
    </font>
    <font>
      <sz val="10"/>
      <name val="Helv"/>
      <charset val="204"/>
    </font>
    <font>
      <sz val="10"/>
      <name val="Helvetica"/>
    </font>
    <font>
      <b/>
      <vertAlign val="superscript"/>
      <sz val="14"/>
      <color theme="1"/>
      <name val="Calibri"/>
      <family val="2"/>
      <scheme val="minor"/>
    </font>
    <font>
      <sz val="16"/>
      <name val="Calibri"/>
      <family val="2"/>
    </font>
    <font>
      <b/>
      <sz val="12"/>
      <color indexed="8"/>
      <name val="Calibri"/>
      <family val="2"/>
      <scheme val="minor"/>
    </font>
    <font>
      <b/>
      <sz val="16"/>
      <color theme="1"/>
      <name val="Times New Roman"/>
      <family val="1"/>
    </font>
    <font>
      <b/>
      <sz val="16"/>
      <color indexed="8"/>
      <name val="Times New Roman"/>
      <family val="1"/>
    </font>
    <font>
      <b/>
      <sz val="16"/>
      <name val="Times New Roman"/>
      <family val="1"/>
    </font>
    <font>
      <b/>
      <u/>
      <sz val="16"/>
      <name val="Times New Roman"/>
      <family val="1"/>
    </font>
    <font>
      <b/>
      <sz val="16"/>
      <name val="Arial"/>
      <family val="2"/>
    </font>
    <font>
      <b/>
      <sz val="16"/>
      <name val="Ge'ez-1"/>
      <family val="2"/>
    </font>
    <font>
      <sz val="16"/>
      <name val="Power Geez Unicode1"/>
    </font>
    <font>
      <sz val="16"/>
      <name val="Ge'ez-1"/>
      <family val="2"/>
    </font>
    <font>
      <sz val="16"/>
      <name val="Arial"/>
      <family val="2"/>
    </font>
    <font>
      <sz val="16"/>
      <color theme="1"/>
      <name val="Times New Roman"/>
      <family val="1"/>
    </font>
    <font>
      <sz val="16"/>
      <color indexed="8"/>
      <name val="Times New Roman"/>
      <family val="1"/>
    </font>
    <font>
      <b/>
      <sz val="20"/>
      <color theme="1"/>
      <name val="Times New Roman"/>
      <family val="1"/>
    </font>
    <font>
      <b/>
      <sz val="20"/>
      <color indexed="8"/>
      <name val="Times New Roman"/>
      <family val="1"/>
    </font>
    <font>
      <u/>
      <sz val="16"/>
      <name val="Ge'ez-1"/>
      <family val="2"/>
    </font>
    <font>
      <sz val="16"/>
      <name val="Times New Roman"/>
      <family val="1"/>
    </font>
    <font>
      <vertAlign val="superscript"/>
      <sz val="16"/>
      <name val="Calibri"/>
      <family val="2"/>
      <scheme val="minor"/>
    </font>
    <font>
      <b/>
      <sz val="20"/>
      <name val="Calibri"/>
      <family val="2"/>
      <scheme val="minor"/>
    </font>
    <font>
      <sz val="20"/>
      <color theme="1"/>
      <name val="Calibri"/>
      <family val="2"/>
      <scheme val="minor"/>
    </font>
    <font>
      <b/>
      <sz val="22"/>
      <name val="Calibri"/>
      <family val="2"/>
      <scheme val="minor"/>
    </font>
    <font>
      <vertAlign val="superscript"/>
      <sz val="14"/>
      <color theme="1"/>
      <name val="Calibri"/>
      <family val="2"/>
      <scheme val="minor"/>
    </font>
    <font>
      <b/>
      <sz val="11"/>
      <name val="Times New Roman"/>
      <family val="1"/>
    </font>
    <font>
      <sz val="18"/>
      <name val="Times New Roman"/>
      <family val="1"/>
    </font>
    <font>
      <vertAlign val="superscript"/>
      <sz val="12"/>
      <color theme="1"/>
      <name val="Calibri"/>
      <family val="2"/>
      <scheme val="minor"/>
    </font>
    <font>
      <b/>
      <vertAlign val="superscript"/>
      <sz val="12"/>
      <color theme="1"/>
      <name val="Calibri"/>
      <family val="2"/>
      <scheme val="minor"/>
    </font>
    <font>
      <vertAlign val="superscript"/>
      <sz val="12"/>
      <name val="Calibri"/>
      <family val="2"/>
      <scheme val="minor"/>
    </font>
    <font>
      <u/>
      <sz val="14"/>
      <name val="Calibri"/>
      <family val="2"/>
      <scheme val="minor"/>
    </font>
    <font>
      <vertAlign val="superscript"/>
      <sz val="14"/>
      <name val="Calibri"/>
      <family val="2"/>
      <scheme val="minor"/>
    </font>
    <font>
      <vertAlign val="superscript"/>
      <sz val="10.5"/>
      <name val="Book Antiqua"/>
      <family val="1"/>
    </font>
    <font>
      <vertAlign val="superscript"/>
      <sz val="12"/>
      <name val="Calibri"/>
      <family val="2"/>
    </font>
    <font>
      <sz val="12"/>
      <name val="Cambria"/>
      <family val="1"/>
      <scheme val="major"/>
    </font>
    <font>
      <sz val="11"/>
      <color rgb="FFFF0000"/>
      <name val="Calibri"/>
      <family val="2"/>
      <scheme val="minor"/>
    </font>
    <font>
      <b/>
      <sz val="12"/>
      <color rgb="FFFF0000"/>
      <name val="Calibri"/>
      <family val="2"/>
      <scheme val="minor"/>
    </font>
    <font>
      <b/>
      <sz val="14"/>
      <name val="Cambria"/>
      <family val="1"/>
    </font>
    <font>
      <b/>
      <sz val="12"/>
      <name val="Cambria"/>
      <family val="1"/>
    </font>
    <font>
      <b/>
      <sz val="12"/>
      <color rgb="FFFF0000"/>
      <name val="Cambria"/>
      <family val="1"/>
    </font>
    <font>
      <b/>
      <sz val="10"/>
      <name val="Cambria"/>
      <family val="1"/>
    </font>
    <font>
      <b/>
      <u/>
      <sz val="14"/>
      <name val="Cambria"/>
      <family val="1"/>
    </font>
    <font>
      <b/>
      <u/>
      <sz val="12"/>
      <name val="Cambria"/>
      <family val="1"/>
    </font>
    <font>
      <b/>
      <u/>
      <sz val="10"/>
      <name val="Cambria"/>
      <family val="1"/>
    </font>
    <font>
      <b/>
      <sz val="10"/>
      <color rgb="FFFF0000"/>
      <name val="Cambria"/>
      <family val="1"/>
    </font>
    <font>
      <b/>
      <sz val="11"/>
      <name val="Cambria"/>
      <family val="1"/>
      <scheme val="major"/>
    </font>
    <font>
      <sz val="10"/>
      <name val="Cambria"/>
      <family val="1"/>
    </font>
    <font>
      <sz val="12"/>
      <name val="Cambria"/>
      <family val="1"/>
    </font>
    <font>
      <u/>
      <sz val="12"/>
      <name val="Cambria"/>
      <family val="1"/>
    </font>
    <font>
      <sz val="12"/>
      <color rgb="FFFF0000"/>
      <name val="Cambria"/>
      <family val="1"/>
    </font>
    <font>
      <sz val="11"/>
      <name val="Cambria"/>
      <family val="1"/>
    </font>
    <font>
      <u/>
      <sz val="11"/>
      <name val="Cambria"/>
      <family val="1"/>
    </font>
    <font>
      <b/>
      <sz val="12"/>
      <name val="Cambria"/>
      <family val="1"/>
      <scheme val="major"/>
    </font>
    <font>
      <u/>
      <sz val="12"/>
      <name val="Calibri"/>
      <family val="2"/>
    </font>
    <font>
      <b/>
      <sz val="13"/>
      <color theme="1"/>
      <name val="Calibri"/>
      <family val="2"/>
      <scheme val="minor"/>
    </font>
    <font>
      <sz val="13"/>
      <name val="Cambria"/>
      <family val="1"/>
      <scheme val="major"/>
    </font>
    <font>
      <b/>
      <sz val="13"/>
      <name val="Calibri"/>
      <family val="2"/>
      <scheme val="minor"/>
    </font>
    <font>
      <sz val="13"/>
      <name val="Calibri"/>
      <family val="2"/>
      <scheme val="minor"/>
    </font>
    <font>
      <u/>
      <sz val="13"/>
      <name val="Calibri"/>
      <family val="2"/>
      <scheme val="minor"/>
    </font>
    <font>
      <vertAlign val="superscript"/>
      <sz val="13"/>
      <name val="Calibri"/>
      <family val="2"/>
    </font>
    <font>
      <b/>
      <sz val="13"/>
      <color indexed="8"/>
      <name val="Calibri"/>
      <family val="2"/>
      <scheme val="minor"/>
    </font>
    <font>
      <sz val="13"/>
      <color indexed="8"/>
      <name val="Calibri"/>
      <family val="2"/>
      <scheme val="minor"/>
    </font>
    <font>
      <b/>
      <sz val="10"/>
      <name val="Calibri"/>
      <family val="2"/>
    </font>
    <font>
      <b/>
      <u val="double"/>
      <sz val="10"/>
      <name val="Calibri"/>
      <family val="2"/>
    </font>
  </fonts>
  <fills count="3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9"/>
        <bgColor indexed="64"/>
      </patternFill>
    </fill>
    <fill>
      <patternFill patternType="solid">
        <fgColor theme="0" tint="-0.249977111117893"/>
        <bgColor indexed="64"/>
      </patternFill>
    </fill>
    <fill>
      <patternFill patternType="solid">
        <fgColor indexed="13"/>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2" tint="-0.249977111117893"/>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148">
    <border>
      <left/>
      <right/>
      <top/>
      <bottom/>
      <diagonal/>
    </border>
    <border>
      <left style="double">
        <color auto="1"/>
      </left>
      <right/>
      <top/>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diagonal/>
    </border>
    <border>
      <left style="thin">
        <color indexed="64"/>
      </left>
      <right style="thin">
        <color indexed="64"/>
      </right>
      <top/>
      <bottom/>
      <diagonal/>
    </border>
    <border>
      <left style="thin">
        <color indexed="64"/>
      </left>
      <right style="double">
        <color indexed="64"/>
      </right>
      <top/>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indexed="64"/>
      </left>
      <right style="thin">
        <color indexed="64"/>
      </right>
      <top style="double">
        <color indexed="64"/>
      </top>
      <bottom style="double">
        <color indexed="64"/>
      </bottom>
      <diagonal/>
    </border>
    <border>
      <left/>
      <right/>
      <top style="double">
        <color indexed="64"/>
      </top>
      <bottom/>
      <diagonal/>
    </border>
    <border>
      <left/>
      <right/>
      <top/>
      <bottom style="double">
        <color indexed="64"/>
      </bottom>
      <diagonal/>
    </border>
    <border>
      <left style="double">
        <color indexed="64"/>
      </left>
      <right style="thin">
        <color indexed="64"/>
      </right>
      <top style="double">
        <color indexed="64"/>
      </top>
      <bottom style="double">
        <color indexed="64"/>
      </bottom>
      <diagonal/>
    </border>
    <border>
      <left/>
      <right style="double">
        <color indexed="64"/>
      </right>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right style="double">
        <color indexed="64"/>
      </right>
      <top style="double">
        <color indexed="64"/>
      </top>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top style="double">
        <color indexed="64"/>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thin">
        <color indexed="64"/>
      </left>
      <right/>
      <top/>
      <bottom style="double">
        <color indexed="64"/>
      </bottom>
      <diagonal/>
    </border>
    <border>
      <left style="double">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hair">
        <color indexed="64"/>
      </top>
      <bottom/>
      <diagonal/>
    </border>
    <border>
      <left/>
      <right style="thin">
        <color indexed="64"/>
      </right>
      <top/>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double">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top/>
      <bottom style="thick">
        <color auto="1"/>
      </bottom>
      <diagonal/>
    </border>
    <border>
      <left style="medium">
        <color indexed="64"/>
      </left>
      <right/>
      <top style="double">
        <color indexed="64"/>
      </top>
      <bottom style="thin">
        <color indexed="64"/>
      </bottom>
      <diagonal/>
    </border>
    <border>
      <left style="medium">
        <color indexed="64"/>
      </left>
      <right/>
      <top style="thin">
        <color indexed="64"/>
      </top>
      <bottom style="thin">
        <color indexed="64"/>
      </bottom>
      <diagonal/>
    </border>
    <border>
      <left style="double">
        <color indexed="64"/>
      </left>
      <right style="thin">
        <color indexed="64"/>
      </right>
      <top style="thin">
        <color indexed="64"/>
      </top>
      <bottom/>
      <diagonal/>
    </border>
    <border>
      <left/>
      <right style="thin">
        <color indexed="64"/>
      </right>
      <top style="thin">
        <color indexed="64"/>
      </top>
      <bottom style="thin">
        <color indexed="64"/>
      </bottom>
      <diagonal/>
    </border>
    <border>
      <left style="double">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double">
        <color indexed="64"/>
      </bottom>
      <diagonal/>
    </border>
    <border>
      <left/>
      <right/>
      <top/>
      <bottom style="hair">
        <color indexed="64"/>
      </bottom>
      <diagonal/>
    </border>
    <border>
      <left style="double">
        <color auto="1"/>
      </left>
      <right style="thin">
        <color auto="1"/>
      </right>
      <top/>
      <bottom style="hair">
        <color auto="1"/>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style="double">
        <color indexed="64"/>
      </right>
      <top style="thin">
        <color indexed="64"/>
      </top>
      <bottom/>
      <diagonal/>
    </border>
    <border>
      <left style="thin">
        <color indexed="64"/>
      </left>
      <right style="double">
        <color indexed="64"/>
      </right>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ck">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thick">
        <color indexed="64"/>
      </right>
      <top style="hair">
        <color indexed="64"/>
      </top>
      <bottom style="double">
        <color indexed="64"/>
      </bottom>
      <diagonal/>
    </border>
    <border>
      <left style="thin">
        <color indexed="64"/>
      </left>
      <right style="thick">
        <color indexed="64"/>
      </right>
      <top/>
      <bottom style="hair">
        <color indexed="64"/>
      </bottom>
      <diagonal/>
    </border>
    <border>
      <left style="thin">
        <color indexed="64"/>
      </left>
      <right style="thick">
        <color indexed="64"/>
      </right>
      <top/>
      <bottom/>
      <diagonal/>
    </border>
    <border>
      <left/>
      <right style="thick">
        <color indexed="64"/>
      </right>
      <top/>
      <bottom/>
      <diagonal/>
    </border>
    <border>
      <left/>
      <right/>
      <top style="thin">
        <color indexed="64"/>
      </top>
      <bottom style="thick">
        <color indexed="64"/>
      </bottom>
      <diagonal/>
    </border>
    <border>
      <left style="thin">
        <color indexed="64"/>
      </left>
      <right style="thin">
        <color indexed="64"/>
      </right>
      <top style="medium">
        <color indexed="64"/>
      </top>
      <bottom style="hair">
        <color indexed="64"/>
      </bottom>
      <diagonal/>
    </border>
    <border>
      <left style="hair">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double">
        <color indexed="64"/>
      </right>
      <top style="double">
        <color indexed="64"/>
      </top>
      <bottom style="double">
        <color indexed="64"/>
      </bottom>
      <diagonal/>
    </border>
    <border>
      <left style="thin">
        <color indexed="64"/>
      </left>
      <right style="double">
        <color indexed="64"/>
      </right>
      <top style="hair">
        <color indexed="64"/>
      </top>
      <bottom/>
      <diagonal/>
    </border>
    <border>
      <left style="double">
        <color indexed="64"/>
      </left>
      <right/>
      <top style="thin">
        <color indexed="64"/>
      </top>
      <bottom style="thick">
        <color indexed="64"/>
      </bottom>
      <diagonal/>
    </border>
    <border>
      <left/>
      <right style="double">
        <color indexed="64"/>
      </right>
      <top style="thin">
        <color indexed="64"/>
      </top>
      <bottom style="thick">
        <color indexed="64"/>
      </bottom>
      <diagonal/>
    </border>
    <border>
      <left style="double">
        <color indexed="64"/>
      </left>
      <right style="thin">
        <color indexed="64"/>
      </right>
      <top style="medium">
        <color indexed="64"/>
      </top>
      <bottom style="hair">
        <color indexed="64"/>
      </bottom>
      <diagonal/>
    </border>
    <border>
      <left style="thin">
        <color indexed="64"/>
      </left>
      <right style="double">
        <color indexed="64"/>
      </right>
      <top style="medium">
        <color indexed="64"/>
      </top>
      <bottom style="hair">
        <color indexed="64"/>
      </bottom>
      <diagonal/>
    </border>
    <border>
      <left style="hair">
        <color indexed="64"/>
      </left>
      <right/>
      <top/>
      <bottom style="hair">
        <color indexed="64"/>
      </bottom>
      <diagonal/>
    </border>
    <border>
      <left style="double">
        <color indexed="64"/>
      </left>
      <right style="hair">
        <color indexed="64"/>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bottom style="double">
        <color auto="1"/>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thin">
        <color indexed="64"/>
      </right>
      <top style="double">
        <color indexed="64"/>
      </top>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top style="double">
        <color indexed="64"/>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double">
        <color indexed="64"/>
      </right>
      <top style="double">
        <color indexed="64"/>
      </top>
      <bottom/>
      <diagonal/>
    </border>
    <border>
      <left/>
      <right style="thin">
        <color indexed="64"/>
      </right>
      <top style="thin">
        <color indexed="64"/>
      </top>
      <bottom/>
      <diagonal/>
    </border>
    <border>
      <left style="double">
        <color indexed="64"/>
      </left>
      <right/>
      <top style="double">
        <color indexed="64"/>
      </top>
      <bottom style="thin">
        <color indexed="64"/>
      </bottom>
      <diagonal/>
    </border>
    <border>
      <left style="dashed">
        <color indexed="64"/>
      </left>
      <right style="dashed">
        <color indexed="64"/>
      </right>
      <top style="dashed">
        <color indexed="64"/>
      </top>
      <bottom style="dashed">
        <color indexed="64"/>
      </bottom>
      <diagonal/>
    </border>
    <border>
      <left/>
      <right style="hair">
        <color indexed="64"/>
      </right>
      <top/>
      <bottom style="hair">
        <color indexed="64"/>
      </bottom>
      <diagonal/>
    </border>
    <border>
      <left style="hair">
        <color auto="1"/>
      </left>
      <right style="hair">
        <color auto="1"/>
      </right>
      <top style="hair">
        <color auto="1"/>
      </top>
      <bottom style="double">
        <color auto="1"/>
      </bottom>
      <diagonal/>
    </border>
    <border>
      <left style="thin">
        <color indexed="64"/>
      </left>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hair">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thin">
        <color indexed="64"/>
      </left>
      <right style="double">
        <color indexed="64"/>
      </right>
      <top style="double">
        <color indexed="64"/>
      </top>
      <bottom style="hair">
        <color indexed="64"/>
      </bottom>
      <diagonal/>
    </border>
  </borders>
  <cellStyleXfs count="4633">
    <xf numFmtId="0" fontId="0" fillId="0" borderId="0"/>
    <xf numFmtId="43" fontId="3" fillId="0" borderId="0" applyFont="0" applyFill="0" applyBorder="0" applyAlignment="0" applyProtection="0"/>
    <xf numFmtId="43" fontId="5" fillId="0" borderId="0" applyFont="0" applyFill="0" applyBorder="0" applyAlignment="0" applyProtection="0"/>
    <xf numFmtId="0" fontId="5" fillId="0" borderId="0"/>
    <xf numFmtId="43" fontId="27" fillId="0" borderId="0" applyFont="0" applyFill="0" applyBorder="0" applyAlignment="0" applyProtection="0"/>
    <xf numFmtId="0" fontId="63" fillId="0" borderId="0"/>
    <xf numFmtId="43" fontId="5" fillId="0" borderId="0" applyFont="0" applyFill="0" applyBorder="0" applyAlignment="0" applyProtection="0"/>
    <xf numFmtId="0" fontId="5" fillId="0" borderId="0"/>
    <xf numFmtId="43" fontId="63" fillId="0" borderId="0" applyFont="0" applyFill="0" applyBorder="0" applyAlignment="0" applyProtection="0"/>
    <xf numFmtId="0" fontId="5"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8"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5"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6"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1"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2"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3"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24"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19"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7" fillId="25"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99" fillId="26" borderId="94"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7"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2" fillId="10" borderId="0" applyNumberFormat="0" applyBorder="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3" fillId="0" borderId="96"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4" fillId="0" borderId="97"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98" applyNumberFormat="0" applyFill="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top"/>
      <protection locked="0"/>
    </xf>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7" fillId="13" borderId="94" applyNumberFormat="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109" fillId="28"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5" fillId="29" borderId="100" applyNumberFormat="0" applyFon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0" fontId="111" fillId="26" borderId="101" applyNumberFormat="0" applyAlignment="0" applyProtection="0"/>
    <xf numFmtId="9" fontId="5" fillId="0" borderId="0" applyFon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3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9" fontId="5" fillId="0" borderId="0" applyFont="0" applyFill="0" applyBorder="0" applyAlignment="0" applyProtection="0"/>
    <xf numFmtId="0"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27" fillId="0" borderId="0"/>
    <xf numFmtId="0" fontId="5" fillId="0" borderId="0"/>
    <xf numFmtId="0" fontId="128" fillId="0" borderId="0"/>
    <xf numFmtId="0" fontId="1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0" fontId="100" fillId="27" borderId="95" applyNumberFormat="0" applyAlignment="0" applyProtection="0"/>
    <xf numFmtId="43" fontId="27"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108" fillId="0" borderId="99" applyNumberFormat="0" applyFill="0" applyAlignment="0" applyProtection="0"/>
    <xf numFmtId="0" fontId="5" fillId="0" borderId="0"/>
    <xf numFmtId="0" fontId="5" fillId="0" borderId="0"/>
    <xf numFmtId="0" fontId="5" fillId="0" borderId="0"/>
    <xf numFmtId="0" fontId="5" fillId="0" borderId="0"/>
    <xf numFmtId="0" fontId="110" fillId="0" borderId="0"/>
    <xf numFmtId="0" fontId="110" fillId="0" borderId="0"/>
    <xf numFmtId="0" fontId="110" fillId="0" borderId="0"/>
    <xf numFmtId="0" fontId="110"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0" fontId="113" fillId="0" borderId="102" applyNumberFormat="0" applyFill="0" applyAlignment="0" applyProtection="0"/>
    <xf numFmtId="43" fontId="5" fillId="0" borderId="0" applyFont="0" applyFill="0" applyBorder="0" applyAlignment="0" applyProtection="0"/>
  </cellStyleXfs>
  <cellXfs count="2430">
    <xf numFmtId="0" fontId="0" fillId="0" borderId="0" xfId="0"/>
    <xf numFmtId="0" fontId="6" fillId="0" borderId="6" xfId="0" applyFont="1" applyBorder="1"/>
    <xf numFmtId="0" fontId="9" fillId="0" borderId="6" xfId="0" applyFont="1" applyBorder="1" applyAlignment="1">
      <alignment horizontal="left"/>
    </xf>
    <xf numFmtId="43" fontId="6" fillId="0" borderId="6" xfId="1" applyFont="1" applyBorder="1"/>
    <xf numFmtId="43" fontId="6" fillId="0" borderId="6" xfId="1" applyFont="1" applyBorder="1" applyAlignment="1">
      <alignment horizontal="left"/>
    </xf>
    <xf numFmtId="43" fontId="6" fillId="0" borderId="9" xfId="1" applyFont="1" applyBorder="1"/>
    <xf numFmtId="0" fontId="0" fillId="0" borderId="5" xfId="0" applyBorder="1"/>
    <xf numFmtId="0" fontId="0" fillId="0" borderId="6" xfId="0" applyBorder="1"/>
    <xf numFmtId="0" fontId="0" fillId="0" borderId="7" xfId="0" applyBorder="1"/>
    <xf numFmtId="43" fontId="0" fillId="0" borderId="6" xfId="1" applyFont="1" applyBorder="1"/>
    <xf numFmtId="0" fontId="6" fillId="0" borderId="5" xfId="0" applyFont="1" applyBorder="1"/>
    <xf numFmtId="0" fontId="0" fillId="0" borderId="9" xfId="0" applyBorder="1"/>
    <xf numFmtId="0" fontId="0" fillId="0" borderId="10" xfId="0" applyBorder="1"/>
    <xf numFmtId="43" fontId="10" fillId="0" borderId="6" xfId="1" applyFont="1" applyBorder="1" applyAlignment="1">
      <alignment horizontal="right"/>
    </xf>
    <xf numFmtId="0" fontId="7" fillId="0" borderId="6" xfId="0" applyFont="1" applyBorder="1" applyAlignment="1">
      <alignment horizontal="left"/>
    </xf>
    <xf numFmtId="0" fontId="14" fillId="0" borderId="6" xfId="0" applyFont="1" applyBorder="1" applyAlignment="1">
      <alignment horizontal="right"/>
    </xf>
    <xf numFmtId="43" fontId="6" fillId="0" borderId="6" xfId="1" applyFont="1" applyFill="1" applyBorder="1"/>
    <xf numFmtId="0" fontId="0" fillId="0" borderId="6" xfId="0" applyFont="1" applyBorder="1"/>
    <xf numFmtId="43" fontId="0" fillId="0" borderId="7" xfId="0" applyNumberFormat="1" applyBorder="1"/>
    <xf numFmtId="43" fontId="7" fillId="0" borderId="7" xfId="1" applyFont="1" applyBorder="1" applyAlignment="1">
      <alignment horizontal="left" vertical="top" wrapText="1"/>
    </xf>
    <xf numFmtId="0" fontId="7" fillId="0" borderId="6" xfId="0" applyFont="1" applyBorder="1" applyAlignment="1">
      <alignment horizontal="left" vertical="top" wrapText="1"/>
    </xf>
    <xf numFmtId="0" fontId="7" fillId="0" borderId="7" xfId="0" applyFont="1" applyBorder="1" applyAlignment="1">
      <alignment horizontal="left" vertical="top" wrapText="1"/>
    </xf>
    <xf numFmtId="43" fontId="7" fillId="0" borderId="6" xfId="0" applyNumberFormat="1" applyFont="1" applyBorder="1" applyAlignment="1">
      <alignment horizontal="left" vertical="top" wrapText="1"/>
    </xf>
    <xf numFmtId="43" fontId="7" fillId="0" borderId="7" xfId="0" applyNumberFormat="1" applyFont="1" applyBorder="1" applyAlignment="1">
      <alignment horizontal="left" vertical="top" wrapText="1"/>
    </xf>
    <xf numFmtId="0" fontId="14" fillId="0" borderId="7" xfId="0" applyFont="1" applyBorder="1" applyAlignment="1">
      <alignment horizontal="right" vertical="top" wrapText="1"/>
    </xf>
    <xf numFmtId="0" fontId="6" fillId="0" borderId="6" xfId="0" applyFont="1" applyFill="1" applyBorder="1"/>
    <xf numFmtId="0" fontId="10" fillId="0" borderId="7" xfId="0" applyFont="1" applyBorder="1" applyAlignment="1">
      <alignment horizontal="right"/>
    </xf>
    <xf numFmtId="43" fontId="7" fillId="0" borderId="6" xfId="1" applyFont="1" applyBorder="1" applyAlignment="1">
      <alignment horizontal="left" vertical="top" wrapText="1"/>
    </xf>
    <xf numFmtId="43" fontId="14" fillId="0" borderId="6" xfId="1" applyFont="1" applyBorder="1" applyAlignment="1">
      <alignment horizontal="left" vertical="top" wrapText="1"/>
    </xf>
    <xf numFmtId="0" fontId="7" fillId="0" borderId="6" xfId="0" applyFont="1" applyBorder="1" applyAlignment="1">
      <alignment vertical="top" wrapText="1"/>
    </xf>
    <xf numFmtId="43" fontId="14" fillId="0" borderId="6" xfId="1" applyFont="1" applyBorder="1" applyAlignment="1">
      <alignment horizontal="right" vertical="top" wrapText="1"/>
    </xf>
    <xf numFmtId="0" fontId="6" fillId="0" borderId="8" xfId="0" applyFont="1" applyFill="1" applyBorder="1"/>
    <xf numFmtId="0" fontId="10" fillId="0" borderId="9" xfId="0" applyFont="1" applyBorder="1" applyAlignment="1">
      <alignment horizontal="right"/>
    </xf>
    <xf numFmtId="43" fontId="6" fillId="0" borderId="6" xfId="0" applyNumberFormat="1" applyFont="1" applyBorder="1"/>
    <xf numFmtId="43" fontId="7" fillId="0" borderId="6" xfId="0" applyNumberFormat="1" applyFont="1" applyBorder="1" applyAlignment="1">
      <alignment vertical="top" wrapText="1"/>
    </xf>
    <xf numFmtId="43" fontId="14" fillId="0" borderId="7" xfId="1" applyFont="1" applyBorder="1" applyAlignment="1">
      <alignment horizontal="right" vertical="top" wrapText="1"/>
    </xf>
    <xf numFmtId="0" fontId="10" fillId="0" borderId="6" xfId="0" applyFont="1" applyBorder="1" applyAlignment="1">
      <alignment horizontal="right"/>
    </xf>
    <xf numFmtId="0" fontId="22" fillId="0" borderId="6" xfId="0" applyFont="1" applyBorder="1"/>
    <xf numFmtId="43" fontId="10" fillId="0" borderId="7" xfId="0" applyNumberFormat="1" applyFont="1" applyBorder="1" applyAlignment="1">
      <alignment horizontal="right"/>
    </xf>
    <xf numFmtId="43" fontId="6" fillId="0" borderId="7" xfId="0" applyNumberFormat="1" applyFont="1" applyBorder="1" applyAlignment="1">
      <alignment horizontal="left"/>
    </xf>
    <xf numFmtId="0" fontId="0" fillId="0" borderId="6" xfId="0" applyBorder="1" applyAlignment="1">
      <alignment horizontal="left"/>
    </xf>
    <xf numFmtId="12" fontId="0" fillId="0" borderId="6" xfId="0" applyNumberFormat="1" applyFont="1" applyBorder="1"/>
    <xf numFmtId="0" fontId="34" fillId="0" borderId="28" xfId="0" applyFont="1" applyBorder="1" applyAlignment="1">
      <alignment horizontal="center" vertical="center" wrapText="1"/>
    </xf>
    <xf numFmtId="43" fontId="36" fillId="0" borderId="28" xfId="1" applyFont="1" applyBorder="1" applyAlignment="1">
      <alignment vertical="center"/>
    </xf>
    <xf numFmtId="0" fontId="44" fillId="0" borderId="28" xfId="0" applyFont="1" applyBorder="1" applyAlignment="1">
      <alignment horizontal="center" vertical="center" wrapText="1"/>
    </xf>
    <xf numFmtId="0" fontId="44" fillId="0" borderId="28" xfId="0" applyFont="1" applyBorder="1" applyAlignment="1">
      <alignment horizontal="center" vertical="center"/>
    </xf>
    <xf numFmtId="0" fontId="38" fillId="0" borderId="0" xfId="0" applyFont="1" applyAlignment="1">
      <alignment horizontal="left" vertical="center"/>
    </xf>
    <xf numFmtId="0" fontId="39" fillId="0" borderId="0" xfId="0" applyFont="1" applyAlignment="1">
      <alignment horizontal="center" vertical="center"/>
    </xf>
    <xf numFmtId="0" fontId="38" fillId="0" borderId="0" xfId="0" applyFont="1" applyAlignment="1">
      <alignment horizontal="center" vertical="center"/>
    </xf>
    <xf numFmtId="0" fontId="42" fillId="0" borderId="0" xfId="0" applyFont="1" applyBorder="1" applyAlignment="1">
      <alignment horizontal="center" vertical="center"/>
    </xf>
    <xf numFmtId="0" fontId="43" fillId="0" borderId="0" xfId="0" applyFont="1" applyBorder="1" applyAlignment="1">
      <alignment horizontal="center" vertical="center"/>
    </xf>
    <xf numFmtId="0" fontId="44" fillId="0" borderId="11" xfId="0" applyFont="1" applyBorder="1" applyAlignment="1">
      <alignment horizontal="center" vertical="center"/>
    </xf>
    <xf numFmtId="0" fontId="44" fillId="0" borderId="33" xfId="0" applyFont="1" applyBorder="1" applyAlignment="1">
      <alignment horizontal="center" vertical="center"/>
    </xf>
    <xf numFmtId="0" fontId="44" fillId="0" borderId="34" xfId="0" applyFont="1" applyBorder="1" applyAlignment="1">
      <alignment horizontal="center" vertical="center"/>
    </xf>
    <xf numFmtId="0" fontId="44" fillId="0" borderId="35" xfId="0" applyFont="1" applyBorder="1" applyAlignment="1">
      <alignment horizontal="center" vertical="center"/>
    </xf>
    <xf numFmtId="0" fontId="44" fillId="0" borderId="24" xfId="0" applyFont="1" applyBorder="1" applyAlignment="1">
      <alignment horizontal="center" vertical="center"/>
    </xf>
    <xf numFmtId="0" fontId="44" fillId="0" borderId="23" xfId="0" applyFont="1" applyBorder="1" applyAlignment="1">
      <alignment horizontal="center" vertical="center"/>
    </xf>
    <xf numFmtId="0" fontId="44" fillId="0" borderId="9" xfId="0" applyFont="1" applyBorder="1" applyAlignment="1">
      <alignment horizontal="center" vertical="center"/>
    </xf>
    <xf numFmtId="0" fontId="44" fillId="0" borderId="25" xfId="0" applyFont="1" applyBorder="1" applyAlignment="1">
      <alignment horizontal="center" vertical="center"/>
    </xf>
    <xf numFmtId="0" fontId="44" fillId="0" borderId="27" xfId="0" applyFont="1" applyBorder="1" applyAlignment="1">
      <alignment horizontal="center" vertical="center"/>
    </xf>
    <xf numFmtId="43" fontId="44" fillId="0" borderId="29" xfId="1" applyFont="1" applyBorder="1" applyAlignment="1">
      <alignment horizontal="center" vertical="center"/>
    </xf>
    <xf numFmtId="43" fontId="44" fillId="0" borderId="28" xfId="1" applyFont="1" applyBorder="1" applyAlignment="1">
      <alignment horizontal="center" vertical="center"/>
    </xf>
    <xf numFmtId="1" fontId="44" fillId="0" borderId="28" xfId="0" applyNumberFormat="1" applyFont="1" applyBorder="1" applyAlignment="1">
      <alignment horizontal="center" vertical="center"/>
    </xf>
    <xf numFmtId="0" fontId="40" fillId="0" borderId="28" xfId="0" applyFont="1" applyBorder="1" applyAlignment="1">
      <alignment horizontal="center" vertical="center"/>
    </xf>
    <xf numFmtId="0" fontId="44" fillId="0" borderId="30" xfId="0" applyFont="1" applyBorder="1" applyAlignment="1">
      <alignment horizontal="center" vertical="center"/>
    </xf>
    <xf numFmtId="43" fontId="44" fillId="0" borderId="24" xfId="1" applyFont="1" applyBorder="1" applyAlignment="1">
      <alignment horizontal="center" vertical="center"/>
    </xf>
    <xf numFmtId="43" fontId="44" fillId="0" borderId="25" xfId="1" applyFont="1" applyBorder="1" applyAlignment="1">
      <alignment horizontal="center" vertical="center"/>
    </xf>
    <xf numFmtId="0" fontId="44" fillId="0" borderId="43" xfId="0" applyFont="1" applyBorder="1" applyAlignment="1">
      <alignment horizontal="center" vertical="center"/>
    </xf>
    <xf numFmtId="0" fontId="40" fillId="0" borderId="26" xfId="0" applyFont="1" applyBorder="1" applyAlignment="1">
      <alignment horizontal="center" vertical="center"/>
    </xf>
    <xf numFmtId="43" fontId="44" fillId="0" borderId="21" xfId="1" applyFont="1" applyBorder="1" applyAlignment="1">
      <alignment horizontal="center" vertical="center"/>
    </xf>
    <xf numFmtId="43" fontId="44" fillId="0" borderId="22" xfId="1" applyFont="1" applyBorder="1" applyAlignment="1">
      <alignment horizontal="center" vertical="center"/>
    </xf>
    <xf numFmtId="0" fontId="44" fillId="0" borderId="44" xfId="0" applyFont="1" applyBorder="1" applyAlignment="1">
      <alignment horizontal="center" vertical="center"/>
    </xf>
    <xf numFmtId="0" fontId="44" fillId="0" borderId="49" xfId="0" applyFont="1" applyBorder="1" applyAlignment="1">
      <alignment horizontal="center" vertical="center"/>
    </xf>
    <xf numFmtId="49" fontId="40" fillId="0" borderId="27" xfId="0" applyNumberFormat="1" applyFont="1" applyBorder="1" applyAlignment="1">
      <alignment horizontal="center" vertical="center"/>
    </xf>
    <xf numFmtId="165" fontId="40" fillId="0" borderId="28" xfId="1" applyNumberFormat="1" applyFont="1" applyBorder="1" applyAlignment="1">
      <alignment horizontal="center" vertical="center"/>
    </xf>
    <xf numFmtId="165" fontId="40" fillId="0" borderId="29" xfId="1" applyNumberFormat="1" applyFont="1" applyBorder="1" applyAlignment="1">
      <alignment horizontal="center" vertical="center"/>
    </xf>
    <xf numFmtId="0" fontId="44" fillId="0" borderId="45" xfId="0" applyFont="1" applyBorder="1" applyAlignment="1">
      <alignment horizontal="center" vertical="center"/>
    </xf>
    <xf numFmtId="0" fontId="44" fillId="0" borderId="51" xfId="0" applyFont="1" applyBorder="1" applyAlignment="1">
      <alignment horizontal="center" vertical="center"/>
    </xf>
    <xf numFmtId="43" fontId="44" fillId="0" borderId="30" xfId="1" applyFont="1" applyBorder="1" applyAlignment="1">
      <alignment horizontal="center" vertical="center"/>
    </xf>
    <xf numFmtId="0" fontId="42" fillId="0" borderId="0" xfId="0" applyFont="1" applyAlignment="1">
      <alignment horizontal="center" vertical="center"/>
    </xf>
    <xf numFmtId="49" fontId="42" fillId="0" borderId="0" xfId="0" applyNumberFormat="1" applyFont="1" applyBorder="1" applyAlignment="1">
      <alignment horizontal="center" vertical="center"/>
    </xf>
    <xf numFmtId="43" fontId="43" fillId="0" borderId="0" xfId="1" applyFont="1" applyBorder="1" applyAlignment="1">
      <alignment horizontal="center" vertical="center"/>
    </xf>
    <xf numFmtId="0" fontId="45" fillId="0" borderId="0" xfId="0" applyFont="1" applyAlignment="1">
      <alignment horizontal="center" vertical="center"/>
    </xf>
    <xf numFmtId="0" fontId="44" fillId="0" borderId="31" xfId="0" applyFont="1" applyBorder="1" applyAlignment="1">
      <alignment horizontal="center" vertical="center"/>
    </xf>
    <xf numFmtId="0" fontId="44" fillId="0" borderId="26" xfId="0" applyFont="1" applyBorder="1" applyAlignment="1">
      <alignment horizontal="center" vertical="center"/>
    </xf>
    <xf numFmtId="0" fontId="44" fillId="0" borderId="21" xfId="0" applyFont="1" applyBorder="1" applyAlignment="1">
      <alignment horizontal="center" vertical="center"/>
    </xf>
    <xf numFmtId="0" fontId="46" fillId="0" borderId="28" xfId="0" applyFont="1" applyFill="1" applyBorder="1" applyAlignment="1">
      <alignment horizontal="center" vertical="center"/>
    </xf>
    <xf numFmtId="43" fontId="44" fillId="2" borderId="28" xfId="1" applyFont="1" applyFill="1" applyBorder="1" applyAlignment="1">
      <alignment horizontal="center" vertical="center"/>
    </xf>
    <xf numFmtId="43" fontId="40" fillId="0" borderId="28" xfId="1" applyFont="1" applyBorder="1" applyAlignment="1">
      <alignment horizontal="center" vertical="center"/>
    </xf>
    <xf numFmtId="49" fontId="40" fillId="0" borderId="28" xfId="1" applyNumberFormat="1" applyFont="1" applyBorder="1" applyAlignment="1">
      <alignment horizontal="center" vertical="center"/>
    </xf>
    <xf numFmtId="43" fontId="40" fillId="0" borderId="29" xfId="1" applyFont="1" applyBorder="1" applyAlignment="1">
      <alignment horizontal="center" vertical="center"/>
    </xf>
    <xf numFmtId="49" fontId="44" fillId="0" borderId="30" xfId="0" applyNumberFormat="1" applyFont="1" applyBorder="1" applyAlignment="1">
      <alignment horizontal="center" vertical="center"/>
    </xf>
    <xf numFmtId="43" fontId="40" fillId="0" borderId="24" xfId="1" applyFont="1" applyBorder="1" applyAlignment="1">
      <alignment horizontal="center" vertical="center"/>
    </xf>
    <xf numFmtId="43" fontId="40" fillId="0" borderId="25" xfId="1" applyFont="1" applyBorder="1" applyAlignment="1">
      <alignment horizontal="center" vertical="center"/>
    </xf>
    <xf numFmtId="0" fontId="44" fillId="0" borderId="0" xfId="0" applyFont="1" applyAlignment="1">
      <alignment horizontal="center" vertical="center"/>
    </xf>
    <xf numFmtId="49" fontId="44" fillId="0" borderId="0" xfId="0" applyNumberFormat="1" applyFont="1" applyBorder="1" applyAlignment="1">
      <alignment horizontal="center" vertical="center"/>
    </xf>
    <xf numFmtId="43" fontId="40" fillId="0" borderId="0" xfId="1" applyFont="1" applyBorder="1" applyAlignment="1">
      <alignment horizontal="center" vertical="center"/>
    </xf>
    <xf numFmtId="0" fontId="47" fillId="0" borderId="0" xfId="0" applyFont="1" applyAlignment="1">
      <alignment horizontal="center" vertical="center"/>
    </xf>
    <xf numFmtId="0" fontId="39" fillId="0" borderId="29" xfId="0" applyFont="1" applyBorder="1" applyAlignment="1">
      <alignment horizontal="center" vertical="center"/>
    </xf>
    <xf numFmtId="0" fontId="39" fillId="0" borderId="28" xfId="0" applyFont="1" applyBorder="1" applyAlignment="1">
      <alignment horizontal="center" vertical="center"/>
    </xf>
    <xf numFmtId="0" fontId="39" fillId="0" borderId="57" xfId="0" applyFont="1" applyBorder="1" applyAlignment="1">
      <alignment horizontal="center" vertical="center"/>
    </xf>
    <xf numFmtId="0" fontId="44" fillId="0" borderId="36" xfId="0" applyFont="1" applyBorder="1" applyAlignment="1">
      <alignment horizontal="center" vertical="center"/>
    </xf>
    <xf numFmtId="0" fontId="39" fillId="0" borderId="37" xfId="0" applyFont="1" applyBorder="1" applyAlignment="1">
      <alignment horizontal="center" vertical="center"/>
    </xf>
    <xf numFmtId="0" fontId="33" fillId="0" borderId="0" xfId="0" applyFont="1" applyBorder="1" applyAlignment="1">
      <alignment vertical="center"/>
    </xf>
    <xf numFmtId="0" fontId="33" fillId="0" borderId="0" xfId="0" applyFont="1" applyAlignment="1">
      <alignment vertical="center"/>
    </xf>
    <xf numFmtId="0" fontId="35" fillId="0" borderId="0" xfId="0" applyFont="1" applyAlignment="1">
      <alignment vertical="center"/>
    </xf>
    <xf numFmtId="0" fontId="34" fillId="0" borderId="21" xfId="0" applyFont="1" applyBorder="1" applyAlignment="1">
      <alignment horizontal="center" vertical="center"/>
    </xf>
    <xf numFmtId="1" fontId="34" fillId="0" borderId="21" xfId="0" applyNumberFormat="1" applyFont="1" applyBorder="1" applyAlignment="1">
      <alignment horizontal="center" vertical="center"/>
    </xf>
    <xf numFmtId="43" fontId="34" fillId="0" borderId="21" xfId="1" applyFont="1" applyBorder="1" applyAlignment="1">
      <alignment horizontal="center" vertical="center"/>
    </xf>
    <xf numFmtId="0" fontId="33" fillId="0" borderId="37" xfId="0" applyFont="1" applyBorder="1" applyAlignment="1">
      <alignment vertical="center"/>
    </xf>
    <xf numFmtId="0" fontId="34" fillId="0" borderId="28" xfId="0" applyFont="1" applyBorder="1" applyAlignment="1">
      <alignment horizontal="center" vertical="center"/>
    </xf>
    <xf numFmtId="2" fontId="34" fillId="0" borderId="28" xfId="0" applyNumberFormat="1" applyFont="1" applyBorder="1" applyAlignment="1">
      <alignment horizontal="center" vertical="center"/>
    </xf>
    <xf numFmtId="1" fontId="34" fillId="0" borderId="28" xfId="0" applyNumberFormat="1" applyFont="1" applyBorder="1" applyAlignment="1">
      <alignment horizontal="center" vertical="center"/>
    </xf>
    <xf numFmtId="43" fontId="34" fillId="0" borderId="28" xfId="1" applyFont="1" applyBorder="1" applyAlignment="1">
      <alignment horizontal="center" vertical="center"/>
    </xf>
    <xf numFmtId="0" fontId="33" fillId="0" borderId="28" xfId="0" applyFont="1" applyBorder="1" applyAlignment="1">
      <alignment vertical="center"/>
    </xf>
    <xf numFmtId="0" fontId="34" fillId="2" borderId="28" xfId="0" applyFont="1" applyFill="1" applyBorder="1" applyAlignment="1">
      <alignment horizontal="center" vertical="center"/>
    </xf>
    <xf numFmtId="2" fontId="34" fillId="2" borderId="28" xfId="0" applyNumberFormat="1" applyFont="1" applyFill="1" applyBorder="1" applyAlignment="1">
      <alignment horizontal="center" vertical="center"/>
    </xf>
    <xf numFmtId="43" fontId="34" fillId="2" borderId="28" xfId="1" applyFont="1" applyFill="1" applyBorder="1" applyAlignment="1">
      <alignment horizontal="center" vertical="center"/>
    </xf>
    <xf numFmtId="43" fontId="36" fillId="0" borderId="21" xfId="1" applyFont="1" applyBorder="1" applyAlignment="1">
      <alignment vertical="center"/>
    </xf>
    <xf numFmtId="43" fontId="36" fillId="0" borderId="28" xfId="1" applyFont="1" applyBorder="1" applyAlignment="1">
      <alignment horizontal="center" vertical="center"/>
    </xf>
    <xf numFmtId="43" fontId="37" fillId="0" borderId="24" xfId="1" applyFont="1" applyBorder="1" applyAlignment="1">
      <alignment horizontal="center" vertical="center"/>
    </xf>
    <xf numFmtId="0" fontId="36" fillId="0" borderId="0" xfId="0" applyFont="1" applyBorder="1" applyAlignment="1">
      <alignment vertical="center"/>
    </xf>
    <xf numFmtId="43" fontId="37" fillId="0" borderId="0" xfId="1" applyFont="1" applyBorder="1" applyAlignment="1">
      <alignment horizontal="center" vertical="center"/>
    </xf>
    <xf numFmtId="0" fontId="36" fillId="0" borderId="31" xfId="0" applyFont="1" applyBorder="1" applyAlignment="1">
      <alignment vertical="center"/>
    </xf>
    <xf numFmtId="0" fontId="36" fillId="0" borderId="35" xfId="0" applyFont="1" applyBorder="1" applyAlignment="1">
      <alignment horizontal="center" vertical="center"/>
    </xf>
    <xf numFmtId="0" fontId="36" fillId="0" borderId="35" xfId="0" applyFont="1" applyBorder="1" applyAlignment="1">
      <alignment vertical="center"/>
    </xf>
    <xf numFmtId="0" fontId="36" fillId="0" borderId="24" xfId="0" applyFont="1" applyBorder="1" applyAlignment="1">
      <alignment vertical="center"/>
    </xf>
    <xf numFmtId="0" fontId="36" fillId="0" borderId="23" xfId="0" applyFont="1" applyBorder="1" applyAlignment="1">
      <alignment vertical="center"/>
    </xf>
    <xf numFmtId="0" fontId="36" fillId="0" borderId="9" xfId="0" applyFont="1" applyBorder="1" applyAlignment="1">
      <alignment vertical="center"/>
    </xf>
    <xf numFmtId="0" fontId="33" fillId="0" borderId="9" xfId="0" applyFont="1" applyBorder="1" applyAlignment="1">
      <alignment vertical="center"/>
    </xf>
    <xf numFmtId="0" fontId="36" fillId="0" borderId="26" xfId="0" applyFont="1" applyBorder="1" applyAlignment="1">
      <alignment vertical="center"/>
    </xf>
    <xf numFmtId="0" fontId="36" fillId="0" borderId="21" xfId="0" applyFont="1" applyBorder="1" applyAlignment="1">
      <alignment horizontal="center" vertical="center"/>
    </xf>
    <xf numFmtId="0" fontId="33" fillId="0" borderId="21" xfId="0" applyFont="1" applyBorder="1" applyAlignment="1">
      <alignment horizontal="center" vertical="center"/>
    </xf>
    <xf numFmtId="0" fontId="36" fillId="0" borderId="27" xfId="0" applyFont="1" applyBorder="1" applyAlignment="1">
      <alignment vertical="center"/>
    </xf>
    <xf numFmtId="0" fontId="36" fillId="0" borderId="28" xfId="0" applyFont="1" applyBorder="1" applyAlignment="1">
      <alignment horizontal="center" vertical="center"/>
    </xf>
    <xf numFmtId="0" fontId="33" fillId="0" borderId="28" xfId="0" applyFont="1" applyBorder="1" applyAlignment="1">
      <alignment horizontal="center" vertical="center"/>
    </xf>
    <xf numFmtId="43" fontId="33" fillId="0" borderId="28" xfId="1" applyFont="1" applyBorder="1" applyAlignment="1">
      <alignment vertical="center"/>
    </xf>
    <xf numFmtId="0" fontId="33" fillId="0" borderId="27" xfId="0" applyFont="1" applyBorder="1" applyAlignment="1">
      <alignment vertical="center"/>
    </xf>
    <xf numFmtId="0" fontId="33" fillId="0" borderId="30" xfId="0" applyFont="1" applyBorder="1" applyAlignment="1">
      <alignment vertical="center"/>
    </xf>
    <xf numFmtId="0" fontId="36" fillId="0" borderId="33" xfId="0" applyFont="1" applyBorder="1" applyAlignment="1">
      <alignment vertical="center"/>
    </xf>
    <xf numFmtId="0" fontId="36" fillId="0" borderId="27" xfId="0" applyFont="1" applyBorder="1" applyAlignment="1">
      <alignment horizontal="center" vertical="center"/>
    </xf>
    <xf numFmtId="43" fontId="36" fillId="0" borderId="28" xfId="1" applyFont="1" applyBorder="1" applyAlignment="1">
      <alignment horizontal="right" vertical="center"/>
    </xf>
    <xf numFmtId="0" fontId="37" fillId="0" borderId="28" xfId="0" applyFont="1" applyBorder="1" applyAlignment="1">
      <alignment horizontal="center" vertical="center"/>
    </xf>
    <xf numFmtId="0" fontId="31" fillId="0" borderId="28" xfId="0" applyFont="1" applyFill="1" applyBorder="1" applyAlignment="1">
      <alignment horizontal="center" vertical="center"/>
    </xf>
    <xf numFmtId="0" fontId="36" fillId="0" borderId="28" xfId="0" applyFont="1" applyBorder="1" applyAlignment="1">
      <alignment vertical="center"/>
    </xf>
    <xf numFmtId="0" fontId="36" fillId="0" borderId="24" xfId="0" applyFont="1" applyBorder="1" applyAlignment="1">
      <alignment horizontal="center" vertical="center"/>
    </xf>
    <xf numFmtId="43" fontId="36" fillId="0" borderId="24" xfId="1" applyFont="1" applyBorder="1" applyAlignment="1">
      <alignment horizontal="right" vertical="center"/>
    </xf>
    <xf numFmtId="0" fontId="36" fillId="0" borderId="43" xfId="0" applyFont="1" applyBorder="1" applyAlignment="1">
      <alignment vertical="center"/>
    </xf>
    <xf numFmtId="0" fontId="36" fillId="0" borderId="44" xfId="0" applyFont="1" applyBorder="1" applyAlignment="1">
      <alignment vertical="center"/>
    </xf>
    <xf numFmtId="0" fontId="36" fillId="0" borderId="49" xfId="0" applyFont="1" applyBorder="1" applyAlignment="1">
      <alignment vertical="center"/>
    </xf>
    <xf numFmtId="0" fontId="36" fillId="0" borderId="45" xfId="0" applyFont="1" applyBorder="1" applyAlignment="1">
      <alignment vertical="center"/>
    </xf>
    <xf numFmtId="0" fontId="36" fillId="0" borderId="51" xfId="0" applyFont="1" applyBorder="1" applyAlignment="1">
      <alignment vertical="center"/>
    </xf>
    <xf numFmtId="0" fontId="36" fillId="0" borderId="28" xfId="0" applyFont="1" applyBorder="1" applyAlignment="1">
      <alignment horizontal="left" vertical="center"/>
    </xf>
    <xf numFmtId="43" fontId="36" fillId="0" borderId="28" xfId="0" applyNumberFormat="1" applyFont="1" applyBorder="1" applyAlignment="1">
      <alignment vertical="center"/>
    </xf>
    <xf numFmtId="0" fontId="33" fillId="0" borderId="28" xfId="0" applyFont="1" applyBorder="1" applyAlignment="1">
      <alignment horizontal="center" vertical="center" wrapText="1"/>
    </xf>
    <xf numFmtId="0" fontId="36" fillId="0" borderId="49" xfId="0" applyFont="1" applyBorder="1" applyAlignment="1">
      <alignment horizontal="center" vertical="center"/>
    </xf>
    <xf numFmtId="0" fontId="36" fillId="0" borderId="51" xfId="0" applyFont="1" applyBorder="1" applyAlignment="1">
      <alignment horizontal="center" vertical="center"/>
    </xf>
    <xf numFmtId="0" fontId="36" fillId="0" borderId="0" xfId="0" applyFont="1" applyBorder="1" applyAlignment="1">
      <alignment horizontal="center" vertical="center"/>
    </xf>
    <xf numFmtId="0" fontId="33" fillId="0" borderId="0" xfId="0" applyFont="1" applyAlignment="1">
      <alignment horizontal="center" vertical="center"/>
    </xf>
    <xf numFmtId="0" fontId="33" fillId="0" borderId="0" xfId="0" applyFont="1" applyBorder="1" applyAlignment="1">
      <alignment horizontal="center" vertical="center"/>
    </xf>
    <xf numFmtId="0" fontId="4" fillId="0" borderId="0" xfId="0" applyFont="1" applyAlignment="1">
      <alignment horizontal="center" vertical="center"/>
    </xf>
    <xf numFmtId="0" fontId="0" fillId="0" borderId="28" xfId="0" applyFont="1" applyBorder="1" applyAlignment="1">
      <alignment horizontal="center" vertical="center"/>
    </xf>
    <xf numFmtId="0" fontId="4" fillId="0" borderId="0" xfId="0" applyFont="1" applyBorder="1" applyAlignment="1">
      <alignment horizontal="center" vertical="center"/>
    </xf>
    <xf numFmtId="0" fontId="17" fillId="0" borderId="0" xfId="0" applyFont="1" applyBorder="1" applyAlignment="1">
      <alignment horizontal="center" vertical="center"/>
    </xf>
    <xf numFmtId="0" fontId="0" fillId="0" borderId="0" xfId="0" applyFont="1" applyAlignment="1">
      <alignment horizontal="center" vertical="center"/>
    </xf>
    <xf numFmtId="0" fontId="22" fillId="0" borderId="22" xfId="0" applyFont="1" applyBorder="1" applyAlignment="1">
      <alignment horizontal="center" vertical="center"/>
    </xf>
    <xf numFmtId="0" fontId="22" fillId="0" borderId="24" xfId="0" applyFont="1" applyBorder="1" applyAlignment="1">
      <alignment horizontal="center" vertical="center"/>
    </xf>
    <xf numFmtId="0" fontId="22" fillId="0" borderId="25" xfId="0" applyFont="1" applyBorder="1" applyAlignment="1">
      <alignment horizontal="center" vertical="center"/>
    </xf>
    <xf numFmtId="0" fontId="22" fillId="0" borderId="27" xfId="0" applyFont="1" applyBorder="1" applyAlignment="1">
      <alignment horizontal="center" vertical="center"/>
    </xf>
    <xf numFmtId="0" fontId="26" fillId="0" borderId="28" xfId="0" applyFont="1" applyBorder="1" applyAlignment="1">
      <alignment horizontal="center" vertical="center" wrapText="1"/>
    </xf>
    <xf numFmtId="0" fontId="26" fillId="0" borderId="28" xfId="0" applyFont="1" applyBorder="1" applyAlignment="1">
      <alignment horizontal="center" vertical="center"/>
    </xf>
    <xf numFmtId="2" fontId="26" fillId="0" borderId="28" xfId="0" applyNumberFormat="1" applyFont="1" applyBorder="1" applyAlignment="1">
      <alignment horizontal="center" vertical="center"/>
    </xf>
    <xf numFmtId="1" fontId="26" fillId="0" borderId="28" xfId="0" applyNumberFormat="1" applyFont="1" applyBorder="1" applyAlignment="1">
      <alignment horizontal="center" vertical="center"/>
    </xf>
    <xf numFmtId="43" fontId="26" fillId="0" borderId="28" xfId="1" applyFont="1" applyBorder="1" applyAlignment="1">
      <alignment horizontal="center" vertical="center"/>
    </xf>
    <xf numFmtId="43" fontId="26" fillId="0" borderId="29" xfId="1" applyFont="1" applyBorder="1" applyAlignment="1">
      <alignment horizontal="center" vertical="center"/>
    </xf>
    <xf numFmtId="0" fontId="23" fillId="0" borderId="28" xfId="0" applyFont="1" applyBorder="1" applyAlignment="1">
      <alignment horizontal="center" vertical="center" wrapText="1"/>
    </xf>
    <xf numFmtId="0" fontId="23" fillId="0" borderId="28" xfId="0" applyFont="1" applyBorder="1" applyAlignment="1">
      <alignment horizontal="center" vertical="center"/>
    </xf>
    <xf numFmtId="2" fontId="23" fillId="0" borderId="28" xfId="0" applyNumberFormat="1" applyFont="1" applyBorder="1" applyAlignment="1">
      <alignment horizontal="center" vertical="center"/>
    </xf>
    <xf numFmtId="43" fontId="23" fillId="0" borderId="28" xfId="1" applyFont="1" applyBorder="1" applyAlignment="1">
      <alignment horizontal="center" vertical="center"/>
    </xf>
    <xf numFmtId="43" fontId="22" fillId="0" borderId="29" xfId="1" applyFont="1" applyBorder="1" applyAlignment="1">
      <alignment horizontal="center" vertical="center"/>
    </xf>
    <xf numFmtId="43" fontId="17" fillId="0" borderId="29" xfId="1" applyFont="1" applyBorder="1" applyAlignment="1">
      <alignment horizontal="center" vertical="center"/>
    </xf>
    <xf numFmtId="0" fontId="23" fillId="0" borderId="24" xfId="0" applyFont="1" applyBorder="1" applyAlignment="1">
      <alignment horizontal="center" vertical="center" wrapText="1"/>
    </xf>
    <xf numFmtId="0" fontId="26" fillId="0" borderId="24" xfId="0" applyFont="1" applyBorder="1" applyAlignment="1">
      <alignment horizontal="center" vertical="center"/>
    </xf>
    <xf numFmtId="0" fontId="23" fillId="0" borderId="24" xfId="0" applyFont="1" applyBorder="1" applyAlignment="1">
      <alignment horizontal="center" vertical="center"/>
    </xf>
    <xf numFmtId="2" fontId="23" fillId="0" borderId="24" xfId="0" applyNumberFormat="1" applyFont="1" applyBorder="1" applyAlignment="1">
      <alignment horizontal="center" vertical="center"/>
    </xf>
    <xf numFmtId="43" fontId="23" fillId="0" borderId="24" xfId="1" applyFont="1" applyBorder="1" applyAlignment="1">
      <alignment horizontal="center" vertical="center"/>
    </xf>
    <xf numFmtId="43" fontId="17" fillId="0" borderId="25" xfId="1" applyFont="1" applyBorder="1" applyAlignment="1">
      <alignment horizontal="center" vertical="center"/>
    </xf>
    <xf numFmtId="0" fontId="22" fillId="0" borderId="43" xfId="0" applyFont="1" applyBorder="1" applyAlignment="1">
      <alignment horizontal="center" vertical="center"/>
    </xf>
    <xf numFmtId="0" fontId="23" fillId="0" borderId="33" xfId="0" applyFont="1" applyBorder="1" applyAlignment="1">
      <alignment horizontal="center" vertical="center" wrapText="1"/>
    </xf>
    <xf numFmtId="0" fontId="26" fillId="0" borderId="33" xfId="0" applyFont="1" applyBorder="1" applyAlignment="1">
      <alignment horizontal="center" vertical="center"/>
    </xf>
    <xf numFmtId="0" fontId="23" fillId="0" borderId="33" xfId="0" applyFont="1" applyBorder="1" applyAlignment="1">
      <alignment horizontal="center" vertical="center"/>
    </xf>
    <xf numFmtId="0" fontId="17" fillId="0" borderId="26" xfId="0" applyFont="1" applyBorder="1" applyAlignment="1">
      <alignment horizontal="center" vertical="center"/>
    </xf>
    <xf numFmtId="43" fontId="22" fillId="0" borderId="21" xfId="1" applyFont="1" applyBorder="1" applyAlignment="1">
      <alignment horizontal="center" vertical="center"/>
    </xf>
    <xf numFmtId="43" fontId="22" fillId="0" borderId="22" xfId="1" applyFont="1" applyBorder="1" applyAlignment="1">
      <alignment horizontal="center" vertical="center"/>
    </xf>
    <xf numFmtId="0" fontId="22" fillId="0" borderId="44" xfId="0" applyFont="1" applyBorder="1" applyAlignment="1">
      <alignment horizontal="center" vertical="center"/>
    </xf>
    <xf numFmtId="0" fontId="23" fillId="0" borderId="49" xfId="0" applyFont="1" applyBorder="1" applyAlignment="1">
      <alignment horizontal="center" vertical="center" wrapText="1"/>
    </xf>
    <xf numFmtId="0" fontId="23" fillId="0" borderId="49" xfId="0" applyFont="1" applyBorder="1" applyAlignment="1">
      <alignment horizontal="center" vertical="center"/>
    </xf>
    <xf numFmtId="0" fontId="22" fillId="0" borderId="49" xfId="0" applyFont="1" applyBorder="1" applyAlignment="1">
      <alignment horizontal="center" vertical="center"/>
    </xf>
    <xf numFmtId="49" fontId="17" fillId="0" borderId="27" xfId="0" applyNumberFormat="1" applyFont="1" applyBorder="1" applyAlignment="1">
      <alignment horizontal="center" vertical="center"/>
    </xf>
    <xf numFmtId="43" fontId="17" fillId="0" borderId="28" xfId="1" applyFont="1" applyBorder="1" applyAlignment="1">
      <alignment horizontal="center" vertical="center"/>
    </xf>
    <xf numFmtId="49" fontId="17" fillId="0" borderId="28" xfId="1" applyNumberFormat="1" applyFont="1" applyBorder="1" applyAlignment="1">
      <alignment horizontal="center" vertical="center"/>
    </xf>
    <xf numFmtId="0" fontId="0" fillId="0" borderId="45" xfId="0" applyFont="1" applyBorder="1" applyAlignment="1">
      <alignment horizontal="center" vertical="center"/>
    </xf>
    <xf numFmtId="0" fontId="0" fillId="0" borderId="51" xfId="0" applyFont="1" applyBorder="1" applyAlignment="1">
      <alignment horizontal="center" vertical="center"/>
    </xf>
    <xf numFmtId="0" fontId="22" fillId="0" borderId="51" xfId="0" applyFont="1" applyBorder="1" applyAlignment="1">
      <alignment horizontal="center" vertical="center"/>
    </xf>
    <xf numFmtId="49" fontId="22" fillId="0" borderId="30" xfId="0" applyNumberFormat="1" applyFont="1" applyBorder="1" applyAlignment="1">
      <alignment horizontal="center" vertical="center"/>
    </xf>
    <xf numFmtId="43" fontId="17" fillId="0" borderId="24" xfId="1" applyFont="1" applyBorder="1" applyAlignment="1">
      <alignment horizontal="center" vertical="center"/>
    </xf>
    <xf numFmtId="0" fontId="22" fillId="0" borderId="35" xfId="0" applyFont="1" applyBorder="1" applyAlignment="1">
      <alignment horizontal="center" vertical="center"/>
    </xf>
    <xf numFmtId="0" fontId="0" fillId="0" borderId="28" xfId="0" applyFont="1" applyBorder="1" applyAlignment="1">
      <alignment horizontal="center" vertical="center" wrapText="1"/>
    </xf>
    <xf numFmtId="0" fontId="22" fillId="0" borderId="28" xfId="0" applyFont="1" applyBorder="1" applyAlignment="1">
      <alignment horizontal="center" vertical="center"/>
    </xf>
    <xf numFmtId="2" fontId="0" fillId="0" borderId="28" xfId="0" applyNumberFormat="1" applyFont="1" applyBorder="1" applyAlignment="1">
      <alignment horizontal="center" vertical="center"/>
    </xf>
    <xf numFmtId="43" fontId="22" fillId="0" borderId="28" xfId="1" applyFont="1" applyBorder="1" applyAlignment="1">
      <alignment horizontal="center" vertical="center"/>
    </xf>
    <xf numFmtId="0" fontId="0" fillId="0" borderId="27" xfId="0" applyFont="1" applyBorder="1" applyAlignment="1">
      <alignment horizontal="center" vertical="center"/>
    </xf>
    <xf numFmtId="43" fontId="22" fillId="0" borderId="24" xfId="1" applyFont="1" applyBorder="1" applyAlignment="1">
      <alignment horizontal="center" vertical="center"/>
    </xf>
    <xf numFmtId="43" fontId="22" fillId="0" borderId="25" xfId="1" applyFont="1" applyBorder="1" applyAlignment="1">
      <alignment horizontal="center" vertical="center"/>
    </xf>
    <xf numFmtId="0" fontId="22" fillId="0" borderId="45" xfId="0" applyFont="1" applyBorder="1" applyAlignment="1">
      <alignment horizontal="center" vertical="center"/>
    </xf>
    <xf numFmtId="43" fontId="22" fillId="0" borderId="21" xfId="0" applyNumberFormat="1" applyFont="1" applyBorder="1" applyAlignment="1">
      <alignment horizontal="center" vertical="center"/>
    </xf>
    <xf numFmtId="43" fontId="22" fillId="0" borderId="22" xfId="0" applyNumberFormat="1" applyFont="1" applyBorder="1" applyAlignment="1">
      <alignment horizontal="center" vertical="center"/>
    </xf>
    <xf numFmtId="43" fontId="22" fillId="0" borderId="28" xfId="0" applyNumberFormat="1" applyFont="1" applyBorder="1" applyAlignment="1">
      <alignment horizontal="center" vertical="center"/>
    </xf>
    <xf numFmtId="0" fontId="22" fillId="0" borderId="29" xfId="0" applyFont="1" applyBorder="1" applyAlignment="1">
      <alignment horizontal="center" vertical="center"/>
    </xf>
    <xf numFmtId="49" fontId="22" fillId="0" borderId="28" xfId="1" applyNumberFormat="1" applyFont="1" applyBorder="1" applyAlignment="1">
      <alignment horizontal="center" vertical="center"/>
    </xf>
    <xf numFmtId="43" fontId="22" fillId="0" borderId="28" xfId="1" applyFont="1" applyFill="1" applyBorder="1" applyAlignment="1">
      <alignment horizontal="center" vertical="center"/>
    </xf>
    <xf numFmtId="0" fontId="22" fillId="0" borderId="28" xfId="0" applyFont="1" applyFill="1" applyBorder="1" applyAlignment="1">
      <alignment horizontal="center" vertical="center"/>
    </xf>
    <xf numFmtId="43" fontId="0" fillId="0" borderId="28" xfId="0" applyNumberFormat="1" applyFont="1" applyBorder="1" applyAlignment="1">
      <alignment horizontal="center" vertical="center"/>
    </xf>
    <xf numFmtId="0" fontId="22" fillId="0" borderId="56" xfId="0" applyFont="1" applyBorder="1" applyAlignment="1">
      <alignment horizontal="center" vertical="center"/>
    </xf>
    <xf numFmtId="0" fontId="22" fillId="0" borderId="47" xfId="0" applyFont="1" applyBorder="1" applyAlignment="1">
      <alignment horizontal="center" vertical="center"/>
    </xf>
    <xf numFmtId="43" fontId="22" fillId="0" borderId="47" xfId="1" applyFont="1" applyBorder="1" applyAlignment="1">
      <alignment horizontal="center" vertical="center"/>
    </xf>
    <xf numFmtId="43" fontId="22" fillId="0" borderId="24" xfId="0" applyNumberFormat="1" applyFont="1" applyBorder="1" applyAlignment="1">
      <alignment horizontal="center" vertical="center"/>
    </xf>
    <xf numFmtId="43" fontId="33" fillId="0" borderId="6" xfId="1" applyFont="1" applyBorder="1"/>
    <xf numFmtId="0" fontId="33" fillId="0" borderId="6" xfId="0" applyFont="1" applyBorder="1"/>
    <xf numFmtId="0" fontId="33" fillId="0" borderId="6" xfId="0" applyFont="1" applyBorder="1" applyAlignment="1">
      <alignment horizontal="left"/>
    </xf>
    <xf numFmtId="43" fontId="33" fillId="0" borderId="6" xfId="1" applyFont="1" applyBorder="1" applyAlignment="1">
      <alignment horizontal="left"/>
    </xf>
    <xf numFmtId="0" fontId="59" fillId="0" borderId="28" xfId="3" applyFont="1" applyBorder="1" applyAlignment="1">
      <alignment horizontal="center" vertical="center"/>
    </xf>
    <xf numFmtId="0" fontId="58" fillId="0" borderId="28" xfId="3" applyFont="1" applyBorder="1" applyAlignment="1">
      <alignment horizontal="center" vertical="center"/>
    </xf>
    <xf numFmtId="43" fontId="57" fillId="0" borderId="28" xfId="1" applyFont="1" applyBorder="1" applyAlignment="1">
      <alignment vertical="center"/>
    </xf>
    <xf numFmtId="2" fontId="39" fillId="0" borderId="28" xfId="0" applyNumberFormat="1" applyFont="1" applyBorder="1" applyAlignment="1">
      <alignment vertical="center"/>
    </xf>
    <xf numFmtId="2" fontId="39" fillId="0" borderId="24" xfId="0" applyNumberFormat="1" applyFont="1" applyBorder="1" applyAlignment="1">
      <alignment vertical="center"/>
    </xf>
    <xf numFmtId="0" fontId="56" fillId="0" borderId="28" xfId="3" applyFont="1" applyBorder="1" applyAlignment="1">
      <alignment horizontal="center" vertical="center"/>
    </xf>
    <xf numFmtId="0" fontId="39" fillId="0" borderId="21" xfId="0" applyFont="1" applyBorder="1" applyAlignment="1">
      <alignment vertical="center"/>
    </xf>
    <xf numFmtId="0" fontId="39" fillId="0" borderId="28" xfId="0" applyFont="1" applyBorder="1" applyAlignment="1">
      <alignment vertical="center"/>
    </xf>
    <xf numFmtId="0" fontId="39" fillId="0" borderId="21" xfId="0" applyFont="1" applyBorder="1" applyAlignment="1">
      <alignment horizontal="center" vertical="center"/>
    </xf>
    <xf numFmtId="0" fontId="58" fillId="0" borderId="24" xfId="3" applyFont="1" applyBorder="1" applyAlignment="1">
      <alignment horizontal="center" vertical="center"/>
    </xf>
    <xf numFmtId="0" fontId="58" fillId="0" borderId="33" xfId="3" applyFont="1" applyBorder="1" applyAlignment="1">
      <alignment horizontal="center" vertical="center"/>
    </xf>
    <xf numFmtId="0" fontId="63" fillId="0" borderId="0" xfId="5"/>
    <xf numFmtId="0" fontId="5" fillId="0" borderId="0" xfId="5" applyFont="1"/>
    <xf numFmtId="0" fontId="15" fillId="0" borderId="60" xfId="5" applyFont="1" applyBorder="1"/>
    <xf numFmtId="0" fontId="15" fillId="0" borderId="0" xfId="5" applyFont="1"/>
    <xf numFmtId="0" fontId="15" fillId="0" borderId="0" xfId="5" applyFont="1" applyAlignment="1">
      <alignment horizontal="right"/>
    </xf>
    <xf numFmtId="4" fontId="15" fillId="0" borderId="0" xfId="5" applyNumberFormat="1" applyFont="1" applyAlignment="1">
      <alignment horizontal="right"/>
    </xf>
    <xf numFmtId="4" fontId="15" fillId="0" borderId="0" xfId="5" applyNumberFormat="1" applyFont="1"/>
    <xf numFmtId="4" fontId="15" fillId="0" borderId="0" xfId="5" applyNumberFormat="1" applyFont="1" applyAlignment="1">
      <alignment horizontal="center"/>
    </xf>
    <xf numFmtId="0" fontId="15" fillId="0" borderId="47" xfId="5" applyFont="1" applyBorder="1" applyAlignment="1">
      <alignment horizontal="center"/>
    </xf>
    <xf numFmtId="0" fontId="15" fillId="0" borderId="69" xfId="5" applyFont="1" applyBorder="1" applyAlignment="1">
      <alignment horizontal="center"/>
    </xf>
    <xf numFmtId="0" fontId="15" fillId="0" borderId="37" xfId="5" applyFont="1" applyBorder="1" applyAlignment="1">
      <alignment horizontal="center"/>
    </xf>
    <xf numFmtId="0" fontId="15" fillId="0" borderId="38" xfId="5" applyFont="1" applyBorder="1" applyAlignment="1">
      <alignment horizontal="center"/>
    </xf>
    <xf numFmtId="0" fontId="15" fillId="2" borderId="58" xfId="5" applyFont="1" applyFill="1" applyBorder="1" applyAlignment="1">
      <alignment horizontal="center"/>
    </xf>
    <xf numFmtId="43" fontId="15" fillId="0" borderId="59" xfId="8" applyFont="1" applyBorder="1"/>
    <xf numFmtId="0" fontId="15" fillId="0" borderId="59" xfId="5" applyFont="1" applyBorder="1"/>
    <xf numFmtId="0" fontId="15" fillId="0" borderId="70" xfId="5" applyFont="1" applyBorder="1"/>
    <xf numFmtId="43" fontId="15" fillId="0" borderId="60" xfId="8" applyFont="1" applyBorder="1"/>
    <xf numFmtId="43" fontId="15" fillId="0" borderId="60" xfId="5" applyNumberFormat="1" applyFont="1" applyBorder="1"/>
    <xf numFmtId="43" fontId="15" fillId="0" borderId="71" xfId="5" applyNumberFormat="1" applyFont="1" applyBorder="1"/>
    <xf numFmtId="0" fontId="15" fillId="0" borderId="61" xfId="5" applyFont="1" applyBorder="1" applyAlignment="1"/>
    <xf numFmtId="0" fontId="15" fillId="0" borderId="63" xfId="5" applyFont="1" applyBorder="1" applyAlignment="1"/>
    <xf numFmtId="0" fontId="15" fillId="0" borderId="62" xfId="5" applyFont="1" applyBorder="1" applyAlignment="1"/>
    <xf numFmtId="0" fontId="15" fillId="0" borderId="30" xfId="5" applyFont="1" applyBorder="1"/>
    <xf numFmtId="0" fontId="15" fillId="0" borderId="51" xfId="5" applyFont="1" applyBorder="1" applyAlignment="1"/>
    <xf numFmtId="43" fontId="15" fillId="0" borderId="24" xfId="5" applyNumberFormat="1" applyFont="1" applyBorder="1" applyAlignment="1"/>
    <xf numFmtId="43" fontId="15" fillId="0" borderId="25" xfId="8" applyFont="1" applyBorder="1"/>
    <xf numFmtId="0" fontId="15" fillId="0" borderId="0" xfId="5" applyFont="1" applyAlignment="1">
      <alignment horizontal="left" indent="2"/>
    </xf>
    <xf numFmtId="0" fontId="15" fillId="0" borderId="0" xfId="5" applyFont="1" applyAlignment="1">
      <alignment horizontal="left"/>
    </xf>
    <xf numFmtId="0" fontId="67" fillId="0" borderId="0" xfId="5" applyFont="1" applyAlignment="1">
      <alignment horizontal="left" indent="2"/>
    </xf>
    <xf numFmtId="0" fontId="15" fillId="0" borderId="0" xfId="5" applyFont="1" applyAlignment="1"/>
    <xf numFmtId="0" fontId="15" fillId="0" borderId="0" xfId="5" applyFont="1" applyBorder="1"/>
    <xf numFmtId="43" fontId="15" fillId="0" borderId="24" xfId="8" applyFont="1" applyBorder="1"/>
    <xf numFmtId="43" fontId="15" fillId="0" borderId="0" xfId="5" applyNumberFormat="1" applyFont="1"/>
    <xf numFmtId="0" fontId="31" fillId="0" borderId="60" xfId="5" applyFont="1" applyBorder="1" applyAlignment="1">
      <alignment vertical="center"/>
    </xf>
    <xf numFmtId="0" fontId="71" fillId="0" borderId="0" xfId="5" applyFont="1" applyAlignment="1">
      <alignment vertical="center"/>
    </xf>
    <xf numFmtId="0" fontId="72" fillId="0" borderId="0" xfId="5" applyFont="1" applyAlignment="1">
      <alignment vertical="center"/>
    </xf>
    <xf numFmtId="0" fontId="72" fillId="0" borderId="0" xfId="5" applyFont="1" applyAlignment="1">
      <alignment horizontal="right" vertical="center"/>
    </xf>
    <xf numFmtId="0" fontId="72" fillId="0" borderId="0" xfId="5" applyFont="1" applyAlignment="1">
      <alignment horizontal="left" vertical="center"/>
    </xf>
    <xf numFmtId="4" fontId="72" fillId="0" borderId="0" xfId="5" applyNumberFormat="1" applyFont="1" applyAlignment="1">
      <alignment horizontal="right" vertical="center"/>
    </xf>
    <xf numFmtId="4" fontId="72" fillId="0" borderId="0" xfId="5" applyNumberFormat="1" applyFont="1" applyAlignment="1">
      <alignment vertical="center"/>
    </xf>
    <xf numFmtId="4" fontId="72" fillId="0" borderId="0" xfId="5" applyNumberFormat="1" applyFont="1" applyAlignment="1">
      <alignment horizontal="center" vertical="center"/>
    </xf>
    <xf numFmtId="0" fontId="73" fillId="0" borderId="0" xfId="5" applyFont="1" applyAlignment="1">
      <alignment vertical="center"/>
    </xf>
    <xf numFmtId="0" fontId="61" fillId="0" borderId="0" xfId="5" applyFont="1" applyAlignment="1">
      <alignment vertical="center"/>
    </xf>
    <xf numFmtId="0" fontId="61" fillId="0" borderId="0" xfId="5" applyFont="1" applyAlignment="1">
      <alignment horizontal="center" vertical="center"/>
    </xf>
    <xf numFmtId="0" fontId="71" fillId="0" borderId="0" xfId="5" applyFont="1" applyBorder="1" applyAlignment="1">
      <alignment vertical="center"/>
    </xf>
    <xf numFmtId="0" fontId="74" fillId="0" borderId="28" xfId="5" applyFont="1" applyBorder="1" applyAlignment="1">
      <alignment horizontal="center" vertical="center"/>
    </xf>
    <xf numFmtId="0" fontId="61" fillId="0" borderId="0" xfId="5" applyFont="1" applyBorder="1" applyAlignment="1">
      <alignment vertical="center"/>
    </xf>
    <xf numFmtId="4" fontId="74" fillId="0" borderId="28" xfId="5" applyNumberFormat="1" applyFont="1" applyBorder="1" applyAlignment="1">
      <alignment horizontal="center" vertical="center"/>
    </xf>
    <xf numFmtId="4" fontId="71" fillId="0" borderId="0" xfId="5" applyNumberFormat="1" applyFont="1" applyBorder="1" applyAlignment="1">
      <alignment vertical="center"/>
    </xf>
    <xf numFmtId="43" fontId="71" fillId="0" borderId="0" xfId="5" applyNumberFormat="1" applyFont="1" applyBorder="1" applyAlignment="1">
      <alignment vertical="center"/>
    </xf>
    <xf numFmtId="4" fontId="74" fillId="0" borderId="28" xfId="5" applyNumberFormat="1" applyFont="1" applyFill="1" applyBorder="1" applyAlignment="1">
      <alignment horizontal="center" vertical="center"/>
    </xf>
    <xf numFmtId="4" fontId="74" fillId="0" borderId="37" xfId="5" applyNumberFormat="1" applyFont="1" applyBorder="1" applyAlignment="1">
      <alignment horizontal="center" vertical="center"/>
    </xf>
    <xf numFmtId="0" fontId="73" fillId="0" borderId="0" xfId="5" applyFont="1" applyAlignment="1">
      <alignment horizontal="center" vertical="center"/>
    </xf>
    <xf numFmtId="4" fontId="61" fillId="0" borderId="0" xfId="5" applyNumberFormat="1" applyFont="1" applyAlignment="1">
      <alignment vertical="center"/>
    </xf>
    <xf numFmtId="0" fontId="73" fillId="0" borderId="0" xfId="5" applyFont="1" applyFill="1" applyBorder="1" applyAlignment="1">
      <alignment vertical="center"/>
    </xf>
    <xf numFmtId="4" fontId="61" fillId="0" borderId="0" xfId="5" applyNumberFormat="1" applyFont="1" applyAlignment="1">
      <alignment horizontal="center" vertical="center"/>
    </xf>
    <xf numFmtId="4" fontId="73" fillId="0" borderId="0" xfId="5" applyNumberFormat="1" applyFont="1" applyFill="1" applyBorder="1" applyAlignment="1">
      <alignment horizontal="center" vertical="center"/>
    </xf>
    <xf numFmtId="0" fontId="74" fillId="0" borderId="28" xfId="5" applyFont="1" applyFill="1" applyBorder="1" applyAlignment="1">
      <alignment horizontal="center" vertical="center"/>
    </xf>
    <xf numFmtId="0" fontId="65" fillId="0" borderId="0" xfId="5" applyFont="1" applyFill="1" applyAlignment="1">
      <alignment horizontal="left" vertical="center"/>
    </xf>
    <xf numFmtId="0" fontId="54" fillId="0" borderId="0" xfId="5" applyFont="1" applyFill="1" applyAlignment="1">
      <alignment vertical="center"/>
    </xf>
    <xf numFmtId="0" fontId="70" fillId="0" borderId="0" xfId="5" applyFont="1" applyFill="1" applyAlignment="1">
      <alignment vertical="center"/>
    </xf>
    <xf numFmtId="0" fontId="70" fillId="0" borderId="0" xfId="5" applyFont="1" applyFill="1" applyAlignment="1">
      <alignment horizontal="left" vertical="center"/>
    </xf>
    <xf numFmtId="0" fontId="70" fillId="0" borderId="0" xfId="5" applyFont="1" applyFill="1" applyBorder="1" applyAlignment="1">
      <alignment horizontal="center" vertical="center"/>
    </xf>
    <xf numFmtId="0" fontId="70" fillId="0" borderId="47" xfId="5" applyFont="1" applyFill="1" applyBorder="1" applyAlignment="1">
      <alignment horizontal="center" vertical="center"/>
    </xf>
    <xf numFmtId="0" fontId="70" fillId="0" borderId="69" xfId="5" applyFont="1" applyFill="1" applyBorder="1" applyAlignment="1">
      <alignment horizontal="center" vertical="center"/>
    </xf>
    <xf numFmtId="0" fontId="70" fillId="0" borderId="9" xfId="5" applyFont="1" applyFill="1" applyBorder="1" applyAlignment="1">
      <alignment horizontal="center" vertical="center"/>
    </xf>
    <xf numFmtId="0" fontId="70" fillId="0" borderId="10" xfId="5" applyFont="1" applyFill="1" applyBorder="1" applyAlignment="1">
      <alignment horizontal="center" vertical="center"/>
    </xf>
    <xf numFmtId="0" fontId="70" fillId="0" borderId="66" xfId="5" applyFont="1" applyFill="1" applyBorder="1" applyAlignment="1">
      <alignment horizontal="center" vertical="center"/>
    </xf>
    <xf numFmtId="0" fontId="70" fillId="0" borderId="0" xfId="5" applyFont="1" applyFill="1" applyAlignment="1">
      <alignment horizontal="center" vertical="center"/>
    </xf>
    <xf numFmtId="43" fontId="70" fillId="0" borderId="59" xfId="8" applyFont="1" applyFill="1" applyBorder="1" applyAlignment="1">
      <alignment horizontal="center" vertical="center"/>
    </xf>
    <xf numFmtId="0" fontId="70" fillId="0" borderId="59" xfId="5" applyFont="1" applyFill="1" applyBorder="1" applyAlignment="1">
      <alignment horizontal="center" vertical="center"/>
    </xf>
    <xf numFmtId="0" fontId="70" fillId="0" borderId="70" xfId="5" applyFont="1" applyFill="1" applyBorder="1" applyAlignment="1">
      <alignment horizontal="center" vertical="center"/>
    </xf>
    <xf numFmtId="0" fontId="70" fillId="0" borderId="58" xfId="5" applyFont="1" applyFill="1" applyBorder="1" applyAlignment="1">
      <alignment horizontal="center" vertical="center"/>
    </xf>
    <xf numFmtId="43" fontId="70" fillId="0" borderId="60" xfId="8" applyFont="1" applyFill="1" applyBorder="1" applyAlignment="1">
      <alignment horizontal="center" vertical="center"/>
    </xf>
    <xf numFmtId="43" fontId="70" fillId="0" borderId="60" xfId="5" applyNumberFormat="1" applyFont="1" applyFill="1" applyBorder="1" applyAlignment="1">
      <alignment horizontal="center" vertical="center"/>
    </xf>
    <xf numFmtId="43" fontId="70" fillId="0" borderId="71" xfId="5" applyNumberFormat="1" applyFont="1" applyFill="1" applyBorder="1" applyAlignment="1">
      <alignment horizontal="center" vertical="center"/>
    </xf>
    <xf numFmtId="43" fontId="70" fillId="0" borderId="71" xfId="8" applyFont="1" applyFill="1" applyBorder="1" applyAlignment="1">
      <alignment horizontal="center" vertical="center"/>
    </xf>
    <xf numFmtId="0" fontId="70" fillId="0" borderId="61" xfId="5" applyFont="1" applyFill="1" applyBorder="1" applyAlignment="1">
      <alignment horizontal="left" vertical="center"/>
    </xf>
    <xf numFmtId="0" fontId="70" fillId="0" borderId="63" xfId="5" applyFont="1" applyFill="1" applyBorder="1" applyAlignment="1">
      <alignment horizontal="left" vertical="center"/>
    </xf>
    <xf numFmtId="0" fontId="70" fillId="0" borderId="30" xfId="5" applyFont="1" applyFill="1" applyBorder="1" applyAlignment="1">
      <alignment horizontal="center" vertical="center"/>
    </xf>
    <xf numFmtId="0" fontId="70" fillId="0" borderId="52" xfId="5" applyFont="1" applyFill="1" applyBorder="1" applyAlignment="1">
      <alignment horizontal="center" vertical="center"/>
    </xf>
    <xf numFmtId="0" fontId="70" fillId="0" borderId="51" xfId="5" applyFont="1" applyFill="1" applyBorder="1" applyAlignment="1">
      <alignment horizontal="center" vertical="center"/>
    </xf>
    <xf numFmtId="43" fontId="70" fillId="0" borderId="24" xfId="5" applyNumberFormat="1" applyFont="1" applyFill="1" applyBorder="1" applyAlignment="1">
      <alignment horizontal="center" vertical="center"/>
    </xf>
    <xf numFmtId="43" fontId="70" fillId="0" borderId="24" xfId="8" applyFont="1" applyFill="1" applyBorder="1" applyAlignment="1">
      <alignment horizontal="center" vertical="center"/>
    </xf>
    <xf numFmtId="43" fontId="70" fillId="0" borderId="25" xfId="8" applyFont="1" applyFill="1" applyBorder="1" applyAlignment="1">
      <alignment horizontal="center" vertical="center"/>
    </xf>
    <xf numFmtId="0" fontId="77" fillId="0" borderId="0" xfId="5" applyFont="1" applyFill="1" applyAlignment="1">
      <alignment horizontal="left" vertical="center"/>
    </xf>
    <xf numFmtId="0" fontId="78" fillId="0" borderId="0" xfId="5" applyFont="1" applyFill="1" applyAlignment="1">
      <alignment horizontal="left" vertical="center"/>
    </xf>
    <xf numFmtId="0" fontId="54" fillId="0" borderId="0" xfId="5" applyFont="1" applyFill="1" applyAlignment="1">
      <alignment horizontal="left" vertical="center"/>
    </xf>
    <xf numFmtId="0" fontId="78" fillId="0" borderId="0" xfId="5" applyFont="1" applyFill="1" applyAlignment="1">
      <alignment vertical="center"/>
    </xf>
    <xf numFmtId="0" fontId="71" fillId="0" borderId="0" xfId="5" applyFont="1" applyFill="1" applyAlignment="1">
      <alignment vertical="center"/>
    </xf>
    <xf numFmtId="0" fontId="72" fillId="0" borderId="0" xfId="5" applyFont="1" applyFill="1" applyAlignment="1">
      <alignment vertical="center"/>
    </xf>
    <xf numFmtId="0" fontId="72" fillId="0" borderId="0" xfId="5" applyFont="1" applyFill="1" applyAlignment="1">
      <alignment horizontal="right" vertical="center"/>
    </xf>
    <xf numFmtId="4" fontId="72" fillId="0" borderId="0" xfId="5" applyNumberFormat="1" applyFont="1" applyFill="1" applyAlignment="1">
      <alignment horizontal="right" vertical="center"/>
    </xf>
    <xf numFmtId="4" fontId="72" fillId="0" borderId="0" xfId="5" applyNumberFormat="1" applyFont="1" applyFill="1" applyAlignment="1">
      <alignment vertical="center"/>
    </xf>
    <xf numFmtId="4" fontId="72" fillId="0" borderId="0" xfId="5" applyNumberFormat="1" applyFont="1" applyFill="1" applyAlignment="1">
      <alignment horizontal="center" vertical="center"/>
    </xf>
    <xf numFmtId="0" fontId="72" fillId="0" borderId="0" xfId="5" applyFont="1" applyFill="1" applyAlignment="1">
      <alignment horizontal="left" vertical="center"/>
    </xf>
    <xf numFmtId="4" fontId="53" fillId="0" borderId="0" xfId="5" applyNumberFormat="1" applyFont="1" applyAlignment="1">
      <alignment vertical="center"/>
    </xf>
    <xf numFmtId="4" fontId="53" fillId="0" borderId="0" xfId="5" applyNumberFormat="1" applyFont="1" applyFill="1" applyAlignment="1">
      <alignment vertical="center"/>
    </xf>
    <xf numFmtId="0" fontId="33" fillId="0" borderId="0" xfId="0" applyFont="1" applyFill="1" applyAlignment="1">
      <alignment vertical="center"/>
    </xf>
    <xf numFmtId="0" fontId="33" fillId="0" borderId="0" xfId="0" applyFont="1" applyFill="1" applyBorder="1" applyAlignment="1">
      <alignment vertical="center"/>
    </xf>
    <xf numFmtId="0" fontId="54" fillId="0" borderId="0" xfId="3" applyFont="1" applyAlignment="1">
      <alignment vertical="center"/>
    </xf>
    <xf numFmtId="0" fontId="61" fillId="0" borderId="0" xfId="3" applyFont="1" applyAlignment="1">
      <alignment vertical="center"/>
    </xf>
    <xf numFmtId="0" fontId="72" fillId="0" borderId="0" xfId="3" applyFont="1" applyAlignment="1">
      <alignment vertical="center"/>
    </xf>
    <xf numFmtId="0" fontId="72" fillId="0" borderId="0" xfId="3" applyFont="1" applyAlignment="1">
      <alignment horizontal="right" vertical="center"/>
    </xf>
    <xf numFmtId="0" fontId="36" fillId="0" borderId="0" xfId="0" applyFont="1" applyAlignment="1">
      <alignment horizontal="center" vertical="center"/>
    </xf>
    <xf numFmtId="0" fontId="36" fillId="0" borderId="23" xfId="0" applyFont="1" applyBorder="1" applyAlignment="1">
      <alignment horizontal="center" vertical="center"/>
    </xf>
    <xf numFmtId="0" fontId="36" fillId="0" borderId="25" xfId="0" applyFont="1" applyBorder="1" applyAlignment="1">
      <alignment horizontal="center" vertical="center"/>
    </xf>
    <xf numFmtId="1" fontId="36" fillId="0" borderId="21" xfId="0" applyNumberFormat="1" applyFont="1" applyBorder="1" applyAlignment="1">
      <alignment horizontal="center" vertical="center"/>
    </xf>
    <xf numFmtId="43" fontId="36" fillId="0" borderId="21" xfId="1" applyFont="1" applyBorder="1" applyAlignment="1">
      <alignment horizontal="center" vertical="center"/>
    </xf>
    <xf numFmtId="43" fontId="36" fillId="0" borderId="22" xfId="1" applyFont="1" applyBorder="1" applyAlignment="1">
      <alignment horizontal="center" vertical="center"/>
    </xf>
    <xf numFmtId="2" fontId="36" fillId="0" borderId="28" xfId="0" applyNumberFormat="1" applyFont="1" applyBorder="1" applyAlignment="1">
      <alignment horizontal="center" vertical="center"/>
    </xf>
    <xf numFmtId="1" fontId="36" fillId="0" borderId="28" xfId="0" applyNumberFormat="1" applyFont="1" applyBorder="1" applyAlignment="1">
      <alignment horizontal="center" vertical="center"/>
    </xf>
    <xf numFmtId="43" fontId="36" fillId="0" borderId="29" xfId="1" applyFont="1" applyBorder="1" applyAlignment="1">
      <alignment horizontal="center" vertical="center"/>
    </xf>
    <xf numFmtId="0" fontId="36" fillId="0" borderId="28" xfId="0" applyFont="1" applyBorder="1" applyAlignment="1">
      <alignment horizontal="center" vertical="center" wrapText="1"/>
    </xf>
    <xf numFmtId="43" fontId="36" fillId="0" borderId="24" xfId="1" applyFont="1" applyBorder="1" applyAlignment="1">
      <alignment horizontal="center" vertical="center"/>
    </xf>
    <xf numFmtId="43" fontId="36" fillId="0" borderId="25" xfId="1" applyFont="1" applyBorder="1" applyAlignment="1">
      <alignment horizontal="center" vertical="center"/>
    </xf>
    <xf numFmtId="0" fontId="36" fillId="0" borderId="54" xfId="0" applyFont="1" applyBorder="1" applyAlignment="1">
      <alignment horizontal="center" vertical="center"/>
    </xf>
    <xf numFmtId="0" fontId="37" fillId="0" borderId="26" xfId="0" applyFont="1" applyBorder="1" applyAlignment="1">
      <alignment horizontal="center" vertical="center"/>
    </xf>
    <xf numFmtId="0" fontId="36" fillId="0" borderId="55" xfId="0" applyFont="1" applyBorder="1" applyAlignment="1">
      <alignment horizontal="center" vertical="center"/>
    </xf>
    <xf numFmtId="49" fontId="37" fillId="0" borderId="27" xfId="0" applyNumberFormat="1" applyFont="1" applyBorder="1" applyAlignment="1">
      <alignment horizontal="center" vertical="center"/>
    </xf>
    <xf numFmtId="164" fontId="37" fillId="0" borderId="28" xfId="1" applyNumberFormat="1" applyFont="1" applyBorder="1" applyAlignment="1">
      <alignment horizontal="center" vertical="center"/>
    </xf>
    <xf numFmtId="49" fontId="36" fillId="0" borderId="30" xfId="0" applyNumberFormat="1" applyFont="1" applyBorder="1" applyAlignment="1">
      <alignment horizontal="center" vertical="center"/>
    </xf>
    <xf numFmtId="43" fontId="37" fillId="0" borderId="25" xfId="1" applyFont="1" applyBorder="1" applyAlignment="1">
      <alignment horizontal="center" vertical="center"/>
    </xf>
    <xf numFmtId="49" fontId="36" fillId="0" borderId="0" xfId="0" applyNumberFormat="1" applyFont="1" applyBorder="1" applyAlignment="1">
      <alignment horizontal="center" vertical="center"/>
    </xf>
    <xf numFmtId="43" fontId="33" fillId="0" borderId="28" xfId="1" applyFont="1" applyBorder="1" applyAlignment="1">
      <alignment horizontal="center" vertical="center"/>
    </xf>
    <xf numFmtId="0" fontId="33" fillId="0" borderId="29" xfId="0" applyFont="1" applyBorder="1" applyAlignment="1">
      <alignment horizontal="center" vertical="center"/>
    </xf>
    <xf numFmtId="0" fontId="33" fillId="0" borderId="27" xfId="0" applyFont="1" applyBorder="1" applyAlignment="1">
      <alignment horizontal="center" vertical="center"/>
    </xf>
    <xf numFmtId="0" fontId="34" fillId="0" borderId="37" xfId="0" applyFont="1" applyBorder="1" applyAlignment="1">
      <alignment horizontal="center" vertical="center"/>
    </xf>
    <xf numFmtId="43" fontId="34" fillId="0" borderId="29" xfId="1" applyFont="1" applyBorder="1" applyAlignment="1">
      <alignment horizontal="center" vertical="center"/>
    </xf>
    <xf numFmtId="43" fontId="36" fillId="0" borderId="28" xfId="0" applyNumberFormat="1" applyFont="1" applyBorder="1" applyAlignment="1">
      <alignment horizontal="center" vertical="center"/>
    </xf>
    <xf numFmtId="0" fontId="36" fillId="0" borderId="29" xfId="0" applyFont="1" applyBorder="1" applyAlignment="1">
      <alignment horizontal="center" vertical="center"/>
    </xf>
    <xf numFmtId="0" fontId="33" fillId="0" borderId="30" xfId="0" applyFont="1" applyBorder="1" applyAlignment="1">
      <alignment horizontal="center" vertical="center"/>
    </xf>
    <xf numFmtId="43" fontId="36" fillId="0" borderId="24" xfId="0" applyNumberFormat="1" applyFont="1" applyBorder="1" applyAlignment="1">
      <alignment horizontal="center" vertical="center"/>
    </xf>
    <xf numFmtId="0" fontId="37" fillId="0" borderId="21" xfId="0" applyFont="1" applyBorder="1" applyAlignment="1">
      <alignment horizontal="center" vertical="center"/>
    </xf>
    <xf numFmtId="43" fontId="36" fillId="0" borderId="37" xfId="1" applyFont="1" applyBorder="1" applyAlignment="1">
      <alignment horizontal="center" vertical="center"/>
    </xf>
    <xf numFmtId="43" fontId="33" fillId="0" borderId="0" xfId="0" applyNumberFormat="1" applyFont="1" applyAlignment="1">
      <alignment horizontal="center" vertical="center"/>
    </xf>
    <xf numFmtId="0" fontId="63" fillId="0" borderId="0" xfId="5" applyAlignment="1">
      <alignment vertical="center"/>
    </xf>
    <xf numFmtId="0" fontId="64" fillId="0" borderId="0" xfId="5" applyFont="1" applyAlignment="1">
      <alignment vertical="center"/>
    </xf>
    <xf numFmtId="0" fontId="64" fillId="0" borderId="0" xfId="5" applyFont="1" applyAlignment="1">
      <alignment horizontal="right" vertical="center"/>
    </xf>
    <xf numFmtId="4" fontId="64" fillId="0" borderId="0" xfId="5" applyNumberFormat="1" applyFont="1" applyAlignment="1">
      <alignment vertical="center"/>
    </xf>
    <xf numFmtId="4" fontId="64" fillId="0" borderId="0" xfId="5" applyNumberFormat="1" applyFont="1" applyAlignment="1">
      <alignment horizontal="center" vertical="center"/>
    </xf>
    <xf numFmtId="0" fontId="78" fillId="0" borderId="0" xfId="5" applyFont="1" applyAlignment="1">
      <alignment horizontal="left" vertical="center"/>
    </xf>
    <xf numFmtId="0" fontId="54" fillId="0" borderId="0" xfId="5" applyFont="1" applyAlignment="1">
      <alignment horizontal="left" vertical="center"/>
    </xf>
    <xf numFmtId="0" fontId="65" fillId="0" borderId="0" xfId="5" applyFont="1" applyAlignment="1">
      <alignment horizontal="left" vertical="center"/>
    </xf>
    <xf numFmtId="0" fontId="54" fillId="0" borderId="0" xfId="5" applyFont="1" applyAlignment="1">
      <alignment vertical="center"/>
    </xf>
    <xf numFmtId="0" fontId="78" fillId="0" borderId="0" xfId="5" applyFont="1" applyAlignment="1">
      <alignment vertical="center"/>
    </xf>
    <xf numFmtId="0" fontId="0" fillId="0" borderId="0" xfId="0" applyAlignment="1">
      <alignment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36" fillId="0" borderId="30" xfId="0" applyFont="1" applyBorder="1" applyAlignment="1">
      <alignment horizontal="center" vertical="center"/>
    </xf>
    <xf numFmtId="0" fontId="36" fillId="0" borderId="9" xfId="0" applyFont="1" applyBorder="1" applyAlignment="1">
      <alignment horizontal="center" vertical="center"/>
    </xf>
    <xf numFmtId="0" fontId="36" fillId="0" borderId="34" xfId="0" applyFont="1" applyBorder="1" applyAlignment="1">
      <alignment horizontal="center" vertical="center"/>
    </xf>
    <xf numFmtId="0" fontId="36" fillId="0" borderId="31" xfId="0" applyFont="1" applyBorder="1" applyAlignment="1">
      <alignment horizontal="center" vertical="center"/>
    </xf>
    <xf numFmtId="0" fontId="37" fillId="0" borderId="0" xfId="0" applyFont="1" applyBorder="1" applyAlignment="1">
      <alignment horizontal="center" vertical="center"/>
    </xf>
    <xf numFmtId="0" fontId="72" fillId="0" borderId="0" xfId="3" applyFont="1" applyAlignment="1">
      <alignment horizontal="left" vertical="center"/>
    </xf>
    <xf numFmtId="4" fontId="52" fillId="0" borderId="0" xfId="5" applyNumberFormat="1" applyFont="1" applyAlignment="1">
      <alignment vertical="center"/>
    </xf>
    <xf numFmtId="4" fontId="32" fillId="0" borderId="0" xfId="5" applyNumberFormat="1" applyFont="1" applyAlignment="1">
      <alignment vertical="center"/>
    </xf>
    <xf numFmtId="4" fontId="32" fillId="0" borderId="0" xfId="5" applyNumberFormat="1" applyFont="1" applyAlignment="1">
      <alignment horizontal="center" vertical="center"/>
    </xf>
    <xf numFmtId="0" fontId="32" fillId="0" borderId="0" xfId="5" applyFont="1" applyAlignment="1">
      <alignment vertical="center"/>
    </xf>
    <xf numFmtId="4" fontId="31" fillId="0" borderId="0" xfId="5" applyNumberFormat="1" applyFont="1" applyBorder="1" applyAlignment="1">
      <alignment horizontal="center" vertical="center"/>
    </xf>
    <xf numFmtId="4" fontId="31" fillId="0" borderId="0" xfId="5" applyNumberFormat="1" applyFont="1" applyBorder="1" applyAlignment="1">
      <alignment vertical="center"/>
    </xf>
    <xf numFmtId="0" fontId="0" fillId="0" borderId="21" xfId="0" applyFont="1" applyBorder="1" applyAlignment="1">
      <alignment vertical="center"/>
    </xf>
    <xf numFmtId="0" fontId="0" fillId="0" borderId="28" xfId="0" applyFont="1" applyBorder="1" applyAlignment="1">
      <alignment vertical="center"/>
    </xf>
    <xf numFmtId="0" fontId="17" fillId="0" borderId="28" xfId="3" applyFont="1" applyBorder="1" applyAlignment="1">
      <alignment horizontal="center" vertical="center"/>
    </xf>
    <xf numFmtId="0" fontId="17" fillId="0" borderId="28" xfId="3" applyFont="1" applyBorder="1" applyAlignment="1">
      <alignment vertical="center"/>
    </xf>
    <xf numFmtId="0" fontId="36" fillId="0" borderId="33" xfId="0" applyFont="1" applyBorder="1" applyAlignment="1">
      <alignment horizontal="center" vertical="center"/>
    </xf>
    <xf numFmtId="0" fontId="36" fillId="0" borderId="34" xfId="0" applyFont="1" applyBorder="1" applyAlignment="1">
      <alignment horizontal="center" vertical="center"/>
    </xf>
    <xf numFmtId="0" fontId="37" fillId="0" borderId="0" xfId="0" applyFont="1" applyBorder="1" applyAlignment="1">
      <alignment horizontal="center" vertical="center"/>
    </xf>
    <xf numFmtId="0" fontId="36" fillId="0" borderId="26" xfId="0" applyFont="1" applyBorder="1" applyAlignment="1">
      <alignment horizontal="center" vertical="center"/>
    </xf>
    <xf numFmtId="0" fontId="36" fillId="0" borderId="30" xfId="0" applyFont="1" applyBorder="1" applyAlignment="1">
      <alignment horizontal="center" vertical="center"/>
    </xf>
    <xf numFmtId="0" fontId="36" fillId="0" borderId="9" xfId="0" applyFont="1" applyBorder="1" applyAlignment="1">
      <alignment horizontal="center" vertical="center"/>
    </xf>
    <xf numFmtId="0" fontId="36" fillId="0" borderId="31" xfId="0" applyFont="1" applyBorder="1" applyAlignment="1">
      <alignment horizontal="center" vertical="center"/>
    </xf>
    <xf numFmtId="0" fontId="15" fillId="0" borderId="47" xfId="5" applyFont="1" applyBorder="1" applyAlignment="1">
      <alignment horizontal="center"/>
    </xf>
    <xf numFmtId="0" fontId="15" fillId="0" borderId="69" xfId="5" applyFont="1" applyBorder="1" applyAlignment="1">
      <alignment horizontal="center"/>
    </xf>
    <xf numFmtId="0" fontId="15" fillId="0" borderId="60" xfId="5" applyFont="1" applyBorder="1" applyAlignment="1"/>
    <xf numFmtId="0" fontId="15" fillId="0" borderId="61" xfId="5" applyFont="1" applyBorder="1" applyAlignment="1">
      <alignment horizontal="center"/>
    </xf>
    <xf numFmtId="0" fontId="24" fillId="0" borderId="60" xfId="5" applyFont="1" applyBorder="1" applyAlignment="1"/>
    <xf numFmtId="0" fontId="15" fillId="0" borderId="61" xfId="5" applyFont="1" applyBorder="1" applyAlignment="1">
      <alignment horizontal="left"/>
    </xf>
    <xf numFmtId="0" fontId="15" fillId="0" borderId="52" xfId="5" applyFont="1" applyBorder="1" applyAlignment="1">
      <alignment horizontal="center"/>
    </xf>
    <xf numFmtId="0" fontId="15" fillId="0" borderId="0" xfId="5" applyFont="1" applyAlignment="1">
      <alignment horizontal="left"/>
    </xf>
    <xf numFmtId="0" fontId="36" fillId="0" borderId="43" xfId="0" applyFont="1" applyBorder="1" applyAlignment="1">
      <alignment horizontal="center" vertical="center"/>
    </xf>
    <xf numFmtId="0" fontId="36" fillId="0" borderId="44" xfId="0" applyFont="1" applyBorder="1" applyAlignment="1">
      <alignment horizontal="center" vertical="center"/>
    </xf>
    <xf numFmtId="0" fontId="36" fillId="0" borderId="46" xfId="0" applyFont="1" applyBorder="1" applyAlignment="1">
      <alignment horizontal="center" vertical="center"/>
    </xf>
    <xf numFmtId="43" fontId="37" fillId="0" borderId="28" xfId="1" applyFont="1" applyBorder="1" applyAlignment="1">
      <alignment horizontal="center" vertical="center"/>
    </xf>
    <xf numFmtId="49" fontId="37" fillId="0" borderId="28" xfId="1" applyNumberFormat="1" applyFont="1" applyBorder="1" applyAlignment="1">
      <alignment horizontal="center" vertical="center"/>
    </xf>
    <xf numFmtId="43" fontId="37" fillId="0" borderId="29" xfId="1" applyFont="1" applyBorder="1" applyAlignment="1">
      <alignment horizontal="center" vertical="center"/>
    </xf>
    <xf numFmtId="0" fontId="36" fillId="0" borderId="45" xfId="0" applyFont="1" applyBorder="1" applyAlignment="1">
      <alignment horizontal="center" vertical="center"/>
    </xf>
    <xf numFmtId="0" fontId="36" fillId="0" borderId="50" xfId="0" applyFont="1" applyBorder="1" applyAlignment="1">
      <alignment horizontal="center" vertical="center"/>
    </xf>
    <xf numFmtId="0" fontId="37" fillId="0" borderId="36" xfId="0" applyFont="1" applyBorder="1" applyAlignment="1">
      <alignment horizontal="center" vertical="center"/>
    </xf>
    <xf numFmtId="43" fontId="36" fillId="0" borderId="38" xfId="1" applyFont="1" applyBorder="1" applyAlignment="1">
      <alignment horizontal="center" vertical="center"/>
    </xf>
    <xf numFmtId="0" fontId="5" fillId="0" borderId="0" xfId="5" applyFont="1" applyAlignment="1">
      <alignment vertical="center"/>
    </xf>
    <xf numFmtId="43" fontId="33" fillId="0" borderId="6" xfId="1" applyFont="1" applyBorder="1" applyAlignment="1">
      <alignment vertical="center"/>
    </xf>
    <xf numFmtId="0" fontId="36" fillId="0" borderId="6" xfId="0" applyFont="1" applyBorder="1" applyAlignment="1">
      <alignment horizontal="left" vertical="center" wrapText="1"/>
    </xf>
    <xf numFmtId="0" fontId="33" fillId="0" borderId="6" xfId="0" applyFont="1" applyBorder="1" applyAlignment="1">
      <alignment vertical="center"/>
    </xf>
    <xf numFmtId="43" fontId="33" fillId="0" borderId="6" xfId="0" applyNumberFormat="1" applyFont="1" applyBorder="1" applyAlignment="1">
      <alignment vertical="center"/>
    </xf>
    <xf numFmtId="43" fontId="36" fillId="0" borderId="6" xfId="1" applyFont="1" applyBorder="1" applyAlignment="1">
      <alignment horizontal="left" vertical="center" wrapText="1"/>
    </xf>
    <xf numFmtId="0" fontId="36" fillId="0" borderId="6" xfId="0" applyFont="1" applyBorder="1" applyAlignment="1">
      <alignment vertical="center" wrapText="1"/>
    </xf>
    <xf numFmtId="0" fontId="33" fillId="0" borderId="7" xfId="0" applyFont="1" applyBorder="1" applyAlignment="1">
      <alignment vertical="center"/>
    </xf>
    <xf numFmtId="43" fontId="33" fillId="0" borderId="6" xfId="1" applyFont="1" applyFill="1" applyBorder="1" applyAlignment="1">
      <alignment vertical="center"/>
    </xf>
    <xf numFmtId="43" fontId="36" fillId="0" borderId="6" xfId="0" applyNumberFormat="1" applyFont="1" applyBorder="1" applyAlignment="1">
      <alignment horizontal="left" vertical="center" wrapText="1"/>
    </xf>
    <xf numFmtId="0" fontId="33" fillId="0" borderId="6" xfId="0" applyFont="1" applyBorder="1" applyAlignment="1">
      <alignment horizontal="left" vertical="center"/>
    </xf>
    <xf numFmtId="43" fontId="33" fillId="0" borderId="6" xfId="1" applyFont="1" applyBorder="1" applyAlignment="1">
      <alignment horizontal="left" vertical="center"/>
    </xf>
    <xf numFmtId="0" fontId="36" fillId="0" borderId="6" xfId="0" applyFont="1" applyBorder="1" applyAlignment="1">
      <alignment horizontal="right" vertical="center" wrapText="1"/>
    </xf>
    <xf numFmtId="0" fontId="34" fillId="0" borderId="28" xfId="3" applyFont="1" applyBorder="1" applyAlignment="1">
      <alignment horizontal="center" vertical="center"/>
    </xf>
    <xf numFmtId="0" fontId="29" fillId="0" borderId="28" xfId="3" applyFont="1" applyBorder="1" applyAlignment="1">
      <alignment horizontal="center" vertical="center" wrapText="1"/>
    </xf>
    <xf numFmtId="0" fontId="34" fillId="0" borderId="28" xfId="3" applyFont="1" applyBorder="1" applyAlignment="1">
      <alignment horizontal="center" vertical="center" wrapText="1"/>
    </xf>
    <xf numFmtId="0" fontId="36" fillId="0" borderId="28" xfId="3" applyFont="1" applyBorder="1" applyAlignment="1">
      <alignment horizontal="center" vertical="center" wrapText="1"/>
    </xf>
    <xf numFmtId="0" fontId="37" fillId="0" borderId="24" xfId="3" applyFont="1" applyBorder="1" applyAlignment="1">
      <alignment horizontal="center" vertical="center" wrapText="1"/>
    </xf>
    <xf numFmtId="0" fontId="33" fillId="0" borderId="21" xfId="0" applyFont="1" applyBorder="1" applyAlignment="1">
      <alignment vertical="center" wrapText="1"/>
    </xf>
    <xf numFmtId="0" fontId="33" fillId="0" borderId="28" xfId="0" applyFont="1" applyBorder="1" applyAlignment="1">
      <alignment vertical="center" wrapText="1"/>
    </xf>
    <xf numFmtId="0" fontId="37" fillId="0" borderId="28" xfId="0" applyFont="1" applyBorder="1" applyAlignment="1">
      <alignment vertical="center" wrapText="1"/>
    </xf>
    <xf numFmtId="0" fontId="36" fillId="0" borderId="24" xfId="0" applyFont="1" applyBorder="1" applyAlignment="1">
      <alignment vertical="center" wrapText="1"/>
    </xf>
    <xf numFmtId="0" fontId="31" fillId="0" borderId="0" xfId="5" applyFont="1"/>
    <xf numFmtId="0" fontId="31" fillId="0" borderId="0" xfId="5" applyFont="1" applyBorder="1" applyAlignment="1">
      <alignment horizontal="center"/>
    </xf>
    <xf numFmtId="0" fontId="31" fillId="0" borderId="0" xfId="5" applyFont="1" applyBorder="1" applyAlignment="1">
      <alignment vertical="center"/>
    </xf>
    <xf numFmtId="0" fontId="83" fillId="0" borderId="0" xfId="0" applyFont="1" applyFill="1" applyAlignment="1">
      <alignment vertical="center"/>
    </xf>
    <xf numFmtId="0" fontId="84" fillId="0" borderId="0" xfId="0" applyFont="1" applyFill="1" applyBorder="1" applyAlignment="1">
      <alignment vertical="center"/>
    </xf>
    <xf numFmtId="0" fontId="83" fillId="0" borderId="0" xfId="0" applyFont="1" applyFill="1" applyBorder="1" applyAlignment="1">
      <alignment vertical="center"/>
    </xf>
    <xf numFmtId="0" fontId="85" fillId="0" borderId="0" xfId="0" applyFont="1" applyFill="1" applyBorder="1" applyAlignment="1">
      <alignment horizontal="left" vertical="center"/>
    </xf>
    <xf numFmtId="0" fontId="86" fillId="0" borderId="0" xfId="5" applyFont="1" applyAlignment="1">
      <alignment vertical="center"/>
    </xf>
    <xf numFmtId="0" fontId="87" fillId="0" borderId="0" xfId="5" applyFont="1" applyAlignment="1">
      <alignment vertical="center"/>
    </xf>
    <xf numFmtId="0" fontId="81" fillId="0" borderId="0" xfId="0" applyFont="1" applyAlignment="1">
      <alignment horizontal="center" vertical="center"/>
    </xf>
    <xf numFmtId="43" fontId="36" fillId="0" borderId="3" xfId="0" applyNumberFormat="1" applyFont="1" applyBorder="1" applyAlignment="1">
      <alignment horizontal="center" vertical="center"/>
    </xf>
    <xf numFmtId="0" fontId="36" fillId="0" borderId="22" xfId="0" applyFont="1" applyBorder="1" applyAlignment="1">
      <alignment horizontal="center" vertical="center"/>
    </xf>
    <xf numFmtId="43" fontId="36" fillId="0" borderId="29" xfId="0" applyNumberFormat="1" applyFont="1" applyBorder="1" applyAlignment="1">
      <alignment horizontal="center" vertical="center"/>
    </xf>
    <xf numFmtId="0" fontId="31" fillId="0" borderId="0" xfId="5" applyFont="1" applyAlignment="1">
      <alignment vertical="center"/>
    </xf>
    <xf numFmtId="0" fontId="31" fillId="0" borderId="0" xfId="5" applyFont="1" applyAlignment="1">
      <alignment horizontal="left" vertical="center"/>
    </xf>
    <xf numFmtId="4" fontId="31" fillId="0" borderId="0" xfId="5" applyNumberFormat="1" applyFont="1" applyAlignment="1">
      <alignment horizontal="center" vertical="center"/>
    </xf>
    <xf numFmtId="0" fontId="31" fillId="0" borderId="47" xfId="5" applyFont="1" applyBorder="1" applyAlignment="1">
      <alignment horizontal="center" vertical="center"/>
    </xf>
    <xf numFmtId="0" fontId="31" fillId="0" borderId="69" xfId="5" applyFont="1" applyBorder="1" applyAlignment="1">
      <alignment horizontal="center" vertical="center"/>
    </xf>
    <xf numFmtId="0" fontId="31" fillId="2" borderId="58" xfId="5" applyFont="1" applyFill="1" applyBorder="1" applyAlignment="1">
      <alignment horizontal="center" vertical="center"/>
    </xf>
    <xf numFmtId="43" fontId="31" fillId="0" borderId="59" xfId="8" applyFont="1" applyBorder="1" applyAlignment="1">
      <alignment vertical="center"/>
    </xf>
    <xf numFmtId="0" fontId="31" fillId="0" borderId="59" xfId="5" applyFont="1" applyBorder="1" applyAlignment="1">
      <alignment vertical="center"/>
    </xf>
    <xf numFmtId="0" fontId="31" fillId="0" borderId="70" xfId="5" applyFont="1" applyBorder="1" applyAlignment="1">
      <alignment vertical="center"/>
    </xf>
    <xf numFmtId="43" fontId="31" fillId="0" borderId="60" xfId="8" applyFont="1" applyBorder="1" applyAlignment="1">
      <alignment vertical="center"/>
    </xf>
    <xf numFmtId="43" fontId="31" fillId="0" borderId="60" xfId="5" applyNumberFormat="1" applyFont="1" applyBorder="1" applyAlignment="1">
      <alignment vertical="center"/>
    </xf>
    <xf numFmtId="43" fontId="31" fillId="0" borderId="71" xfId="5" applyNumberFormat="1" applyFont="1" applyBorder="1" applyAlignment="1">
      <alignment vertical="center"/>
    </xf>
    <xf numFmtId="0" fontId="31" fillId="0" borderId="61" xfId="5" applyFont="1" applyBorder="1" applyAlignment="1">
      <alignment horizontal="left" vertical="center"/>
    </xf>
    <xf numFmtId="0" fontId="31" fillId="0" borderId="61" xfId="5" applyFont="1" applyBorder="1" applyAlignment="1">
      <alignment vertical="center"/>
    </xf>
    <xf numFmtId="0" fontId="82" fillId="0" borderId="0" xfId="5" applyFont="1" applyAlignment="1">
      <alignment horizontal="left" vertical="center"/>
    </xf>
    <xf numFmtId="0" fontId="31" fillId="2" borderId="66" xfId="5" applyFont="1" applyFill="1" applyBorder="1" applyAlignment="1">
      <alignment horizontal="center" vertical="center"/>
    </xf>
    <xf numFmtId="0" fontId="55" fillId="0" borderId="67" xfId="5" applyFont="1" applyBorder="1" applyAlignment="1">
      <alignment horizontal="left" vertical="center"/>
    </xf>
    <xf numFmtId="0" fontId="31" fillId="0" borderId="9" xfId="5" applyFont="1" applyBorder="1" applyAlignment="1">
      <alignment horizontal="center" vertical="center"/>
    </xf>
    <xf numFmtId="0" fontId="31" fillId="0" borderId="10" xfId="5" applyFont="1" applyBorder="1" applyAlignment="1">
      <alignment horizontal="center" vertical="center"/>
    </xf>
    <xf numFmtId="0" fontId="31" fillId="0" borderId="41" xfId="5" applyFont="1" applyBorder="1" applyAlignment="1">
      <alignment vertical="center"/>
    </xf>
    <xf numFmtId="4" fontId="31" fillId="0" borderId="81" xfId="5" applyNumberFormat="1" applyFont="1" applyBorder="1" applyAlignment="1">
      <alignment horizontal="center" vertical="center"/>
    </xf>
    <xf numFmtId="0" fontId="85" fillId="0" borderId="0" xfId="0" applyFont="1" applyFill="1" applyBorder="1" applyAlignment="1">
      <alignment horizontal="left" vertical="center" wrapText="1"/>
    </xf>
    <xf numFmtId="0" fontId="84" fillId="0" borderId="0" xfId="0" applyFont="1" applyFill="1" applyBorder="1" applyAlignment="1">
      <alignment horizontal="left" vertical="center"/>
    </xf>
    <xf numFmtId="1" fontId="36" fillId="0" borderId="24" xfId="0" applyNumberFormat="1" applyFont="1" applyBorder="1" applyAlignment="1">
      <alignment horizontal="center" vertical="center"/>
    </xf>
    <xf numFmtId="0" fontId="33" fillId="0" borderId="26" xfId="0" applyFont="1" applyBorder="1" applyAlignment="1">
      <alignment horizontal="center" vertical="center"/>
    </xf>
    <xf numFmtId="0" fontId="36" fillId="0" borderId="24" xfId="0" applyFont="1" applyBorder="1" applyAlignment="1">
      <alignment horizontal="center" vertical="center" wrapText="1"/>
    </xf>
    <xf numFmtId="0" fontId="33" fillId="0" borderId="43" xfId="0" applyFont="1" applyBorder="1" applyAlignment="1">
      <alignment horizontal="center" vertical="center"/>
    </xf>
    <xf numFmtId="0" fontId="33" fillId="0" borderId="33" xfId="0" applyFont="1" applyBorder="1" applyAlignment="1">
      <alignment horizontal="center" vertical="center"/>
    </xf>
    <xf numFmtId="0" fontId="33" fillId="0" borderId="44" xfId="0" applyFont="1" applyBorder="1" applyAlignment="1">
      <alignment horizontal="center" vertical="center"/>
    </xf>
    <xf numFmtId="0" fontId="33" fillId="0" borderId="49" xfId="0" applyFont="1" applyBorder="1" applyAlignment="1">
      <alignment horizontal="center" vertical="center"/>
    </xf>
    <xf numFmtId="0" fontId="33" fillId="0" borderId="45" xfId="0" applyFont="1" applyBorder="1" applyAlignment="1">
      <alignment horizontal="center" vertical="center"/>
    </xf>
    <xf numFmtId="0" fontId="33" fillId="0" borderId="51" xfId="0" applyFont="1" applyBorder="1" applyAlignment="1">
      <alignment horizontal="center" vertical="center"/>
    </xf>
    <xf numFmtId="0" fontId="33" fillId="0" borderId="24" xfId="0" applyFont="1" applyBorder="1" applyAlignment="1">
      <alignment horizontal="center" vertical="center" wrapText="1"/>
    </xf>
    <xf numFmtId="43" fontId="36" fillId="0" borderId="21" xfId="0" applyNumberFormat="1" applyFont="1" applyBorder="1" applyAlignment="1">
      <alignment horizontal="center" vertical="center"/>
    </xf>
    <xf numFmtId="0" fontId="34" fillId="2" borderId="28" xfId="3" applyFont="1" applyFill="1" applyBorder="1" applyAlignment="1">
      <alignment horizontal="center" vertical="center"/>
    </xf>
    <xf numFmtId="0" fontId="34" fillId="2" borderId="28" xfId="3" applyFont="1" applyFill="1" applyBorder="1" applyAlignment="1">
      <alignment horizontal="center" vertical="center" wrapText="1"/>
    </xf>
    <xf numFmtId="43" fontId="29" fillId="0" borderId="0" xfId="1" applyFont="1" applyBorder="1" applyAlignment="1">
      <alignment horizontal="center" vertical="center"/>
    </xf>
    <xf numFmtId="0" fontId="34" fillId="0" borderId="0" xfId="0" applyFont="1" applyAlignment="1">
      <alignment horizontal="center" vertical="center"/>
    </xf>
    <xf numFmtId="49" fontId="34" fillId="0" borderId="0" xfId="0" applyNumberFormat="1" applyFont="1" applyBorder="1" applyAlignment="1">
      <alignment horizontal="center" vertical="center"/>
    </xf>
    <xf numFmtId="43" fontId="15" fillId="0" borderId="71" xfId="8" applyFont="1" applyBorder="1"/>
    <xf numFmtId="0" fontId="15" fillId="2" borderId="66" xfId="5" applyFont="1" applyFill="1" applyBorder="1" applyAlignment="1">
      <alignment horizontal="center"/>
    </xf>
    <xf numFmtId="0" fontId="24" fillId="0" borderId="67" xfId="5" applyFont="1" applyBorder="1" applyAlignment="1">
      <alignment horizontal="left"/>
    </xf>
    <xf numFmtId="0" fontId="15" fillId="0" borderId="9" xfId="5" applyFont="1" applyBorder="1" applyAlignment="1">
      <alignment horizontal="center"/>
    </xf>
    <xf numFmtId="0" fontId="15" fillId="0" borderId="10" xfId="5" applyFont="1" applyBorder="1" applyAlignment="1">
      <alignment horizontal="center"/>
    </xf>
    <xf numFmtId="0" fontId="39" fillId="0" borderId="0" xfId="0" applyFont="1" applyFill="1" applyAlignment="1">
      <alignment vertical="center"/>
    </xf>
    <xf numFmtId="0" fontId="39" fillId="0" borderId="0" xfId="0" applyFont="1" applyFill="1" applyBorder="1" applyAlignment="1">
      <alignment vertical="center"/>
    </xf>
    <xf numFmtId="2" fontId="34" fillId="0" borderId="37" xfId="0" applyNumberFormat="1" applyFont="1" applyBorder="1" applyAlignment="1">
      <alignment horizontal="center" vertical="center"/>
    </xf>
    <xf numFmtId="0" fontId="36" fillId="0" borderId="37" xfId="0" applyFont="1" applyBorder="1" applyAlignment="1">
      <alignment horizontal="center" vertical="center"/>
    </xf>
    <xf numFmtId="0" fontId="36" fillId="2" borderId="51" xfId="0" applyFont="1" applyFill="1" applyBorder="1" applyAlignment="1">
      <alignment horizontal="center" vertical="center"/>
    </xf>
    <xf numFmtId="0" fontId="36" fillId="2" borderId="50" xfId="0" applyFont="1" applyFill="1" applyBorder="1" applyAlignment="1">
      <alignment horizontal="center" vertical="center"/>
    </xf>
    <xf numFmtId="49" fontId="36" fillId="2" borderId="30" xfId="0" applyNumberFormat="1" applyFont="1" applyFill="1" applyBorder="1" applyAlignment="1">
      <alignment horizontal="center" vertical="center"/>
    </xf>
    <xf numFmtId="43" fontId="37" fillId="2" borderId="24" xfId="1" applyFont="1" applyFill="1" applyBorder="1" applyAlignment="1">
      <alignment horizontal="center" vertical="center"/>
    </xf>
    <xf numFmtId="43" fontId="37" fillId="2" borderId="25" xfId="1" applyFont="1" applyFill="1" applyBorder="1" applyAlignment="1">
      <alignment horizontal="center" vertical="center"/>
    </xf>
    <xf numFmtId="0" fontId="88" fillId="0" borderId="0" xfId="0" applyFont="1" applyAlignment="1">
      <alignment horizontal="center" vertical="center"/>
    </xf>
    <xf numFmtId="166" fontId="89" fillId="0" borderId="28" xfId="4" applyNumberFormat="1" applyFont="1" applyFill="1" applyBorder="1" applyAlignment="1">
      <alignment horizontal="center" vertical="center"/>
    </xf>
    <xf numFmtId="4" fontId="90" fillId="0" borderId="0" xfId="0" applyNumberFormat="1" applyFont="1" applyFill="1" applyBorder="1" applyAlignment="1">
      <alignment horizontal="center" vertical="center"/>
    </xf>
    <xf numFmtId="166" fontId="90" fillId="0" borderId="0" xfId="0" applyNumberFormat="1" applyFont="1" applyFill="1" applyBorder="1" applyAlignment="1">
      <alignment horizontal="center" vertical="center"/>
    </xf>
    <xf numFmtId="4" fontId="90" fillId="0" borderId="0" xfId="0" applyNumberFormat="1" applyFont="1" applyFill="1" applyAlignment="1">
      <alignment vertical="center"/>
    </xf>
    <xf numFmtId="166" fontId="92" fillId="0" borderId="0" xfId="0" applyNumberFormat="1" applyFont="1" applyFill="1" applyBorder="1" applyAlignment="1">
      <alignment horizontal="center" vertical="center"/>
    </xf>
    <xf numFmtId="4" fontId="93" fillId="0" borderId="0" xfId="9" applyNumberFormat="1" applyFont="1" applyFill="1" applyAlignment="1">
      <alignment vertical="center"/>
    </xf>
    <xf numFmtId="4" fontId="89" fillId="0" borderId="0" xfId="0" applyNumberFormat="1" applyFont="1" applyFill="1" applyAlignment="1">
      <alignment vertical="center"/>
    </xf>
    <xf numFmtId="4" fontId="89" fillId="0" borderId="0" xfId="0" applyNumberFormat="1" applyFont="1" applyAlignment="1">
      <alignment vertical="center"/>
    </xf>
    <xf numFmtId="4" fontId="92" fillId="0" borderId="37" xfId="0" applyNumberFormat="1" applyFont="1" applyFill="1" applyBorder="1" applyAlignment="1">
      <alignment horizontal="center" vertical="center" wrapText="1"/>
    </xf>
    <xf numFmtId="4" fontId="94" fillId="0" borderId="37" xfId="0" applyNumberFormat="1" applyFont="1" applyFill="1" applyBorder="1" applyAlignment="1">
      <alignment horizontal="center" vertical="center"/>
    </xf>
    <xf numFmtId="166" fontId="94" fillId="0" borderId="37" xfId="0" applyNumberFormat="1" applyFont="1" applyFill="1" applyBorder="1" applyAlignment="1">
      <alignment horizontal="center" vertical="center"/>
    </xf>
    <xf numFmtId="4" fontId="92" fillId="0" borderId="38" xfId="0" applyNumberFormat="1" applyFont="1" applyFill="1" applyBorder="1" applyAlignment="1">
      <alignment horizontal="center" vertical="center" wrapText="1"/>
    </xf>
    <xf numFmtId="4" fontId="94" fillId="0" borderId="28" xfId="0" applyNumberFormat="1" applyFont="1" applyFill="1" applyBorder="1" applyAlignment="1">
      <alignment horizontal="center" vertical="center"/>
    </xf>
    <xf numFmtId="4" fontId="94" fillId="0" borderId="28" xfId="0" applyNumberFormat="1" applyFont="1" applyFill="1" applyBorder="1" applyAlignment="1">
      <alignment vertical="center" wrapText="1"/>
    </xf>
    <xf numFmtId="4" fontId="94" fillId="0" borderId="47" xfId="0" applyNumberFormat="1" applyFont="1" applyFill="1" applyBorder="1" applyAlignment="1">
      <alignment horizontal="center" vertical="center"/>
    </xf>
    <xf numFmtId="4" fontId="89" fillId="0" borderId="0" xfId="0" applyNumberFormat="1" applyFont="1" applyAlignment="1">
      <alignment horizontal="center" vertical="center"/>
    </xf>
    <xf numFmtId="4" fontId="92" fillId="0" borderId="0" xfId="0" applyNumberFormat="1" applyFont="1" applyFill="1" applyAlignment="1">
      <alignment horizontal="center" vertical="center"/>
    </xf>
    <xf numFmtId="166" fontId="89" fillId="0" borderId="47" xfId="0" applyNumberFormat="1" applyFont="1" applyFill="1" applyBorder="1" applyAlignment="1">
      <alignment horizontal="center" vertical="center" wrapText="1"/>
    </xf>
    <xf numFmtId="4" fontId="89" fillId="0" borderId="47" xfId="0" applyNumberFormat="1" applyFont="1" applyFill="1" applyBorder="1" applyAlignment="1">
      <alignment horizontal="center" vertical="center" wrapText="1"/>
    </xf>
    <xf numFmtId="166" fontId="89" fillId="0" borderId="28" xfId="0" applyNumberFormat="1" applyFont="1" applyFill="1" applyBorder="1" applyAlignment="1">
      <alignment horizontal="center" vertical="center"/>
    </xf>
    <xf numFmtId="4" fontId="89" fillId="0" borderId="28" xfId="0" applyNumberFormat="1" applyFont="1" applyFill="1" applyBorder="1" applyAlignment="1">
      <alignment horizontal="center" vertical="center"/>
    </xf>
    <xf numFmtId="166" fontId="89" fillId="0" borderId="47" xfId="0" applyNumberFormat="1" applyFont="1" applyFill="1" applyBorder="1" applyAlignment="1">
      <alignment horizontal="center" vertical="center"/>
    </xf>
    <xf numFmtId="4" fontId="89" fillId="0" borderId="47" xfId="0" applyNumberFormat="1" applyFont="1" applyFill="1" applyBorder="1" applyAlignment="1">
      <alignment horizontal="center" vertical="center"/>
    </xf>
    <xf numFmtId="4" fontId="89" fillId="0" borderId="28" xfId="4" applyNumberFormat="1" applyFont="1" applyFill="1" applyBorder="1" applyAlignment="1">
      <alignment horizontal="center" vertical="center"/>
    </xf>
    <xf numFmtId="4" fontId="92" fillId="0" borderId="0" xfId="4" applyNumberFormat="1" applyFont="1" applyFill="1" applyAlignment="1">
      <alignment vertical="center"/>
    </xf>
    <xf numFmtId="166" fontId="93" fillId="0" borderId="28" xfId="0" applyNumberFormat="1" applyFont="1" applyFill="1" applyBorder="1" applyAlignment="1">
      <alignment horizontal="center" vertical="center"/>
    </xf>
    <xf numFmtId="4" fontId="93" fillId="0" borderId="28" xfId="0" applyNumberFormat="1" applyFont="1" applyFill="1" applyBorder="1" applyAlignment="1">
      <alignment horizontal="center" vertical="center"/>
    </xf>
    <xf numFmtId="4" fontId="93" fillId="0" borderId="28" xfId="4" applyNumberFormat="1" applyFont="1" applyFill="1" applyBorder="1" applyAlignment="1">
      <alignment horizontal="center" vertical="center"/>
    </xf>
    <xf numFmtId="4" fontId="89" fillId="0" borderId="47" xfId="4" applyNumberFormat="1" applyFont="1" applyFill="1" applyBorder="1" applyAlignment="1">
      <alignment horizontal="center" vertical="center"/>
    </xf>
    <xf numFmtId="4" fontId="115" fillId="3" borderId="11" xfId="4" applyNumberFormat="1" applyFont="1" applyFill="1" applyBorder="1" applyAlignment="1">
      <alignment horizontal="center" vertical="center"/>
    </xf>
    <xf numFmtId="4" fontId="89" fillId="0" borderId="37" xfId="0" applyNumberFormat="1" applyFont="1" applyFill="1" applyBorder="1" applyAlignment="1">
      <alignment horizontal="center" vertical="center"/>
    </xf>
    <xf numFmtId="4" fontId="90" fillId="0" borderId="37" xfId="0" applyNumberFormat="1" applyFont="1" applyFill="1" applyBorder="1" applyAlignment="1">
      <alignment horizontal="center" vertical="center"/>
    </xf>
    <xf numFmtId="4" fontId="89" fillId="0" borderId="28" xfId="0" applyNumberFormat="1" applyFont="1" applyFill="1" applyBorder="1" applyAlignment="1">
      <alignment horizontal="left" vertical="center" wrapText="1"/>
    </xf>
    <xf numFmtId="4" fontId="94" fillId="0" borderId="0" xfId="4" applyNumberFormat="1" applyFont="1" applyFill="1" applyBorder="1" applyAlignment="1">
      <alignment vertical="center"/>
    </xf>
    <xf numFmtId="166" fontId="118" fillId="0" borderId="36" xfId="0" applyNumberFormat="1" applyFont="1" applyFill="1" applyBorder="1" applyAlignment="1">
      <alignment horizontal="center" vertical="center"/>
    </xf>
    <xf numFmtId="4" fontId="94" fillId="0" borderId="0" xfId="0" applyNumberFormat="1" applyFont="1" applyFill="1" applyAlignment="1">
      <alignment vertical="center"/>
    </xf>
    <xf numFmtId="4" fontId="117" fillId="0" borderId="0" xfId="0" applyNumberFormat="1" applyFont="1" applyFill="1" applyAlignment="1">
      <alignment vertical="center"/>
    </xf>
    <xf numFmtId="4" fontId="89" fillId="3" borderId="11" xfId="4" applyNumberFormat="1" applyFont="1" applyFill="1" applyBorder="1" applyAlignment="1">
      <alignment horizontal="center" vertical="center"/>
    </xf>
    <xf numFmtId="166" fontId="89" fillId="0" borderId="47" xfId="4" applyNumberFormat="1" applyFont="1" applyFill="1" applyBorder="1" applyAlignment="1">
      <alignment horizontal="center" vertical="center"/>
    </xf>
    <xf numFmtId="166" fontId="120" fillId="0" borderId="36" xfId="0" applyNumberFormat="1" applyFont="1" applyFill="1" applyBorder="1" applyAlignment="1">
      <alignment horizontal="center" vertical="center"/>
    </xf>
    <xf numFmtId="166" fontId="39" fillId="0" borderId="27" xfId="0" applyNumberFormat="1" applyFont="1" applyFill="1" applyBorder="1" applyAlignment="1">
      <alignment horizontal="center" vertical="center"/>
    </xf>
    <xf numFmtId="4" fontId="89" fillId="0" borderId="28" xfId="0" applyNumberFormat="1" applyFont="1" applyFill="1" applyBorder="1" applyAlignment="1">
      <alignment vertical="center"/>
    </xf>
    <xf numFmtId="4" fontId="115" fillId="3" borderId="28" xfId="4" applyNumberFormat="1" applyFont="1" applyFill="1" applyBorder="1" applyAlignment="1">
      <alignment horizontal="center" vertical="center"/>
    </xf>
    <xf numFmtId="4" fontId="92" fillId="0" borderId="28" xfId="0" applyNumberFormat="1" applyFont="1" applyFill="1" applyBorder="1" applyAlignment="1">
      <alignment horizontal="center" vertical="center"/>
    </xf>
    <xf numFmtId="166" fontId="39" fillId="0" borderId="56" xfId="0" applyNumberFormat="1" applyFont="1" applyFill="1" applyBorder="1" applyAlignment="1">
      <alignment horizontal="center" vertical="center"/>
    </xf>
    <xf numFmtId="166" fontId="39" fillId="0" borderId="36" xfId="0" applyNumberFormat="1" applyFont="1" applyFill="1" applyBorder="1" applyAlignment="1">
      <alignment horizontal="center" vertical="center"/>
    </xf>
    <xf numFmtId="4" fontId="115" fillId="3" borderId="11" xfId="4" applyNumberFormat="1" applyFont="1" applyFill="1" applyBorder="1" applyAlignment="1">
      <alignment vertical="center"/>
    </xf>
    <xf numFmtId="4" fontId="89" fillId="0" borderId="0" xfId="0" applyNumberFormat="1" applyFont="1" applyFill="1" applyBorder="1" applyAlignment="1">
      <alignment horizontal="center" vertical="center"/>
    </xf>
    <xf numFmtId="166" fontId="118" fillId="0" borderId="0" xfId="0" applyNumberFormat="1" applyFont="1" applyFill="1" applyAlignment="1">
      <alignment horizontal="center" vertical="center"/>
    </xf>
    <xf numFmtId="4" fontId="94" fillId="0" borderId="0" xfId="0" applyNumberFormat="1" applyFont="1" applyFill="1" applyBorder="1" applyAlignment="1">
      <alignment horizontal="center" vertical="center"/>
    </xf>
    <xf numFmtId="166" fontId="89" fillId="0" borderId="0" xfId="0" applyNumberFormat="1" applyFont="1" applyFill="1" applyBorder="1" applyAlignment="1">
      <alignment vertical="center"/>
    </xf>
    <xf numFmtId="4" fontId="33" fillId="0" borderId="6" xfId="0" applyNumberFormat="1" applyFont="1" applyBorder="1"/>
    <xf numFmtId="0" fontId="37" fillId="0" borderId="0" xfId="0" applyFont="1" applyBorder="1" applyAlignment="1">
      <alignment horizontal="center" vertical="center"/>
    </xf>
    <xf numFmtId="0" fontId="22" fillId="0" borderId="33" xfId="0" applyFont="1" applyBorder="1" applyAlignment="1">
      <alignment horizontal="center" vertical="center"/>
    </xf>
    <xf numFmtId="0" fontId="22" fillId="0" borderId="21" xfId="0" applyFont="1" applyBorder="1" applyAlignment="1">
      <alignment horizontal="center" vertical="center"/>
    </xf>
    <xf numFmtId="0" fontId="48" fillId="0" borderId="0" xfId="0" applyFont="1" applyBorder="1" applyAlignment="1">
      <alignment horizontal="left" vertical="center" wrapText="1"/>
    </xf>
    <xf numFmtId="0" fontId="28" fillId="0" borderId="0" xfId="0" applyFont="1" applyBorder="1" applyAlignment="1">
      <alignment horizontal="left" vertical="center" wrapText="1"/>
    </xf>
    <xf numFmtId="4" fontId="125" fillId="0" borderId="77" xfId="3" applyNumberFormat="1" applyFont="1" applyBorder="1" applyAlignment="1">
      <alignment horizontal="center"/>
    </xf>
    <xf numFmtId="0" fontId="39" fillId="0" borderId="0" xfId="0" applyFont="1" applyAlignment="1">
      <alignment vertical="center"/>
    </xf>
    <xf numFmtId="0" fontId="57" fillId="0" borderId="0" xfId="0" applyFont="1" applyBorder="1" applyAlignment="1">
      <alignment vertical="center"/>
    </xf>
    <xf numFmtId="0" fontId="58" fillId="0" borderId="0" xfId="0" applyFont="1" applyBorder="1" applyAlignment="1">
      <alignment horizontal="center" vertical="center"/>
    </xf>
    <xf numFmtId="0" fontId="57" fillId="0" borderId="31" xfId="0" applyFont="1" applyBorder="1" applyAlignment="1">
      <alignment vertical="center"/>
    </xf>
    <xf numFmtId="0" fontId="57" fillId="0" borderId="33" xfId="0" applyFont="1" applyBorder="1" applyAlignment="1">
      <alignment horizontal="center" vertical="center"/>
    </xf>
    <xf numFmtId="0" fontId="57" fillId="0" borderId="33" xfId="0" applyFont="1" applyBorder="1" applyAlignment="1">
      <alignment vertical="center"/>
    </xf>
    <xf numFmtId="0" fontId="57" fillId="0" borderId="34" xfId="0" applyFont="1" applyBorder="1" applyAlignment="1">
      <alignment vertical="center"/>
    </xf>
    <xf numFmtId="0" fontId="57" fillId="0" borderId="35" xfId="0" applyFont="1" applyBorder="1" applyAlignment="1">
      <alignment horizontal="center" vertical="center"/>
    </xf>
    <xf numFmtId="0" fontId="57" fillId="0" borderId="35" xfId="0" applyFont="1" applyBorder="1" applyAlignment="1">
      <alignment vertical="center"/>
    </xf>
    <xf numFmtId="0" fontId="57" fillId="0" borderId="24" xfId="0" applyFont="1" applyBorder="1" applyAlignment="1">
      <alignment vertical="center"/>
    </xf>
    <xf numFmtId="0" fontId="57" fillId="0" borderId="23" xfId="0" applyFont="1" applyBorder="1" applyAlignment="1">
      <alignment vertical="center"/>
    </xf>
    <xf numFmtId="0" fontId="57" fillId="0" borderId="9" xfId="0" applyFont="1" applyBorder="1" applyAlignment="1">
      <alignment vertical="center"/>
    </xf>
    <xf numFmtId="0" fontId="57" fillId="0" borderId="25" xfId="0" applyFont="1" applyBorder="1" applyAlignment="1">
      <alignment vertical="center"/>
    </xf>
    <xf numFmtId="0" fontId="57" fillId="0" borderId="26" xfId="0" applyFont="1" applyBorder="1" applyAlignment="1">
      <alignment horizontal="center" vertical="center"/>
    </xf>
    <xf numFmtId="0" fontId="57" fillId="0" borderId="21" xfId="0" applyFont="1" applyBorder="1" applyAlignment="1">
      <alignment horizontal="left" vertical="center"/>
    </xf>
    <xf numFmtId="0" fontId="57" fillId="0" borderId="21" xfId="0" applyFont="1" applyBorder="1" applyAlignment="1">
      <alignment horizontal="center" vertical="center"/>
    </xf>
    <xf numFmtId="43" fontId="57" fillId="0" borderId="21" xfId="1" applyFont="1" applyBorder="1" applyAlignment="1">
      <alignment horizontal="right" vertical="center"/>
    </xf>
    <xf numFmtId="0" fontId="57" fillId="0" borderId="21" xfId="0" applyFont="1" applyBorder="1" applyAlignment="1">
      <alignment vertical="center"/>
    </xf>
    <xf numFmtId="43" fontId="57" fillId="0" borderId="21" xfId="1" applyFont="1" applyBorder="1" applyAlignment="1">
      <alignment vertical="center"/>
    </xf>
    <xf numFmtId="43" fontId="57" fillId="0" borderId="22" xfId="1" applyFont="1" applyBorder="1" applyAlignment="1">
      <alignment vertical="center"/>
    </xf>
    <xf numFmtId="0" fontId="57" fillId="0" borderId="27" xfId="0" applyFont="1" applyBorder="1" applyAlignment="1">
      <alignment vertical="center"/>
    </xf>
    <xf numFmtId="0" fontId="59" fillId="0" borderId="28" xfId="0" applyFont="1" applyBorder="1" applyAlignment="1">
      <alignment horizontal="center" vertical="center"/>
    </xf>
    <xf numFmtId="2" fontId="59" fillId="0" borderId="28" xfId="0" applyNumberFormat="1" applyFont="1" applyBorder="1" applyAlignment="1">
      <alignment horizontal="center" vertical="center"/>
    </xf>
    <xf numFmtId="43" fontId="59" fillId="0" borderId="28" xfId="1" applyFont="1" applyBorder="1" applyAlignment="1">
      <alignment horizontal="center" vertical="center"/>
    </xf>
    <xf numFmtId="43" fontId="59" fillId="0" borderId="29" xfId="1" applyFont="1" applyBorder="1" applyAlignment="1">
      <alignment horizontal="center" vertical="center"/>
    </xf>
    <xf numFmtId="0" fontId="57" fillId="0" borderId="28" xfId="0" applyFont="1" applyBorder="1" applyAlignment="1">
      <alignment horizontal="left" vertical="center"/>
    </xf>
    <xf numFmtId="0" fontId="57" fillId="0" borderId="28" xfId="0" applyFont="1" applyBorder="1" applyAlignment="1">
      <alignment vertical="center"/>
    </xf>
    <xf numFmtId="0" fontId="57" fillId="0" borderId="28" xfId="0" applyFont="1" applyBorder="1" applyAlignment="1">
      <alignment horizontal="center" vertical="center"/>
    </xf>
    <xf numFmtId="43" fontId="57" fillId="0" borderId="28" xfId="1" applyFont="1" applyBorder="1" applyAlignment="1">
      <alignment horizontal="right" vertical="center"/>
    </xf>
    <xf numFmtId="43" fontId="39" fillId="0" borderId="28" xfId="1" applyFont="1" applyBorder="1" applyAlignment="1">
      <alignment vertical="center"/>
    </xf>
    <xf numFmtId="43" fontId="39" fillId="0" borderId="29" xfId="1" applyFont="1" applyBorder="1" applyAlignment="1">
      <alignment vertical="center"/>
    </xf>
    <xf numFmtId="0" fontId="57" fillId="0" borderId="30" xfId="0" applyFont="1" applyBorder="1" applyAlignment="1">
      <alignment vertical="center"/>
    </xf>
    <xf numFmtId="0" fontId="57" fillId="0" borderId="24" xfId="0" applyFont="1" applyBorder="1" applyAlignment="1">
      <alignment horizontal="left" vertical="center"/>
    </xf>
    <xf numFmtId="0" fontId="57" fillId="0" borderId="24" xfId="0" applyFont="1" applyBorder="1" applyAlignment="1">
      <alignment horizontal="center" vertical="center"/>
    </xf>
    <xf numFmtId="43" fontId="57" fillId="0" borderId="24" xfId="1" applyFont="1" applyBorder="1" applyAlignment="1">
      <alignment horizontal="right" vertical="center"/>
    </xf>
    <xf numFmtId="43" fontId="57" fillId="0" borderId="24" xfId="1" applyFont="1" applyBorder="1" applyAlignment="1">
      <alignment horizontal="left" vertical="center"/>
    </xf>
    <xf numFmtId="43" fontId="57" fillId="0" borderId="24" xfId="1" applyFont="1" applyBorder="1" applyAlignment="1">
      <alignment vertical="center"/>
    </xf>
    <xf numFmtId="43" fontId="39" fillId="0" borderId="25" xfId="1" applyFont="1" applyBorder="1" applyAlignment="1">
      <alignment vertical="center"/>
    </xf>
    <xf numFmtId="0" fontId="57" fillId="0" borderId="43" xfId="0" applyFont="1" applyBorder="1" applyAlignment="1">
      <alignment vertical="center"/>
    </xf>
    <xf numFmtId="43" fontId="58" fillId="0" borderId="21" xfId="1" applyFont="1" applyBorder="1" applyAlignment="1">
      <alignment vertical="center"/>
    </xf>
    <xf numFmtId="0" fontId="57" fillId="0" borderId="44" xfId="0" applyFont="1" applyBorder="1" applyAlignment="1">
      <alignment vertical="center"/>
    </xf>
    <xf numFmtId="0" fontId="57" fillId="0" borderId="49" xfId="0" applyFont="1" applyBorder="1" applyAlignment="1">
      <alignment vertical="center"/>
    </xf>
    <xf numFmtId="49" fontId="58" fillId="0" borderId="28" xfId="0" applyNumberFormat="1" applyFont="1" applyBorder="1" applyAlignment="1">
      <alignment horizontal="left" vertical="center"/>
    </xf>
    <xf numFmtId="43" fontId="58" fillId="0" borderId="28" xfId="1" applyFont="1" applyBorder="1" applyAlignment="1">
      <alignment horizontal="center" vertical="center"/>
    </xf>
    <xf numFmtId="49" fontId="58" fillId="0" borderId="28" xfId="1" applyNumberFormat="1" applyFont="1" applyBorder="1" applyAlignment="1">
      <alignment horizontal="left" vertical="center"/>
    </xf>
    <xf numFmtId="165" fontId="58" fillId="0" borderId="28" xfId="1" applyNumberFormat="1" applyFont="1" applyBorder="1" applyAlignment="1">
      <alignment horizontal="center" vertical="center"/>
    </xf>
    <xf numFmtId="43" fontId="58" fillId="0" borderId="29" xfId="1" applyFont="1" applyBorder="1" applyAlignment="1">
      <alignment horizontal="center" vertical="center"/>
    </xf>
    <xf numFmtId="0" fontId="57" fillId="0" borderId="45" xfId="0" applyFont="1" applyBorder="1" applyAlignment="1">
      <alignment vertical="center"/>
    </xf>
    <xf numFmtId="0" fontId="57" fillId="0" borderId="51" xfId="0" applyFont="1" applyBorder="1" applyAlignment="1">
      <alignment vertical="center"/>
    </xf>
    <xf numFmtId="49" fontId="57" fillId="0" borderId="24" xfId="0" applyNumberFormat="1" applyFont="1" applyBorder="1" applyAlignment="1">
      <alignment horizontal="left" vertical="center"/>
    </xf>
    <xf numFmtId="43" fontId="58" fillId="0" borderId="24" xfId="1" applyFont="1" applyBorder="1" applyAlignment="1">
      <alignment horizontal="center" vertical="center"/>
    </xf>
    <xf numFmtId="43" fontId="58" fillId="0" borderId="25" xfId="1" applyFont="1" applyBorder="1" applyAlignment="1">
      <alignment horizontal="center" vertical="center"/>
    </xf>
    <xf numFmtId="0" fontId="57" fillId="0" borderId="0" xfId="0" applyFont="1" applyAlignment="1">
      <alignment vertical="center"/>
    </xf>
    <xf numFmtId="49" fontId="57" fillId="0" borderId="0" xfId="0" applyNumberFormat="1" applyFont="1" applyBorder="1" applyAlignment="1">
      <alignment horizontal="left" vertical="center"/>
    </xf>
    <xf numFmtId="43" fontId="58" fillId="0" borderId="0" xfId="1" applyFont="1" applyBorder="1" applyAlignment="1">
      <alignment horizontal="center" vertical="center"/>
    </xf>
    <xf numFmtId="0" fontId="4" fillId="0" borderId="0" xfId="0" applyFont="1" applyAlignment="1">
      <alignment vertical="center"/>
    </xf>
    <xf numFmtId="0" fontId="0" fillId="0" borderId="0" xfId="0" applyFont="1" applyAlignment="1">
      <alignment vertical="center"/>
    </xf>
    <xf numFmtId="0" fontId="22" fillId="0" borderId="0" xfId="0" applyFont="1" applyBorder="1" applyAlignment="1">
      <alignment vertical="center"/>
    </xf>
    <xf numFmtId="0" fontId="22" fillId="0" borderId="31" xfId="0" applyFont="1" applyBorder="1" applyAlignment="1">
      <alignment vertical="center"/>
    </xf>
    <xf numFmtId="0" fontId="22" fillId="0" borderId="33" xfId="0" applyFont="1" applyBorder="1" applyAlignment="1">
      <alignment vertical="center"/>
    </xf>
    <xf numFmtId="0" fontId="22" fillId="0" borderId="34" xfId="0" applyFont="1" applyBorder="1" applyAlignment="1">
      <alignment vertical="center"/>
    </xf>
    <xf numFmtId="0" fontId="22" fillId="0" borderId="35" xfId="0" applyFont="1" applyBorder="1" applyAlignment="1">
      <alignment vertical="center"/>
    </xf>
    <xf numFmtId="0" fontId="22" fillId="0" borderId="24" xfId="0" applyFont="1" applyBorder="1" applyAlignment="1">
      <alignment vertical="center"/>
    </xf>
    <xf numFmtId="0" fontId="22" fillId="0" borderId="23" xfId="0" applyFont="1" applyBorder="1" applyAlignment="1">
      <alignment vertical="center"/>
    </xf>
    <xf numFmtId="0" fontId="22" fillId="0" borderId="9" xfId="0" applyFont="1" applyBorder="1" applyAlignment="1">
      <alignment vertical="center"/>
    </xf>
    <xf numFmtId="0" fontId="22" fillId="0" borderId="25" xfId="0" applyFont="1" applyBorder="1" applyAlignment="1">
      <alignment vertical="center"/>
    </xf>
    <xf numFmtId="0" fontId="22" fillId="0" borderId="26" xfId="0" applyFont="1" applyBorder="1" applyAlignment="1">
      <alignment vertical="center"/>
    </xf>
    <xf numFmtId="43" fontId="22" fillId="0" borderId="21" xfId="1" applyFont="1" applyBorder="1" applyAlignment="1">
      <alignment vertical="center"/>
    </xf>
    <xf numFmtId="0" fontId="22" fillId="0" borderId="21" xfId="1" applyNumberFormat="1" applyFont="1" applyBorder="1" applyAlignment="1">
      <alignment horizontal="right" vertical="center"/>
    </xf>
    <xf numFmtId="43" fontId="22" fillId="0" borderId="3" xfId="0" applyNumberFormat="1" applyFont="1" applyBorder="1" applyAlignment="1">
      <alignment vertical="center"/>
    </xf>
    <xf numFmtId="43" fontId="22" fillId="0" borderId="22" xfId="1" applyFont="1" applyBorder="1" applyAlignment="1">
      <alignment vertical="center"/>
    </xf>
    <xf numFmtId="0" fontId="22" fillId="0" borderId="27" xfId="0" applyFont="1" applyBorder="1" applyAlignment="1">
      <alignment vertical="center"/>
    </xf>
    <xf numFmtId="43" fontId="22" fillId="0" borderId="28" xfId="1" applyFont="1" applyBorder="1" applyAlignment="1">
      <alignment vertical="center"/>
    </xf>
    <xf numFmtId="0" fontId="22" fillId="0" borderId="28" xfId="1" applyNumberFormat="1" applyFont="1" applyBorder="1" applyAlignment="1">
      <alignment horizontal="right" vertical="center"/>
    </xf>
    <xf numFmtId="43" fontId="22" fillId="0" borderId="28" xfId="0" applyNumberFormat="1" applyFont="1" applyBorder="1" applyAlignment="1">
      <alignment vertical="center"/>
    </xf>
    <xf numFmtId="43" fontId="22" fillId="0" borderId="29" xfId="1" applyFont="1" applyBorder="1" applyAlignment="1">
      <alignment vertical="center"/>
    </xf>
    <xf numFmtId="0" fontId="22" fillId="0" borderId="28" xfId="0" applyFont="1" applyBorder="1" applyAlignment="1">
      <alignment vertical="center"/>
    </xf>
    <xf numFmtId="43" fontId="22" fillId="0" borderId="28" xfId="1" applyFont="1" applyBorder="1" applyAlignment="1">
      <alignment horizontal="right" vertical="center"/>
    </xf>
    <xf numFmtId="0" fontId="22" fillId="0" borderId="28" xfId="0" applyNumberFormat="1" applyFont="1" applyBorder="1" applyAlignment="1">
      <alignment vertical="center"/>
    </xf>
    <xf numFmtId="0" fontId="22" fillId="0" borderId="28" xfId="0" applyFont="1" applyBorder="1" applyAlignment="1">
      <alignment horizontal="left" vertical="center"/>
    </xf>
    <xf numFmtId="43" fontId="22" fillId="0" borderId="28" xfId="1" applyFont="1" applyBorder="1" applyAlignment="1">
      <alignment horizontal="left" vertical="center"/>
    </xf>
    <xf numFmtId="0" fontId="0" fillId="0" borderId="27" xfId="0" applyFont="1" applyBorder="1" applyAlignment="1">
      <alignment vertical="center"/>
    </xf>
    <xf numFmtId="0" fontId="17" fillId="0" borderId="28" xfId="0" applyFont="1" applyBorder="1" applyAlignment="1">
      <alignment horizontal="center" vertical="center"/>
    </xf>
    <xf numFmtId="43" fontId="22" fillId="0" borderId="37" xfId="1" applyFont="1" applyBorder="1" applyAlignment="1">
      <alignment vertical="center"/>
    </xf>
    <xf numFmtId="0" fontId="0" fillId="0" borderId="37" xfId="0" applyFont="1" applyBorder="1" applyAlignment="1">
      <alignment vertical="center"/>
    </xf>
    <xf numFmtId="0" fontId="22" fillId="0" borderId="37" xfId="1" applyNumberFormat="1" applyFont="1" applyBorder="1" applyAlignment="1">
      <alignment horizontal="right" vertical="center"/>
    </xf>
    <xf numFmtId="43" fontId="22" fillId="0" borderId="6" xfId="0" applyNumberFormat="1" applyFont="1" applyBorder="1" applyAlignment="1">
      <alignment vertical="center"/>
    </xf>
    <xf numFmtId="2" fontId="17" fillId="0" borderId="28" xfId="0" applyNumberFormat="1" applyFont="1" applyBorder="1" applyAlignment="1">
      <alignment horizontal="center" vertical="center"/>
    </xf>
    <xf numFmtId="0" fontId="17" fillId="0" borderId="29" xfId="0" applyFont="1" applyBorder="1" applyAlignment="1">
      <alignment horizontal="center" vertical="center"/>
    </xf>
    <xf numFmtId="0" fontId="22" fillId="0" borderId="37" xfId="0" applyFont="1" applyBorder="1" applyAlignment="1">
      <alignment horizontal="center" vertical="center"/>
    </xf>
    <xf numFmtId="0" fontId="17" fillId="0" borderId="28" xfId="0" applyFont="1" applyBorder="1" applyAlignment="1">
      <alignment vertical="center"/>
    </xf>
    <xf numFmtId="49" fontId="17" fillId="0" borderId="28" xfId="0" applyNumberFormat="1" applyFont="1" applyBorder="1" applyAlignment="1">
      <alignment horizontal="left" vertical="center"/>
    </xf>
    <xf numFmtId="49" fontId="17" fillId="0" borderId="28" xfId="1" applyNumberFormat="1" applyFont="1" applyBorder="1" applyAlignment="1">
      <alignment horizontal="left" vertical="center"/>
    </xf>
    <xf numFmtId="0" fontId="0" fillId="0" borderId="30" xfId="0" applyFont="1" applyBorder="1" applyAlignment="1">
      <alignment vertical="center"/>
    </xf>
    <xf numFmtId="0" fontId="0" fillId="0" borderId="24" xfId="0" applyFont="1" applyBorder="1" applyAlignment="1">
      <alignment vertical="center"/>
    </xf>
    <xf numFmtId="43" fontId="22" fillId="0" borderId="24" xfId="1" applyFont="1" applyBorder="1" applyAlignment="1">
      <alignment vertical="center"/>
    </xf>
    <xf numFmtId="0" fontId="22" fillId="0" borderId="24" xfId="1" applyNumberFormat="1" applyFont="1" applyBorder="1" applyAlignment="1">
      <alignment horizontal="right" vertical="center"/>
    </xf>
    <xf numFmtId="43" fontId="22" fillId="0" borderId="24" xfId="0" applyNumberFormat="1" applyFont="1" applyBorder="1" applyAlignment="1">
      <alignment vertical="center"/>
    </xf>
    <xf numFmtId="49" fontId="22" fillId="0" borderId="24" xfId="0" applyNumberFormat="1" applyFont="1" applyBorder="1" applyAlignment="1">
      <alignment horizontal="left" vertical="center"/>
    </xf>
    <xf numFmtId="0" fontId="0" fillId="0" borderId="43" xfId="0" applyFont="1" applyBorder="1" applyAlignment="1">
      <alignment vertical="center"/>
    </xf>
    <xf numFmtId="0" fontId="0" fillId="0" borderId="33" xfId="0" applyFont="1" applyBorder="1" applyAlignment="1">
      <alignment vertical="center"/>
    </xf>
    <xf numFmtId="0" fontId="17" fillId="0" borderId="26" xfId="0" applyFont="1" applyBorder="1" applyAlignment="1">
      <alignment vertical="center"/>
    </xf>
    <xf numFmtId="0" fontId="0" fillId="0" borderId="44" xfId="0" applyFont="1" applyBorder="1" applyAlignment="1">
      <alignment vertical="center"/>
    </xf>
    <xf numFmtId="0" fontId="0" fillId="0" borderId="49" xfId="0" applyFont="1" applyBorder="1" applyAlignment="1">
      <alignment vertical="center"/>
    </xf>
    <xf numFmtId="0" fontId="22" fillId="0" borderId="49" xfId="0" applyFont="1" applyBorder="1" applyAlignment="1">
      <alignment vertical="center"/>
    </xf>
    <xf numFmtId="0" fontId="22" fillId="0" borderId="46" xfId="0" applyFont="1" applyBorder="1" applyAlignment="1">
      <alignment vertical="center"/>
    </xf>
    <xf numFmtId="49" fontId="17" fillId="0" borderId="27" xfId="0" applyNumberFormat="1" applyFont="1" applyBorder="1" applyAlignment="1">
      <alignment horizontal="left" vertical="center"/>
    </xf>
    <xf numFmtId="165" fontId="17" fillId="0" borderId="28" xfId="1" applyNumberFormat="1" applyFont="1" applyBorder="1" applyAlignment="1">
      <alignment horizontal="center" vertical="center"/>
    </xf>
    <xf numFmtId="0" fontId="0" fillId="0" borderId="45" xfId="0" applyFont="1" applyBorder="1" applyAlignment="1">
      <alignment vertical="center"/>
    </xf>
    <xf numFmtId="0" fontId="0" fillId="0" borderId="51" xfId="0" applyFont="1" applyBorder="1" applyAlignment="1">
      <alignment vertical="center"/>
    </xf>
    <xf numFmtId="0" fontId="22" fillId="0" borderId="51" xfId="0" applyFont="1" applyBorder="1" applyAlignment="1">
      <alignment vertical="center"/>
    </xf>
    <xf numFmtId="0" fontId="22" fillId="0" borderId="50" xfId="0" applyFont="1" applyBorder="1" applyAlignment="1">
      <alignment vertical="center"/>
    </xf>
    <xf numFmtId="49" fontId="22" fillId="0" borderId="30" xfId="0" applyNumberFormat="1" applyFont="1" applyBorder="1" applyAlignment="1">
      <alignment horizontal="left" vertical="center"/>
    </xf>
    <xf numFmtId="0" fontId="61" fillId="2" borderId="17" xfId="0" applyFont="1" applyFill="1" applyBorder="1" applyAlignment="1">
      <alignment vertical="center"/>
    </xf>
    <xf numFmtId="0" fontId="57" fillId="0" borderId="26" xfId="0" applyFont="1" applyBorder="1" applyAlignment="1">
      <alignment vertical="center"/>
    </xf>
    <xf numFmtId="2" fontId="39" fillId="0" borderId="21" xfId="0" applyNumberFormat="1" applyFont="1" applyBorder="1" applyAlignment="1">
      <alignment horizontal="center" vertical="center"/>
    </xf>
    <xf numFmtId="43" fontId="39" fillId="0" borderId="21" xfId="1" applyFont="1" applyBorder="1" applyAlignment="1">
      <alignment vertical="center"/>
    </xf>
    <xf numFmtId="43" fontId="39" fillId="0" borderId="32" xfId="1" applyFont="1" applyBorder="1" applyAlignment="1">
      <alignment vertical="center"/>
    </xf>
    <xf numFmtId="43" fontId="57" fillId="0" borderId="28" xfId="0" applyNumberFormat="1" applyFont="1" applyBorder="1" applyAlignment="1">
      <alignment vertical="center"/>
    </xf>
    <xf numFmtId="0" fontId="39" fillId="0" borderId="48" xfId="0" applyFont="1" applyBorder="1" applyAlignment="1">
      <alignment vertical="center"/>
    </xf>
    <xf numFmtId="43" fontId="39" fillId="0" borderId="28" xfId="0" applyNumberFormat="1" applyFont="1" applyBorder="1" applyAlignment="1">
      <alignment vertical="center"/>
    </xf>
    <xf numFmtId="43" fontId="39" fillId="0" borderId="48" xfId="0" applyNumberFormat="1" applyFont="1" applyBorder="1" applyAlignment="1">
      <alignment vertical="center"/>
    </xf>
    <xf numFmtId="43" fontId="39" fillId="0" borderId="48" xfId="1" applyFont="1" applyBorder="1" applyAlignment="1">
      <alignment vertical="center"/>
    </xf>
    <xf numFmtId="0" fontId="39" fillId="0" borderId="27" xfId="0" applyFont="1" applyBorder="1" applyAlignment="1">
      <alignment vertical="center"/>
    </xf>
    <xf numFmtId="0" fontId="39" fillId="0" borderId="30" xfId="0" applyFont="1" applyBorder="1" applyAlignment="1">
      <alignment vertical="center"/>
    </xf>
    <xf numFmtId="0" fontId="39" fillId="0" borderId="24" xfId="0" applyFont="1" applyBorder="1" applyAlignment="1">
      <alignment vertical="center"/>
    </xf>
    <xf numFmtId="0" fontId="39" fillId="0" borderId="24" xfId="0" applyFont="1" applyBorder="1" applyAlignment="1">
      <alignment horizontal="center" vertical="center"/>
    </xf>
    <xf numFmtId="43" fontId="39" fillId="0" borderId="24" xfId="1" applyFont="1" applyBorder="1" applyAlignment="1">
      <alignment vertical="center"/>
    </xf>
    <xf numFmtId="43" fontId="57" fillId="0" borderId="24" xfId="0" applyNumberFormat="1" applyFont="1" applyBorder="1" applyAlignment="1">
      <alignment vertical="center"/>
    </xf>
    <xf numFmtId="43" fontId="39" fillId="0" borderId="52" xfId="1" applyFont="1" applyBorder="1" applyAlignment="1">
      <alignment vertical="center"/>
    </xf>
    <xf numFmtId="0" fontId="59" fillId="0" borderId="43" xfId="0" applyFont="1" applyBorder="1" applyAlignment="1">
      <alignment vertical="center"/>
    </xf>
    <xf numFmtId="0" fontId="56" fillId="4" borderId="33" xfId="0" applyFont="1" applyFill="1" applyBorder="1" applyAlignment="1">
      <alignment vertical="center"/>
    </xf>
    <xf numFmtId="0" fontId="58" fillId="0" borderId="21" xfId="0" applyFont="1" applyBorder="1" applyAlignment="1">
      <alignment vertical="center"/>
    </xf>
    <xf numFmtId="43" fontId="57" fillId="0" borderId="37" xfId="1" applyFont="1" applyBorder="1" applyAlignment="1">
      <alignment vertical="center"/>
    </xf>
    <xf numFmtId="43" fontId="57" fillId="0" borderId="39" xfId="1" applyFont="1" applyBorder="1" applyAlignment="1">
      <alignment vertical="center"/>
    </xf>
    <xf numFmtId="0" fontId="59" fillId="0" borderId="44" xfId="0" applyFont="1" applyBorder="1" applyAlignment="1">
      <alignment vertical="center"/>
    </xf>
    <xf numFmtId="0" fontId="59" fillId="0" borderId="49" xfId="0" applyFont="1" applyBorder="1" applyAlignment="1">
      <alignment horizontal="center" vertical="center"/>
    </xf>
    <xf numFmtId="0" fontId="59" fillId="0" borderId="49" xfId="0" applyFont="1" applyBorder="1" applyAlignment="1">
      <alignment vertical="center"/>
    </xf>
    <xf numFmtId="43" fontId="57" fillId="0" borderId="28" xfId="1" applyFont="1" applyBorder="1" applyAlignment="1">
      <alignment horizontal="center" vertical="center"/>
    </xf>
    <xf numFmtId="49" fontId="57" fillId="0" borderId="28" xfId="1" applyNumberFormat="1" applyFont="1" applyBorder="1" applyAlignment="1">
      <alignment horizontal="left" vertical="center"/>
    </xf>
    <xf numFmtId="43" fontId="57" fillId="0" borderId="48" xfId="1" applyFont="1" applyBorder="1" applyAlignment="1">
      <alignment horizontal="center" vertical="center"/>
    </xf>
    <xf numFmtId="0" fontId="59" fillId="0" borderId="45" xfId="0" applyFont="1" applyBorder="1" applyAlignment="1">
      <alignment vertical="center"/>
    </xf>
    <xf numFmtId="0" fontId="59" fillId="0" borderId="51" xfId="0" applyFont="1" applyBorder="1" applyAlignment="1">
      <alignment horizontal="center" vertical="center"/>
    </xf>
    <xf numFmtId="0" fontId="59" fillId="0" borderId="51" xfId="0" applyFont="1" applyBorder="1" applyAlignment="1">
      <alignment vertical="center"/>
    </xf>
    <xf numFmtId="43" fontId="58" fillId="0" borderId="52" xfId="1" applyFont="1" applyBorder="1" applyAlignment="1">
      <alignment horizontal="center" vertical="center"/>
    </xf>
    <xf numFmtId="0" fontId="39" fillId="0" borderId="53" xfId="0" applyFont="1" applyBorder="1" applyAlignment="1">
      <alignment vertical="center"/>
    </xf>
    <xf numFmtId="0" fontId="57" fillId="0" borderId="21" xfId="0" applyFont="1" applyBorder="1" applyAlignment="1">
      <alignment horizontal="right" vertical="center"/>
    </xf>
    <xf numFmtId="43" fontId="57" fillId="0" borderId="22" xfId="0" applyNumberFormat="1" applyFont="1" applyBorder="1" applyAlignment="1">
      <alignment vertical="center"/>
    </xf>
    <xf numFmtId="0" fontId="57" fillId="0" borderId="27" xfId="0" applyFont="1" applyBorder="1" applyAlignment="1">
      <alignment horizontal="center" vertical="center"/>
    </xf>
    <xf numFmtId="0" fontId="57" fillId="0" borderId="28" xfId="0" applyFont="1" applyBorder="1" applyAlignment="1">
      <alignment horizontal="right" vertical="center"/>
    </xf>
    <xf numFmtId="0" fontId="57" fillId="0" borderId="29" xfId="0" applyFont="1" applyBorder="1" applyAlignment="1">
      <alignment vertical="center"/>
    </xf>
    <xf numFmtId="43" fontId="57" fillId="0" borderId="29" xfId="0" applyNumberFormat="1" applyFont="1" applyBorder="1" applyAlignment="1">
      <alignment vertical="center"/>
    </xf>
    <xf numFmtId="43" fontId="57" fillId="0" borderId="29" xfId="1" applyFont="1" applyBorder="1" applyAlignment="1">
      <alignment horizontal="center" vertical="center"/>
    </xf>
    <xf numFmtId="0" fontId="62" fillId="0" borderId="28" xfId="0" applyFont="1" applyFill="1" applyBorder="1" applyAlignment="1">
      <alignment horizontal="left" vertical="center"/>
    </xf>
    <xf numFmtId="43" fontId="57" fillId="0" borderId="29" xfId="1" applyFont="1" applyBorder="1" applyAlignment="1">
      <alignment vertical="center"/>
    </xf>
    <xf numFmtId="43" fontId="57" fillId="0" borderId="29" xfId="1" applyFont="1" applyBorder="1" applyAlignment="1">
      <alignment horizontal="left" vertical="center"/>
    </xf>
    <xf numFmtId="0" fontId="39" fillId="0" borderId="29" xfId="0" applyFont="1" applyBorder="1" applyAlignment="1">
      <alignment vertical="center"/>
    </xf>
    <xf numFmtId="0" fontId="57" fillId="0" borderId="24" xfId="0" applyFont="1" applyBorder="1" applyAlignment="1">
      <alignment horizontal="right" vertical="center"/>
    </xf>
    <xf numFmtId="0" fontId="39" fillId="0" borderId="25" xfId="0" applyFont="1" applyBorder="1" applyAlignment="1">
      <alignment vertical="center"/>
    </xf>
    <xf numFmtId="0" fontId="58" fillId="0" borderId="36" xfId="0" applyFont="1" applyBorder="1" applyAlignment="1">
      <alignment vertical="center"/>
    </xf>
    <xf numFmtId="43" fontId="57" fillId="0" borderId="38" xfId="1" applyFont="1" applyBorder="1" applyAlignment="1">
      <alignment vertical="center"/>
    </xf>
    <xf numFmtId="0" fontId="57" fillId="0" borderId="46" xfId="0" applyFont="1" applyBorder="1" applyAlignment="1">
      <alignment vertical="center"/>
    </xf>
    <xf numFmtId="49" fontId="58" fillId="0" borderId="27" xfId="0" applyNumberFormat="1" applyFont="1" applyBorder="1" applyAlignment="1">
      <alignment horizontal="left" vertical="center"/>
    </xf>
    <xf numFmtId="0" fontId="57" fillId="0" borderId="50" xfId="0" applyFont="1" applyBorder="1" applyAlignment="1">
      <alignment vertical="center"/>
    </xf>
    <xf numFmtId="49" fontId="57" fillId="0" borderId="30" xfId="0" applyNumberFormat="1" applyFont="1" applyBorder="1" applyAlignment="1">
      <alignment horizontal="left" vertical="center"/>
    </xf>
    <xf numFmtId="0" fontId="60" fillId="0" borderId="0" xfId="0" applyFont="1" applyAlignment="1">
      <alignment vertical="center"/>
    </xf>
    <xf numFmtId="0" fontId="57" fillId="0" borderId="22" xfId="0" applyFont="1" applyBorder="1" applyAlignment="1">
      <alignment vertical="center"/>
    </xf>
    <xf numFmtId="43" fontId="57" fillId="0" borderId="37" xfId="1" applyFont="1" applyBorder="1" applyAlignment="1">
      <alignment horizontal="center" vertical="center"/>
    </xf>
    <xf numFmtId="0" fontId="58" fillId="0" borderId="28" xfId="0" applyFont="1" applyBorder="1" applyAlignment="1">
      <alignment horizontal="center" vertical="center"/>
    </xf>
    <xf numFmtId="2" fontId="58" fillId="0" borderId="28" xfId="0" applyNumberFormat="1" applyFont="1" applyBorder="1" applyAlignment="1">
      <alignment horizontal="center" vertical="center"/>
    </xf>
    <xf numFmtId="0" fontId="58" fillId="0" borderId="29" xfId="0" applyFont="1" applyBorder="1" applyAlignment="1">
      <alignment horizontal="center" vertical="center"/>
    </xf>
    <xf numFmtId="0" fontId="58" fillId="0" borderId="24" xfId="0" applyFont="1" applyBorder="1" applyAlignment="1">
      <alignment horizontal="center" vertical="center"/>
    </xf>
    <xf numFmtId="2" fontId="58" fillId="0" borderId="24" xfId="0" applyNumberFormat="1" applyFont="1" applyBorder="1" applyAlignment="1">
      <alignment horizontal="center" vertical="center"/>
    </xf>
    <xf numFmtId="0" fontId="58" fillId="0" borderId="33" xfId="0" applyFont="1" applyBorder="1" applyAlignment="1">
      <alignment horizontal="center" vertical="center"/>
    </xf>
    <xf numFmtId="0" fontId="58" fillId="0" borderId="26" xfId="0" applyFont="1" applyBorder="1" applyAlignment="1">
      <alignment vertical="center"/>
    </xf>
    <xf numFmtId="0" fontId="57" fillId="0" borderId="21" xfId="1" applyNumberFormat="1" applyFont="1" applyBorder="1" applyAlignment="1">
      <alignment horizontal="right" vertical="center"/>
    </xf>
    <xf numFmtId="43" fontId="57" fillId="0" borderId="3" xfId="0" applyNumberFormat="1" applyFont="1" applyBorder="1" applyAlignment="1">
      <alignment vertical="center"/>
    </xf>
    <xf numFmtId="0" fontId="57" fillId="0" borderId="28" xfId="1" applyNumberFormat="1" applyFont="1" applyBorder="1" applyAlignment="1">
      <alignment horizontal="right" vertical="center"/>
    </xf>
    <xf numFmtId="0" fontId="57" fillId="0" borderId="28" xfId="0" applyNumberFormat="1" applyFont="1" applyBorder="1" applyAlignment="1">
      <alignment vertical="center"/>
    </xf>
    <xf numFmtId="0" fontId="39" fillId="0" borderId="43" xfId="0" applyFont="1" applyBorder="1" applyAlignment="1">
      <alignment vertical="center"/>
    </xf>
    <xf numFmtId="0" fontId="39" fillId="0" borderId="33" xfId="0" applyFont="1" applyBorder="1" applyAlignment="1">
      <alignment vertical="center"/>
    </xf>
    <xf numFmtId="0" fontId="39" fillId="0" borderId="44" xfId="0" applyFont="1" applyBorder="1" applyAlignment="1">
      <alignment vertical="center"/>
    </xf>
    <xf numFmtId="0" fontId="39" fillId="0" borderId="49" xfId="0" applyFont="1" applyBorder="1" applyAlignment="1">
      <alignment vertical="center"/>
    </xf>
    <xf numFmtId="0" fontId="39" fillId="0" borderId="45" xfId="0" applyFont="1" applyBorder="1" applyAlignment="1">
      <alignment vertical="center"/>
    </xf>
    <xf numFmtId="0" fontId="39" fillId="0" borderId="51" xfId="0" applyFont="1" applyBorder="1" applyAlignment="1">
      <alignment vertical="center"/>
    </xf>
    <xf numFmtId="0" fontId="57" fillId="0" borderId="34" xfId="0" applyFont="1" applyBorder="1" applyAlignment="1">
      <alignment horizontal="center" vertical="center"/>
    </xf>
    <xf numFmtId="0" fontId="57" fillId="0" borderId="10" xfId="0" applyFont="1" applyBorder="1" applyAlignment="1">
      <alignment vertical="center"/>
    </xf>
    <xf numFmtId="43" fontId="39" fillId="0" borderId="22" xfId="1" applyFont="1" applyBorder="1" applyAlignment="1">
      <alignment vertical="center"/>
    </xf>
    <xf numFmtId="0" fontId="57" fillId="0" borderId="29" xfId="0" applyFont="1" applyBorder="1" applyAlignment="1">
      <alignment horizontal="left" vertical="center"/>
    </xf>
    <xf numFmtId="43" fontId="39" fillId="0" borderId="29" xfId="0" applyNumberFormat="1" applyFont="1" applyBorder="1" applyAlignment="1">
      <alignment vertical="center"/>
    </xf>
    <xf numFmtId="43" fontId="39" fillId="0" borderId="0" xfId="0" applyNumberFormat="1" applyFont="1" applyAlignment="1">
      <alignment vertical="center"/>
    </xf>
    <xf numFmtId="0" fontId="58" fillId="0" borderId="28" xfId="0" applyFont="1" applyBorder="1" applyAlignment="1">
      <alignment vertical="center"/>
    </xf>
    <xf numFmtId="0" fontId="57" fillId="0" borderId="24" xfId="1" applyNumberFormat="1" applyFont="1" applyBorder="1" applyAlignment="1">
      <alignment horizontal="right" vertical="center"/>
    </xf>
    <xf numFmtId="43" fontId="57" fillId="0" borderId="24" xfId="1" applyFont="1" applyBorder="1" applyAlignment="1">
      <alignment horizontal="center" vertical="center"/>
    </xf>
    <xf numFmtId="0" fontId="39" fillId="0" borderId="0" xfId="0" applyFont="1" applyBorder="1" applyAlignment="1">
      <alignment vertical="center"/>
    </xf>
    <xf numFmtId="0" fontId="37" fillId="2" borderId="25" xfId="0" applyFont="1" applyFill="1" applyBorder="1" applyAlignment="1">
      <alignment horizontal="center" vertical="center"/>
    </xf>
    <xf numFmtId="0" fontId="34" fillId="0" borderId="28" xfId="0" applyFont="1" applyFill="1" applyBorder="1" applyAlignment="1">
      <alignment horizontal="center" vertical="center"/>
    </xf>
    <xf numFmtId="0" fontId="29" fillId="2" borderId="28" xfId="0" applyFont="1" applyFill="1" applyBorder="1" applyAlignment="1">
      <alignment vertical="center"/>
    </xf>
    <xf numFmtId="0" fontId="34" fillId="0" borderId="28" xfId="0" applyFont="1" applyBorder="1" applyAlignment="1">
      <alignment vertical="center"/>
    </xf>
    <xf numFmtId="0" fontId="33" fillId="0" borderId="43" xfId="0" applyFont="1" applyBorder="1" applyAlignment="1">
      <alignment vertical="center"/>
    </xf>
    <xf numFmtId="0" fontId="37" fillId="4" borderId="33" xfId="0" applyFont="1" applyFill="1" applyBorder="1" applyAlignment="1">
      <alignment vertical="center"/>
    </xf>
    <xf numFmtId="43" fontId="36" fillId="0" borderId="26" xfId="1" applyFont="1" applyBorder="1" applyAlignment="1">
      <alignment horizontal="center" vertical="center"/>
    </xf>
    <xf numFmtId="0" fontId="33" fillId="0" borderId="44" xfId="0" applyFont="1" applyBorder="1" applyAlignment="1">
      <alignment vertical="center"/>
    </xf>
    <xf numFmtId="0" fontId="36" fillId="0" borderId="46" xfId="0" applyFont="1" applyBorder="1" applyAlignment="1">
      <alignment vertical="center"/>
    </xf>
    <xf numFmtId="0" fontId="36" fillId="0" borderId="28" xfId="0" applyFont="1" applyFill="1" applyBorder="1" applyAlignment="1">
      <alignment horizontal="center" vertical="center"/>
    </xf>
    <xf numFmtId="0" fontId="33" fillId="0" borderId="45" xfId="0" applyFont="1" applyBorder="1" applyAlignment="1">
      <alignment vertical="center"/>
    </xf>
    <xf numFmtId="0" fontId="36" fillId="0" borderId="50" xfId="0" applyFont="1" applyBorder="1" applyAlignment="1">
      <alignment vertical="center"/>
    </xf>
    <xf numFmtId="43" fontId="37" fillId="0" borderId="30" xfId="2" applyFont="1" applyBorder="1" applyAlignment="1">
      <alignment horizontal="center" vertical="center"/>
    </xf>
    <xf numFmtId="43" fontId="37" fillId="0" borderId="24" xfId="2" applyFont="1" applyBorder="1" applyAlignment="1">
      <alignment horizontal="center" vertical="center"/>
    </xf>
    <xf numFmtId="43" fontId="37" fillId="0" borderId="25" xfId="2" applyFont="1" applyBorder="1" applyAlignment="1">
      <alignment horizontal="center" vertical="center"/>
    </xf>
    <xf numFmtId="0" fontId="36" fillId="0" borderId="0" xfId="0" applyFont="1" applyAlignment="1">
      <alignment vertical="center"/>
    </xf>
    <xf numFmtId="0" fontId="37" fillId="0" borderId="28" xfId="0" applyFont="1" applyBorder="1" applyAlignment="1">
      <alignment horizontal="left" vertical="center"/>
    </xf>
    <xf numFmtId="2" fontId="37" fillId="0" borderId="28" xfId="0" applyNumberFormat="1" applyFont="1" applyBorder="1" applyAlignment="1">
      <alignment horizontal="center" vertical="center"/>
    </xf>
    <xf numFmtId="1" fontId="37" fillId="0" borderId="28" xfId="0" applyNumberFormat="1" applyFont="1" applyBorder="1" applyAlignment="1">
      <alignment horizontal="center" vertical="center"/>
    </xf>
    <xf numFmtId="2" fontId="36" fillId="0" borderId="24" xfId="0" applyNumberFormat="1" applyFont="1" applyBorder="1" applyAlignment="1">
      <alignment horizontal="center" vertical="center"/>
    </xf>
    <xf numFmtId="0" fontId="37" fillId="2" borderId="33" xfId="0" applyFont="1" applyFill="1" applyBorder="1" applyAlignment="1">
      <alignment vertical="center"/>
    </xf>
    <xf numFmtId="2" fontId="37" fillId="0" borderId="26" xfId="0" applyNumberFormat="1" applyFont="1" applyBorder="1" applyAlignment="1">
      <alignment horizontal="center" vertical="center"/>
    </xf>
    <xf numFmtId="2" fontId="37" fillId="0" borderId="21" xfId="0" applyNumberFormat="1" applyFont="1" applyBorder="1" applyAlignment="1">
      <alignment horizontal="center" vertical="center"/>
    </xf>
    <xf numFmtId="2" fontId="37" fillId="0" borderId="22" xfId="0" applyNumberFormat="1" applyFont="1" applyBorder="1" applyAlignment="1">
      <alignment horizontal="center" vertical="center"/>
    </xf>
    <xf numFmtId="0" fontId="37" fillId="0" borderId="27" xfId="0" applyFont="1" applyBorder="1" applyAlignment="1">
      <alignment horizontal="center" vertical="center"/>
    </xf>
    <xf numFmtId="0" fontId="37" fillId="0" borderId="28" xfId="0" applyFont="1" applyFill="1" applyBorder="1" applyAlignment="1">
      <alignment horizontal="center" vertical="center"/>
    </xf>
    <xf numFmtId="0" fontId="37" fillId="0" borderId="29" xfId="0" applyFont="1" applyBorder="1" applyAlignment="1">
      <alignment horizontal="center" vertical="center"/>
    </xf>
    <xf numFmtId="0" fontId="36" fillId="0" borderId="34" xfId="0" applyFont="1" applyBorder="1" applyAlignment="1">
      <alignment vertical="center"/>
    </xf>
    <xf numFmtId="0" fontId="36" fillId="0" borderId="25" xfId="0" applyFont="1" applyBorder="1" applyAlignment="1">
      <alignment vertical="center"/>
    </xf>
    <xf numFmtId="43" fontId="36" fillId="0" borderId="22" xfId="1" applyFont="1" applyBorder="1" applyAlignment="1">
      <alignment vertical="center"/>
    </xf>
    <xf numFmtId="43" fontId="36" fillId="0" borderId="29" xfId="1" applyFont="1" applyBorder="1" applyAlignment="1">
      <alignment vertical="center"/>
    </xf>
    <xf numFmtId="43" fontId="36" fillId="0" borderId="28" xfId="1" applyFont="1" applyBorder="1" applyAlignment="1">
      <alignment horizontal="left" vertical="center"/>
    </xf>
    <xf numFmtId="43" fontId="36" fillId="0" borderId="29" xfId="1" applyFont="1" applyBorder="1" applyAlignment="1">
      <alignment horizontal="left" vertical="center"/>
    </xf>
    <xf numFmtId="0" fontId="33" fillId="0" borderId="28" xfId="0" applyFont="1" applyBorder="1" applyAlignment="1">
      <alignment horizontal="left" vertical="center"/>
    </xf>
    <xf numFmtId="0" fontId="36" fillId="0" borderId="30" xfId="0" applyFont="1" applyBorder="1" applyAlignment="1">
      <alignment vertical="center"/>
    </xf>
    <xf numFmtId="0" fontId="36" fillId="0" borderId="24" xfId="0" applyFont="1" applyBorder="1" applyAlignment="1">
      <alignment horizontal="left" vertical="center"/>
    </xf>
    <xf numFmtId="43" fontId="36" fillId="0" borderId="24" xfId="1" applyFont="1" applyBorder="1" applyAlignment="1">
      <alignment vertical="center"/>
    </xf>
    <xf numFmtId="43" fontId="36" fillId="0" borderId="25" xfId="1" applyFont="1" applyBorder="1" applyAlignment="1">
      <alignment vertical="center"/>
    </xf>
    <xf numFmtId="0" fontId="37" fillId="0" borderId="26" xfId="0" applyFont="1" applyBorder="1" applyAlignment="1">
      <alignment vertical="center"/>
    </xf>
    <xf numFmtId="49" fontId="37" fillId="0" borderId="27" xfId="0" applyNumberFormat="1" applyFont="1" applyBorder="1" applyAlignment="1">
      <alignment horizontal="left" vertical="center"/>
    </xf>
    <xf numFmtId="49" fontId="37" fillId="0" borderId="28" xfId="1" applyNumberFormat="1" applyFont="1" applyBorder="1" applyAlignment="1">
      <alignment horizontal="left" vertical="center"/>
    </xf>
    <xf numFmtId="49" fontId="36" fillId="0" borderId="30" xfId="0" applyNumberFormat="1" applyFont="1" applyBorder="1" applyAlignment="1">
      <alignment horizontal="left" vertical="center"/>
    </xf>
    <xf numFmtId="0" fontId="36" fillId="0" borderId="29" xfId="0" applyFont="1" applyBorder="1" applyAlignment="1">
      <alignment vertical="center"/>
    </xf>
    <xf numFmtId="43" fontId="36" fillId="0" borderId="28" xfId="1" applyFont="1" applyFill="1" applyBorder="1" applyAlignment="1">
      <alignment horizontal="right" vertical="center"/>
    </xf>
    <xf numFmtId="4" fontId="126" fillId="0" borderId="0" xfId="0" applyNumberFormat="1" applyFont="1" applyBorder="1" applyAlignment="1">
      <alignment vertical="center"/>
    </xf>
    <xf numFmtId="3" fontId="36" fillId="0" borderId="0" xfId="7" applyNumberFormat="1" applyFont="1" applyFill="1" applyBorder="1" applyAlignment="1">
      <alignment horizontal="center" vertical="center"/>
    </xf>
    <xf numFmtId="3" fontId="126" fillId="0" borderId="0" xfId="0" applyNumberFormat="1" applyFont="1" applyFill="1" applyBorder="1" applyAlignment="1">
      <alignment vertical="center"/>
    </xf>
    <xf numFmtId="4" fontId="36" fillId="0" borderId="0" xfId="7" applyNumberFormat="1" applyFont="1" applyFill="1" applyBorder="1" applyAlignment="1">
      <alignment horizontal="right" vertical="center"/>
    </xf>
    <xf numFmtId="168"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3" fontId="36" fillId="0" borderId="0" xfId="7" applyNumberFormat="1" applyFont="1" applyFill="1" applyBorder="1" applyAlignment="1">
      <alignment vertical="center"/>
    </xf>
    <xf numFmtId="4" fontId="36" fillId="0" borderId="0" xfId="7" applyNumberFormat="1" applyFont="1" applyFill="1" applyBorder="1" applyAlignment="1">
      <alignment vertical="center"/>
    </xf>
    <xf numFmtId="4" fontId="36" fillId="0" borderId="0" xfId="7" applyNumberFormat="1" applyFont="1" applyFill="1" applyBorder="1" applyAlignment="1">
      <alignment horizontal="left" vertical="center"/>
    </xf>
    <xf numFmtId="2" fontId="36" fillId="0" borderId="0" xfId="7" applyNumberFormat="1" applyFont="1" applyFill="1" applyBorder="1" applyAlignment="1">
      <alignment horizontal="center" vertical="center"/>
    </xf>
    <xf numFmtId="4" fontId="126" fillId="0" borderId="0" xfId="0" applyNumberFormat="1" applyFont="1" applyBorder="1" applyAlignment="1">
      <alignment horizontal="center" vertical="center"/>
    </xf>
    <xf numFmtId="4" fontId="36" fillId="0" borderId="6" xfId="915" applyNumberFormat="1" applyFont="1" applyFill="1" applyBorder="1" applyAlignment="1">
      <alignment horizontal="center" vertical="center" wrapText="1"/>
    </xf>
    <xf numFmtId="4" fontId="36" fillId="0" borderId="0" xfId="915" applyNumberFormat="1" applyFont="1" applyBorder="1" applyAlignment="1">
      <alignment horizontal="center" vertical="center" wrapText="1"/>
    </xf>
    <xf numFmtId="3" fontId="36" fillId="0" borderId="6" xfId="915" applyNumberFormat="1" applyFont="1" applyFill="1" applyBorder="1" applyAlignment="1">
      <alignment vertical="center" wrapText="1"/>
    </xf>
    <xf numFmtId="4" fontId="36" fillId="0" borderId="6" xfId="915" applyNumberFormat="1" applyFont="1" applyBorder="1" applyAlignment="1">
      <alignment horizontal="center" vertical="center" wrapText="1"/>
    </xf>
    <xf numFmtId="4" fontId="36" fillId="0" borderId="6" xfId="915" applyNumberFormat="1" applyFont="1" applyBorder="1" applyAlignment="1">
      <alignment horizontal="left" vertical="center"/>
    </xf>
    <xf numFmtId="4" fontId="126" fillId="0" borderId="0" xfId="0" applyNumberFormat="1" applyFont="1" applyFill="1" applyBorder="1" applyAlignment="1">
      <alignment vertical="center"/>
    </xf>
    <xf numFmtId="4" fontId="33" fillId="0" borderId="0" xfId="0" applyNumberFormat="1" applyFont="1" applyBorder="1" applyAlignment="1">
      <alignment horizontal="center" vertical="center"/>
    </xf>
    <xf numFmtId="2" fontId="33" fillId="0" borderId="0" xfId="0" applyNumberFormat="1" applyFont="1" applyBorder="1" applyAlignment="1">
      <alignment horizontal="center" vertical="center"/>
    </xf>
    <xf numFmtId="3" fontId="36" fillId="0" borderId="6" xfId="915" applyNumberFormat="1" applyFont="1" applyFill="1" applyBorder="1" applyAlignment="1">
      <alignment horizontal="center" vertical="center" wrapText="1"/>
    </xf>
    <xf numFmtId="4" fontId="37" fillId="30" borderId="6" xfId="915" applyNumberFormat="1" applyFont="1" applyFill="1" applyBorder="1" applyAlignment="1">
      <alignment horizontal="center" vertical="center" wrapText="1"/>
    </xf>
    <xf numFmtId="3" fontId="37" fillId="30" borderId="6" xfId="915" applyNumberFormat="1" applyFont="1" applyFill="1" applyBorder="1" applyAlignment="1">
      <alignment vertical="center" wrapText="1"/>
    </xf>
    <xf numFmtId="4" fontId="36" fillId="0" borderId="0" xfId="915" applyNumberFormat="1" applyFont="1" applyFill="1" applyBorder="1" applyAlignment="1">
      <alignment horizontal="center" vertical="center" wrapText="1"/>
    </xf>
    <xf numFmtId="3" fontId="36" fillId="0" borderId="0" xfId="915" applyNumberFormat="1" applyFont="1" applyFill="1" applyBorder="1" applyAlignment="1">
      <alignment vertical="center" wrapText="1"/>
    </xf>
    <xf numFmtId="4" fontId="36" fillId="0" borderId="0" xfId="915" applyNumberFormat="1" applyFont="1" applyBorder="1" applyAlignment="1">
      <alignment horizontal="left" vertical="center"/>
    </xf>
    <xf numFmtId="2" fontId="33" fillId="0" borderId="6" xfId="0" applyNumberFormat="1" applyFont="1" applyBorder="1" applyAlignment="1">
      <alignment horizontal="center" vertical="center"/>
    </xf>
    <xf numFmtId="4" fontId="36" fillId="0" borderId="6" xfId="915" applyNumberFormat="1" applyFont="1" applyBorder="1" applyAlignment="1">
      <alignment horizontal="center" vertical="center"/>
    </xf>
    <xf numFmtId="4" fontId="37" fillId="30" borderId="6" xfId="915" applyNumberFormat="1" applyFont="1" applyFill="1" applyBorder="1" applyAlignment="1">
      <alignment horizontal="left" vertical="center"/>
    </xf>
    <xf numFmtId="4" fontId="37" fillId="30" borderId="6" xfId="915" applyNumberFormat="1" applyFont="1" applyFill="1" applyBorder="1" applyAlignment="1">
      <alignment vertical="center" wrapText="1"/>
    </xf>
    <xf numFmtId="0" fontId="33" fillId="0" borderId="6" xfId="0" applyFont="1" applyBorder="1" applyAlignment="1">
      <alignment horizontal="center" vertical="center"/>
    </xf>
    <xf numFmtId="4" fontId="33" fillId="0" borderId="6" xfId="0" applyNumberFormat="1" applyFont="1" applyBorder="1" applyAlignment="1">
      <alignment horizontal="center" vertical="center"/>
    </xf>
    <xf numFmtId="3" fontId="36" fillId="0" borderId="37" xfId="915" applyNumberFormat="1" applyFont="1" applyFill="1" applyBorder="1" applyAlignment="1">
      <alignment vertical="center" wrapText="1"/>
    </xf>
    <xf numFmtId="4" fontId="36" fillId="0" borderId="37" xfId="915" applyNumberFormat="1" applyFont="1" applyFill="1" applyBorder="1" applyAlignment="1">
      <alignment horizontal="center" vertical="center" wrapText="1"/>
    </xf>
    <xf numFmtId="4" fontId="36" fillId="0" borderId="37" xfId="915" applyNumberFormat="1" applyFont="1" applyBorder="1" applyAlignment="1">
      <alignment horizontal="center" vertical="center" wrapText="1"/>
    </xf>
    <xf numFmtId="4" fontId="36" fillId="0" borderId="37" xfId="915" applyNumberFormat="1" applyFont="1" applyBorder="1" applyAlignment="1">
      <alignment horizontal="left" vertical="center"/>
    </xf>
    <xf numFmtId="3" fontId="35" fillId="5" borderId="28" xfId="0" applyNumberFormat="1" applyFont="1" applyFill="1" applyBorder="1" applyAlignment="1">
      <alignment horizontal="center" vertical="center"/>
    </xf>
    <xf numFmtId="0" fontId="35" fillId="5" borderId="28" xfId="0" applyFont="1" applyFill="1" applyBorder="1" applyAlignment="1">
      <alignment horizontal="center" vertical="center"/>
    </xf>
    <xf numFmtId="4" fontId="35" fillId="5" borderId="28" xfId="0" applyNumberFormat="1" applyFont="1" applyFill="1" applyBorder="1" applyAlignment="1">
      <alignment horizontal="center" vertical="center"/>
    </xf>
    <xf numFmtId="2" fontId="35" fillId="5" borderId="28" xfId="0" applyNumberFormat="1" applyFont="1" applyFill="1" applyBorder="1" applyAlignment="1">
      <alignment horizontal="center" vertical="center"/>
    </xf>
    <xf numFmtId="3" fontId="37" fillId="30" borderId="37" xfId="915" applyNumberFormat="1" applyFont="1" applyFill="1" applyBorder="1" applyAlignment="1">
      <alignment vertical="center" wrapText="1"/>
    </xf>
    <xf numFmtId="4" fontId="37" fillId="30" borderId="37" xfId="915" applyNumberFormat="1" applyFont="1" applyFill="1" applyBorder="1" applyAlignment="1">
      <alignment horizontal="center" vertical="center" wrapText="1"/>
    </xf>
    <xf numFmtId="4" fontId="37" fillId="30" borderId="37" xfId="915" applyNumberFormat="1" applyFont="1" applyFill="1" applyBorder="1" applyAlignment="1">
      <alignment horizontal="left" vertical="center"/>
    </xf>
    <xf numFmtId="0" fontId="33" fillId="0" borderId="37" xfId="0" applyFont="1" applyBorder="1" applyAlignment="1">
      <alignment horizontal="center" vertical="center"/>
    </xf>
    <xf numFmtId="0" fontId="36" fillId="0" borderId="77" xfId="0" applyFont="1" applyBorder="1" applyAlignment="1">
      <alignment horizontal="center" vertical="center"/>
    </xf>
    <xf numFmtId="0" fontId="36" fillId="0" borderId="77" xfId="0" applyFont="1" applyBorder="1" applyAlignment="1">
      <alignment horizontal="center" vertical="center" wrapText="1"/>
    </xf>
    <xf numFmtId="2" fontId="36" fillId="0" borderId="77" xfId="0" applyNumberFormat="1" applyFont="1" applyBorder="1" applyAlignment="1">
      <alignment horizontal="center" vertical="center"/>
    </xf>
    <xf numFmtId="1" fontId="36" fillId="0" borderId="77" xfId="0" applyNumberFormat="1" applyFont="1" applyBorder="1" applyAlignment="1">
      <alignment horizontal="center" vertical="center"/>
    </xf>
    <xf numFmtId="43" fontId="36" fillId="0" borderId="77" xfId="1" applyFont="1" applyBorder="1" applyAlignment="1">
      <alignment horizontal="center" vertical="center"/>
    </xf>
    <xf numFmtId="0" fontId="37" fillId="0" borderId="77" xfId="0" applyFont="1" applyBorder="1" applyAlignment="1">
      <alignment horizontal="center" vertical="center"/>
    </xf>
    <xf numFmtId="0" fontId="33" fillId="0" borderId="77" xfId="0" applyFont="1" applyBorder="1" applyAlignment="1">
      <alignment horizontal="center" vertical="center"/>
    </xf>
    <xf numFmtId="2" fontId="33" fillId="0" borderId="77" xfId="0" applyNumberFormat="1" applyFont="1" applyBorder="1" applyAlignment="1">
      <alignment horizontal="center" vertical="center"/>
    </xf>
    <xf numFmtId="43" fontId="33" fillId="0" borderId="77" xfId="1" applyFont="1" applyBorder="1" applyAlignment="1">
      <alignment horizontal="center" vertical="center"/>
    </xf>
    <xf numFmtId="0" fontId="33" fillId="0" borderId="77" xfId="0" applyFont="1" applyBorder="1" applyAlignment="1">
      <alignment horizontal="center" vertical="center" wrapText="1"/>
    </xf>
    <xf numFmtId="0" fontId="36" fillId="0" borderId="105" xfId="0" applyFont="1" applyBorder="1" applyAlignment="1">
      <alignment horizontal="center" vertical="center"/>
    </xf>
    <xf numFmtId="0" fontId="36" fillId="0" borderId="107" xfId="0" applyFont="1" applyBorder="1" applyAlignment="1">
      <alignment horizontal="center" vertical="center"/>
    </xf>
    <xf numFmtId="43" fontId="36" fillId="0" borderId="108" xfId="1" applyFont="1" applyBorder="1" applyAlignment="1">
      <alignment horizontal="center" vertical="center"/>
    </xf>
    <xf numFmtId="0" fontId="36" fillId="0" borderId="104" xfId="0" applyFont="1" applyBorder="1" applyAlignment="1">
      <alignment horizontal="center" vertical="center"/>
    </xf>
    <xf numFmtId="0" fontId="33" fillId="0" borderId="105" xfId="0" applyFont="1" applyBorder="1" applyAlignment="1">
      <alignment horizontal="center" vertical="center"/>
    </xf>
    <xf numFmtId="2" fontId="33" fillId="0" borderId="105" xfId="0" applyNumberFormat="1" applyFont="1" applyBorder="1" applyAlignment="1">
      <alignment horizontal="center" vertical="center"/>
    </xf>
    <xf numFmtId="0" fontId="33" fillId="0" borderId="106" xfId="0" applyFont="1" applyBorder="1" applyAlignment="1">
      <alignment horizontal="center" vertical="center"/>
    </xf>
    <xf numFmtId="0" fontId="33" fillId="0" borderId="108" xfId="0" applyFont="1" applyBorder="1" applyAlignment="1">
      <alignment horizontal="center" vertical="center"/>
    </xf>
    <xf numFmtId="0" fontId="33" fillId="0" borderId="107" xfId="0" applyFont="1" applyBorder="1" applyAlignment="1">
      <alignment horizontal="center" vertical="center"/>
    </xf>
    <xf numFmtId="0" fontId="36" fillId="0" borderId="109" xfId="0" applyFont="1" applyBorder="1" applyAlignment="1">
      <alignment horizontal="center" vertical="center"/>
    </xf>
    <xf numFmtId="0" fontId="36" fillId="0" borderId="112" xfId="0" applyFont="1" applyBorder="1" applyAlignment="1">
      <alignment horizontal="center" vertical="center"/>
    </xf>
    <xf numFmtId="0" fontId="33" fillId="0" borderId="113" xfId="0" applyFont="1" applyBorder="1" applyAlignment="1">
      <alignment horizontal="center" vertical="center"/>
    </xf>
    <xf numFmtId="2" fontId="33" fillId="0" borderId="113" xfId="0" applyNumberFormat="1" applyFont="1" applyBorder="1" applyAlignment="1">
      <alignment horizontal="center" vertical="center"/>
    </xf>
    <xf numFmtId="43" fontId="33" fillId="0" borderId="113" xfId="1" applyFont="1" applyBorder="1" applyAlignment="1">
      <alignment horizontal="center" vertical="center"/>
    </xf>
    <xf numFmtId="0" fontId="33" fillId="0" borderId="114" xfId="0" applyFont="1" applyBorder="1" applyAlignment="1">
      <alignment horizontal="center" vertical="center"/>
    </xf>
    <xf numFmtId="0" fontId="37" fillId="4" borderId="0" xfId="0" applyFont="1" applyFill="1" applyBorder="1" applyAlignment="1">
      <alignment horizontal="center" vertical="center"/>
    </xf>
    <xf numFmtId="0" fontId="36" fillId="0" borderId="113" xfId="0" applyFont="1" applyBorder="1" applyAlignment="1">
      <alignment horizontal="center" vertical="center" wrapText="1"/>
    </xf>
    <xf numFmtId="0" fontId="37" fillId="0" borderId="105" xfId="0" applyFont="1" applyBorder="1" applyAlignment="1">
      <alignment horizontal="center" vertical="center"/>
    </xf>
    <xf numFmtId="43" fontId="36" fillId="0" borderId="105" xfId="1" applyFont="1" applyBorder="1" applyAlignment="1">
      <alignment horizontal="center" vertical="center"/>
    </xf>
    <xf numFmtId="43" fontId="36" fillId="0" borderId="106" xfId="1" applyFont="1" applyBorder="1" applyAlignment="1">
      <alignment horizontal="center" vertical="center"/>
    </xf>
    <xf numFmtId="0" fontId="31" fillId="0" borderId="77" xfId="0" applyFont="1" applyFill="1" applyBorder="1" applyAlignment="1">
      <alignment horizontal="center" vertical="center"/>
    </xf>
    <xf numFmtId="0" fontId="37" fillId="0" borderId="105" xfId="0" applyFont="1" applyBorder="1" applyAlignment="1">
      <alignment horizontal="center" vertical="center" wrapText="1"/>
    </xf>
    <xf numFmtId="0" fontId="36" fillId="0" borderId="105" xfId="0" applyFont="1" applyBorder="1" applyAlignment="1">
      <alignment horizontal="center" vertical="center" wrapText="1"/>
    </xf>
    <xf numFmtId="43" fontId="33" fillId="0" borderId="108" xfId="1" applyFont="1" applyBorder="1" applyAlignment="1">
      <alignment horizontal="center" vertical="center"/>
    </xf>
    <xf numFmtId="0" fontId="36" fillId="0" borderId="110" xfId="0" applyFont="1" applyBorder="1" applyAlignment="1">
      <alignment horizontal="center" vertical="center"/>
    </xf>
    <xf numFmtId="43" fontId="36" fillId="0" borderId="110" xfId="1" applyFont="1" applyBorder="1" applyAlignment="1">
      <alignment horizontal="center" vertical="center"/>
    </xf>
    <xf numFmtId="43" fontId="36" fillId="0" borderId="111" xfId="1" applyFont="1" applyBorder="1" applyAlignment="1">
      <alignment horizontal="center" vertical="center"/>
    </xf>
    <xf numFmtId="49" fontId="37" fillId="0" borderId="28" xfId="0" applyNumberFormat="1" applyFont="1" applyBorder="1" applyAlignment="1">
      <alignment horizontal="center" vertical="center"/>
    </xf>
    <xf numFmtId="49" fontId="36" fillId="0" borderId="28" xfId="0" applyNumberFormat="1" applyFont="1" applyBorder="1" applyAlignment="1">
      <alignment horizontal="center" vertical="center"/>
    </xf>
    <xf numFmtId="0" fontId="35" fillId="0" borderId="113" xfId="0" applyFont="1" applyBorder="1" applyAlignment="1">
      <alignment horizontal="center" vertical="center" wrapText="1"/>
    </xf>
    <xf numFmtId="0" fontId="36" fillId="4" borderId="0" xfId="0" applyFont="1" applyFill="1" applyBorder="1" applyAlignment="1">
      <alignment horizontal="center" vertical="center"/>
    </xf>
    <xf numFmtId="43" fontId="39" fillId="0" borderId="6" xfId="1" applyFont="1" applyFill="1" applyBorder="1"/>
    <xf numFmtId="43" fontId="58" fillId="0" borderId="6" xfId="0" applyNumberFormat="1" applyFont="1" applyFill="1" applyBorder="1" applyAlignment="1">
      <alignment horizontal="right"/>
    </xf>
    <xf numFmtId="4" fontId="36" fillId="0" borderId="6" xfId="915" applyNumberFormat="1" applyFont="1" applyFill="1" applyBorder="1" applyAlignment="1">
      <alignment horizontal="center" vertical="center"/>
    </xf>
    <xf numFmtId="3" fontId="36" fillId="0" borderId="6" xfId="915" applyNumberFormat="1" applyFont="1" applyFill="1" applyBorder="1" applyAlignment="1">
      <alignment vertical="center"/>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3" fontId="33" fillId="5" borderId="28" xfId="0" applyNumberFormat="1" applyFont="1" applyFill="1" applyBorder="1" applyAlignment="1">
      <alignment horizontal="center" vertical="center"/>
    </xf>
    <xf numFmtId="4" fontId="33" fillId="5" borderId="28" xfId="0" applyNumberFormat="1" applyFont="1" applyFill="1" applyBorder="1" applyAlignment="1">
      <alignment horizontal="center" vertical="center"/>
    </xf>
    <xf numFmtId="0" fontId="33" fillId="5" borderId="28" xfId="0" applyFont="1" applyFill="1" applyBorder="1" applyAlignment="1">
      <alignment horizontal="center" vertical="center"/>
    </xf>
    <xf numFmtId="0" fontId="39" fillId="0" borderId="6" xfId="0" applyFont="1" applyFill="1" applyBorder="1"/>
    <xf numFmtId="3" fontId="36" fillId="0" borderId="6" xfId="915" applyNumberFormat="1" applyFont="1" applyFill="1" applyBorder="1" applyAlignment="1">
      <alignment horizontal="left" vertical="center" wrapText="1"/>
    </xf>
    <xf numFmtId="3" fontId="22" fillId="0" borderId="6" xfId="915" applyNumberFormat="1" applyFont="1" applyFill="1" applyBorder="1" applyAlignment="1">
      <alignment vertical="center" wrapText="1"/>
    </xf>
    <xf numFmtId="3" fontId="7" fillId="0" borderId="6" xfId="915" applyNumberFormat="1" applyFont="1" applyFill="1" applyBorder="1" applyAlignment="1">
      <alignment vertical="center" wrapText="1"/>
    </xf>
    <xf numFmtId="3" fontId="22" fillId="0" borderId="6" xfId="915" applyNumberFormat="1" applyFont="1" applyFill="1" applyBorder="1" applyAlignment="1">
      <alignment horizontal="center" vertical="center" wrapText="1"/>
    </xf>
    <xf numFmtId="4" fontId="130" fillId="0" borderId="6" xfId="3602" applyNumberFormat="1" applyFont="1" applyFill="1" applyBorder="1" applyAlignment="1">
      <alignment horizontal="right" wrapText="1"/>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0" fontId="28" fillId="0" borderId="0" xfId="0" applyFont="1" applyBorder="1" applyAlignment="1">
      <alignment horizontal="left" vertical="center"/>
    </xf>
    <xf numFmtId="0" fontId="36" fillId="0" borderId="0" xfId="0" applyFont="1" applyBorder="1" applyAlignment="1">
      <alignment horizontal="center" vertical="center"/>
    </xf>
    <xf numFmtId="4" fontId="130" fillId="0" borderId="6" xfId="0" applyNumberFormat="1" applyFont="1" applyFill="1" applyBorder="1" applyAlignment="1">
      <alignment horizontal="right"/>
    </xf>
    <xf numFmtId="3" fontId="130" fillId="0" borderId="6" xfId="3602" applyNumberFormat="1" applyFont="1" applyFill="1" applyBorder="1" applyAlignment="1">
      <alignment horizontal="right" wrapText="1"/>
    </xf>
    <xf numFmtId="3" fontId="130" fillId="0" borderId="6" xfId="0" applyNumberFormat="1" applyFont="1" applyFill="1" applyBorder="1"/>
    <xf numFmtId="4" fontId="130" fillId="0" borderId="6" xfId="0" applyNumberFormat="1" applyFont="1" applyFill="1" applyBorder="1"/>
    <xf numFmtId="4" fontId="33" fillId="0" borderId="37" xfId="0" applyNumberFormat="1" applyFont="1" applyBorder="1" applyAlignment="1">
      <alignment horizontal="center" vertical="center"/>
    </xf>
    <xf numFmtId="2" fontId="33" fillId="0" borderId="37" xfId="0" applyNumberFormat="1" applyFont="1" applyBorder="1" applyAlignment="1">
      <alignment horizontal="center" vertical="center"/>
    </xf>
    <xf numFmtId="3" fontId="35" fillId="5" borderId="37" xfId="0" applyNumberFormat="1" applyFont="1" applyFill="1" applyBorder="1" applyAlignment="1">
      <alignment horizontal="center" vertical="center"/>
    </xf>
    <xf numFmtId="0" fontId="35" fillId="5" borderId="37" xfId="0" applyFont="1" applyFill="1" applyBorder="1" applyAlignment="1">
      <alignment horizontal="center" vertical="center"/>
    </xf>
    <xf numFmtId="4" fontId="35" fillId="5" borderId="37" xfId="0" applyNumberFormat="1" applyFont="1" applyFill="1" applyBorder="1" applyAlignment="1">
      <alignment horizontal="center" vertical="center"/>
    </xf>
    <xf numFmtId="2" fontId="35" fillId="5" borderId="37" xfId="0" applyNumberFormat="1" applyFont="1" applyFill="1" applyBorder="1" applyAlignment="1">
      <alignment horizontal="center" vertical="center"/>
    </xf>
    <xf numFmtId="170" fontId="37" fillId="30" borderId="37" xfId="915" applyNumberFormat="1" applyFont="1" applyFill="1" applyBorder="1" applyAlignment="1">
      <alignment horizontal="center" vertical="center" wrapText="1"/>
    </xf>
    <xf numFmtId="0" fontId="33" fillId="0" borderId="37" xfId="0" applyFont="1" applyBorder="1" applyAlignment="1">
      <alignment horizontal="left" vertical="center"/>
    </xf>
    <xf numFmtId="3" fontId="37" fillId="30" borderId="6" xfId="915" applyNumberFormat="1" applyFont="1" applyFill="1" applyBorder="1" applyAlignment="1">
      <alignment horizontal="center" vertical="center" wrapText="1"/>
    </xf>
    <xf numFmtId="43" fontId="8" fillId="0" borderId="6" xfId="1" applyFont="1" applyBorder="1" applyAlignment="1">
      <alignment horizontal="center"/>
    </xf>
    <xf numFmtId="43" fontId="6" fillId="0" borderId="6" xfId="1" applyFont="1" applyBorder="1" applyAlignment="1">
      <alignment horizontal="center"/>
    </xf>
    <xf numFmtId="43" fontId="33" fillId="0" borderId="6" xfId="0" applyNumberFormat="1" applyFont="1" applyBorder="1" applyAlignment="1">
      <alignment horizontal="center" vertical="center"/>
    </xf>
    <xf numFmtId="43" fontId="33" fillId="0" borderId="37" xfId="0" applyNumberFormat="1" applyFont="1" applyBorder="1" applyAlignment="1">
      <alignment horizontal="center" vertical="center"/>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0" fontId="33" fillId="0" borderId="6" xfId="0" applyFont="1" applyBorder="1" applyAlignment="1">
      <alignment horizontal="center" vertical="center"/>
    </xf>
    <xf numFmtId="0" fontId="36" fillId="0" borderId="77" xfId="3" applyFont="1" applyBorder="1" applyAlignment="1">
      <alignment horizontal="center" vertical="center"/>
    </xf>
    <xf numFmtId="0" fontId="37" fillId="0" borderId="77" xfId="3" applyFont="1" applyBorder="1" applyAlignment="1">
      <alignment horizontal="center" vertical="center" wrapText="1"/>
    </xf>
    <xf numFmtId="49" fontId="37" fillId="0" borderId="77" xfId="0" applyNumberFormat="1" applyFont="1" applyBorder="1" applyAlignment="1">
      <alignment horizontal="center" vertical="center"/>
    </xf>
    <xf numFmtId="43" fontId="37" fillId="0" borderId="77" xfId="1" applyFont="1" applyBorder="1" applyAlignment="1">
      <alignment horizontal="center" vertical="center"/>
    </xf>
    <xf numFmtId="49" fontId="37" fillId="0" borderId="77" xfId="1" applyNumberFormat="1" applyFont="1" applyBorder="1" applyAlignment="1">
      <alignment horizontal="center" vertical="center"/>
    </xf>
    <xf numFmtId="43" fontId="37" fillId="0" borderId="108" xfId="1" applyFont="1" applyBorder="1" applyAlignment="1">
      <alignment horizontal="center" vertical="center"/>
    </xf>
    <xf numFmtId="0" fontId="36" fillId="0" borderId="127" xfId="0" applyFont="1" applyBorder="1" applyAlignment="1">
      <alignment horizontal="center" vertical="center"/>
    </xf>
    <xf numFmtId="0" fontId="36" fillId="0" borderId="128" xfId="0" applyFont="1" applyBorder="1" applyAlignment="1">
      <alignment horizontal="center" vertical="center"/>
    </xf>
    <xf numFmtId="49" fontId="36" fillId="0" borderId="128" xfId="0" applyNumberFormat="1" applyFont="1" applyBorder="1" applyAlignment="1">
      <alignment horizontal="center" vertical="center"/>
    </xf>
    <xf numFmtId="43" fontId="37" fillId="0" borderId="128" xfId="1" applyFont="1" applyBorder="1" applyAlignment="1">
      <alignment horizontal="center" vertical="center"/>
    </xf>
    <xf numFmtId="43" fontId="37" fillId="0" borderId="129" xfId="1" applyFont="1" applyBorder="1" applyAlignment="1">
      <alignment horizontal="center" vertical="center"/>
    </xf>
    <xf numFmtId="0" fontId="36" fillId="0" borderId="130" xfId="0" applyFont="1" applyBorder="1" applyAlignment="1">
      <alignment horizontal="center" vertical="center"/>
    </xf>
    <xf numFmtId="0" fontId="36" fillId="0" borderId="131" xfId="0" applyFont="1" applyBorder="1" applyAlignment="1">
      <alignment horizontal="center" vertical="center"/>
    </xf>
    <xf numFmtId="0" fontId="37" fillId="0" borderId="131" xfId="0" applyFont="1" applyBorder="1" applyAlignment="1">
      <alignment horizontal="center" vertical="center"/>
    </xf>
    <xf numFmtId="43" fontId="36" fillId="0" borderId="131" xfId="1" applyFont="1" applyBorder="1" applyAlignment="1">
      <alignment horizontal="center" vertical="center"/>
    </xf>
    <xf numFmtId="43" fontId="36" fillId="0" borderId="132" xfId="1" applyFont="1" applyBorder="1" applyAlignment="1">
      <alignment horizontal="center" vertical="center"/>
    </xf>
    <xf numFmtId="0" fontId="36" fillId="0" borderId="106" xfId="0" applyFont="1" applyBorder="1" applyAlignment="1">
      <alignment horizontal="center" vertical="center"/>
    </xf>
    <xf numFmtId="43" fontId="36" fillId="0" borderId="128" xfId="1" applyFont="1" applyBorder="1" applyAlignment="1">
      <alignment horizontal="center" vertical="center"/>
    </xf>
    <xf numFmtId="43" fontId="36" fillId="0" borderId="129" xfId="1" applyFont="1" applyBorder="1" applyAlignment="1">
      <alignment horizontal="center" vertical="center"/>
    </xf>
    <xf numFmtId="0" fontId="36" fillId="0" borderId="129" xfId="0" applyFont="1" applyBorder="1" applyAlignment="1">
      <alignment horizontal="center" vertical="center"/>
    </xf>
    <xf numFmtId="0" fontId="36" fillId="0" borderId="105" xfId="3" applyFont="1" applyBorder="1" applyAlignment="1">
      <alignment horizontal="center" vertical="center"/>
    </xf>
    <xf numFmtId="4" fontId="131" fillId="0" borderId="0" xfId="0" applyNumberFormat="1" applyFont="1" applyBorder="1" applyAlignment="1">
      <alignment vertical="center"/>
    </xf>
    <xf numFmtId="0" fontId="35" fillId="0" borderId="0" xfId="0" applyFont="1" applyBorder="1" applyAlignment="1">
      <alignment vertical="center"/>
    </xf>
    <xf numFmtId="43" fontId="2" fillId="0" borderId="6" xfId="1" applyFont="1" applyBorder="1"/>
    <xf numFmtId="0" fontId="2" fillId="0" borderId="5" xfId="0" applyFont="1" applyBorder="1"/>
    <xf numFmtId="4" fontId="36" fillId="0" borderId="6" xfId="915" applyNumberFormat="1" applyFont="1" applyBorder="1" applyAlignment="1">
      <alignment vertical="center"/>
    </xf>
    <xf numFmtId="3" fontId="37" fillId="30" borderId="37" xfId="915" applyNumberFormat="1" applyFont="1" applyFill="1" applyBorder="1" applyAlignment="1">
      <alignment horizontal="center" vertical="center" wrapText="1"/>
    </xf>
    <xf numFmtId="43" fontId="22" fillId="0" borderId="6" xfId="1" applyFont="1" applyBorder="1"/>
    <xf numFmtId="43" fontId="7" fillId="0" borderId="6" xfId="1" applyFont="1" applyBorder="1"/>
    <xf numFmtId="0" fontId="2" fillId="0" borderId="6" xfId="0" applyFont="1" applyBorder="1" applyAlignment="1">
      <alignment horizontal="left"/>
    </xf>
    <xf numFmtId="4" fontId="36" fillId="0" borderId="37" xfId="915" applyNumberFormat="1" applyFont="1" applyBorder="1" applyAlignment="1">
      <alignment horizontal="center" vertical="center"/>
    </xf>
    <xf numFmtId="171" fontId="36" fillId="0" borderId="6" xfId="915" applyNumberFormat="1" applyFont="1" applyBorder="1" applyAlignment="1">
      <alignment horizontal="center" vertical="center" wrapText="1"/>
    </xf>
    <xf numFmtId="0" fontId="0" fillId="0" borderId="37" xfId="0" applyFont="1" applyBorder="1"/>
    <xf numFmtId="43" fontId="0" fillId="0" borderId="37" xfId="1" applyFont="1" applyBorder="1"/>
    <xf numFmtId="0" fontId="10" fillId="0" borderId="37" xfId="0" applyFont="1" applyBorder="1" applyAlignment="1">
      <alignment horizontal="right"/>
    </xf>
    <xf numFmtId="4" fontId="36" fillId="0" borderId="6" xfId="915" applyNumberFormat="1" applyFont="1" applyFill="1" applyBorder="1" applyAlignment="1">
      <alignment horizontal="left" vertical="center" wrapText="1"/>
    </xf>
    <xf numFmtId="0" fontId="35" fillId="0" borderId="6" xfId="0" applyFont="1" applyBorder="1" applyAlignment="1">
      <alignment vertical="center"/>
    </xf>
    <xf numFmtId="3" fontId="37" fillId="30" borderId="6" xfId="915" applyNumberFormat="1" applyFont="1" applyFill="1" applyBorder="1" applyAlignment="1">
      <alignment horizontal="left" vertical="center" wrapText="1"/>
    </xf>
    <xf numFmtId="0" fontId="28" fillId="5" borderId="3" xfId="0" applyFont="1" applyFill="1" applyBorder="1" applyAlignment="1">
      <alignment horizontal="center" vertical="center"/>
    </xf>
    <xf numFmtId="0" fontId="28" fillId="5" borderId="6" xfId="0" applyFont="1" applyFill="1" applyBorder="1" applyAlignment="1">
      <alignment horizontal="center" vertical="center"/>
    </xf>
    <xf numFmtId="0" fontId="28" fillId="5" borderId="4" xfId="0" applyFont="1" applyFill="1" applyBorder="1" applyAlignment="1">
      <alignment horizontal="center" vertical="center"/>
    </xf>
    <xf numFmtId="0" fontId="28" fillId="5" borderId="7" xfId="0" applyFont="1" applyFill="1" applyBorder="1" applyAlignment="1">
      <alignment horizontal="center" vertical="center"/>
    </xf>
    <xf numFmtId="0" fontId="33" fillId="0" borderId="6" xfId="0" applyFont="1" applyBorder="1" applyAlignment="1">
      <alignment horizontal="center" vertical="center"/>
    </xf>
    <xf numFmtId="0" fontId="33" fillId="0" borderId="37" xfId="0" applyFont="1" applyBorder="1"/>
    <xf numFmtId="4" fontId="92" fillId="0" borderId="0" xfId="0" applyNumberFormat="1" applyFont="1" applyFill="1" applyBorder="1" applyAlignment="1">
      <alignment horizontal="center" vertical="center"/>
    </xf>
    <xf numFmtId="3" fontId="36" fillId="0" borderId="28" xfId="915" applyNumberFormat="1" applyFont="1" applyFill="1" applyBorder="1" applyAlignment="1">
      <alignment vertical="center" wrapText="1"/>
    </xf>
    <xf numFmtId="4" fontId="36" fillId="0" borderId="28" xfId="915" applyNumberFormat="1" applyFont="1" applyFill="1" applyBorder="1" applyAlignment="1">
      <alignment horizontal="center" vertical="center" wrapText="1"/>
    </xf>
    <xf numFmtId="4" fontId="36" fillId="0" borderId="28" xfId="915" applyNumberFormat="1" applyFont="1" applyBorder="1" applyAlignment="1">
      <alignment horizontal="center" vertical="center" wrapText="1"/>
    </xf>
    <xf numFmtId="4" fontId="36" fillId="0" borderId="28" xfId="915" applyNumberFormat="1" applyFont="1" applyBorder="1" applyAlignment="1">
      <alignment horizontal="left" vertical="center"/>
    </xf>
    <xf numFmtId="4" fontId="126" fillId="0" borderId="49" xfId="0" applyNumberFormat="1" applyFont="1" applyBorder="1" applyAlignment="1">
      <alignment vertical="center"/>
    </xf>
    <xf numFmtId="4" fontId="126" fillId="31" borderId="0" xfId="0" applyNumberFormat="1" applyFont="1" applyFill="1" applyBorder="1" applyAlignment="1">
      <alignment vertical="center"/>
    </xf>
    <xf numFmtId="3" fontId="36" fillId="31" borderId="6" xfId="915" applyNumberFormat="1" applyFont="1" applyFill="1" applyBorder="1" applyAlignment="1">
      <alignment vertical="center" wrapText="1"/>
    </xf>
    <xf numFmtId="4" fontId="36" fillId="31" borderId="6" xfId="915" applyNumberFormat="1" applyFont="1" applyFill="1" applyBorder="1" applyAlignment="1">
      <alignment horizontal="center" vertical="center" wrapText="1"/>
    </xf>
    <xf numFmtId="4" fontId="36" fillId="31" borderId="6" xfId="915" applyNumberFormat="1" applyFont="1" applyFill="1" applyBorder="1" applyAlignment="1">
      <alignment horizontal="left" vertical="center"/>
    </xf>
    <xf numFmtId="0" fontId="33" fillId="31" borderId="0" xfId="0" applyFont="1" applyFill="1" applyBorder="1" applyAlignment="1">
      <alignment vertical="center"/>
    </xf>
    <xf numFmtId="3" fontId="36" fillId="31" borderId="37" xfId="915" applyNumberFormat="1" applyFont="1" applyFill="1" applyBorder="1" applyAlignment="1">
      <alignment vertical="center" wrapText="1"/>
    </xf>
    <xf numFmtId="4" fontId="36" fillId="31" borderId="37" xfId="915" applyNumberFormat="1" applyFont="1" applyFill="1" applyBorder="1" applyAlignment="1">
      <alignment horizontal="center" vertical="center" wrapText="1"/>
    </xf>
    <xf numFmtId="4" fontId="36" fillId="31" borderId="37" xfId="915" applyNumberFormat="1" applyFont="1" applyFill="1" applyBorder="1" applyAlignment="1">
      <alignment horizontal="left" vertical="center"/>
    </xf>
    <xf numFmtId="4" fontId="126" fillId="31" borderId="0" xfId="0" applyNumberFormat="1" applyFont="1" applyFill="1" applyBorder="1" applyAlignment="1">
      <alignment horizontal="center" vertical="center"/>
    </xf>
    <xf numFmtId="3" fontId="33" fillId="31" borderId="28" xfId="0" applyNumberFormat="1" applyFont="1" applyFill="1" applyBorder="1" applyAlignment="1">
      <alignment horizontal="center" vertical="center"/>
    </xf>
    <xf numFmtId="0" fontId="33" fillId="31" borderId="28" xfId="0" applyFont="1" applyFill="1" applyBorder="1" applyAlignment="1">
      <alignment horizontal="center" vertical="center"/>
    </xf>
    <xf numFmtId="4" fontId="33" fillId="31" borderId="28" xfId="0" applyNumberFormat="1" applyFont="1" applyFill="1" applyBorder="1" applyAlignment="1">
      <alignment horizontal="center" vertical="center"/>
    </xf>
    <xf numFmtId="3" fontId="58" fillId="0" borderId="6" xfId="915" applyNumberFormat="1" applyFont="1" applyFill="1" applyBorder="1" applyAlignment="1">
      <alignment horizontal="center" vertical="center" wrapText="1"/>
    </xf>
    <xf numFmtId="0" fontId="6" fillId="0" borderId="116" xfId="0" applyFont="1" applyBorder="1"/>
    <xf numFmtId="43" fontId="6" fillId="0" borderId="115" xfId="1" applyFont="1" applyBorder="1"/>
    <xf numFmtId="0" fontId="7" fillId="0" borderId="115" xfId="0" applyFont="1" applyBorder="1" applyAlignment="1">
      <alignment vertical="top" wrapText="1"/>
    </xf>
    <xf numFmtId="0" fontId="33" fillId="0" borderId="115" xfId="0" applyFont="1" applyBorder="1" applyAlignment="1">
      <alignment horizontal="center" vertical="center"/>
    </xf>
    <xf numFmtId="4" fontId="33" fillId="0" borderId="115" xfId="0" applyNumberFormat="1" applyFont="1" applyBorder="1" applyAlignment="1">
      <alignment horizontal="center" vertical="center"/>
    </xf>
    <xf numFmtId="2" fontId="33" fillId="0" borderId="115" xfId="0" applyNumberFormat="1" applyFont="1" applyBorder="1" applyAlignment="1">
      <alignment horizontal="center" vertical="center"/>
    </xf>
    <xf numFmtId="0" fontId="33" fillId="0" borderId="137" xfId="0" applyFont="1" applyBorder="1" applyAlignment="1">
      <alignment vertical="center"/>
    </xf>
    <xf numFmtId="0" fontId="120" fillId="0" borderId="6" xfId="0" applyFont="1" applyBorder="1" applyAlignment="1">
      <alignment horizontal="center" vertical="center"/>
    </xf>
    <xf numFmtId="0" fontId="35" fillId="0" borderId="6" xfId="0" applyFont="1" applyBorder="1" applyAlignment="1">
      <alignment horizontal="center" vertical="center"/>
    </xf>
    <xf numFmtId="4" fontId="51" fillId="3" borderId="9" xfId="3" applyNumberFormat="1" applyFont="1" applyFill="1" applyBorder="1" applyAlignment="1">
      <alignment horizontal="center" vertical="center"/>
    </xf>
    <xf numFmtId="4" fontId="37" fillId="0" borderId="6" xfId="915" applyNumberFormat="1" applyFont="1" applyBorder="1" applyAlignment="1">
      <alignment horizontal="center" vertical="center"/>
    </xf>
    <xf numFmtId="4" fontId="58" fillId="0" borderId="6" xfId="915" applyNumberFormat="1" applyFont="1" applyBorder="1" applyAlignment="1">
      <alignment horizontal="center" vertical="center"/>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0" fontId="33" fillId="0" borderId="6" xfId="0" applyFont="1" applyBorder="1" applyAlignment="1">
      <alignment horizontal="center" vertical="center"/>
    </xf>
    <xf numFmtId="3" fontId="89" fillId="0" borderId="0" xfId="0" applyNumberFormat="1" applyFont="1" applyAlignment="1">
      <alignment horizontal="center" vertical="center"/>
    </xf>
    <xf numFmtId="4" fontId="89" fillId="0" borderId="0" xfId="0" applyNumberFormat="1" applyFont="1" applyAlignment="1">
      <alignment horizontal="left" vertical="center" wrapText="1"/>
    </xf>
    <xf numFmtId="4" fontId="132" fillId="0" borderId="0" xfId="0" applyNumberFormat="1" applyFont="1" applyAlignment="1">
      <alignment vertical="center"/>
    </xf>
    <xf numFmtId="4" fontId="132" fillId="0" borderId="0" xfId="0" applyNumberFormat="1" applyFont="1" applyAlignment="1">
      <alignment horizontal="center" vertical="center"/>
    </xf>
    <xf numFmtId="4" fontId="134" fillId="0" borderId="0" xfId="6" applyNumberFormat="1" applyFont="1" applyBorder="1" applyAlignment="1">
      <alignment horizontal="center" vertical="center"/>
    </xf>
    <xf numFmtId="4" fontId="134" fillId="0" borderId="0" xfId="0" applyNumberFormat="1" applyFont="1" applyAlignment="1">
      <alignment horizontal="center" vertical="center"/>
    </xf>
    <xf numFmtId="3" fontId="136" fillId="0" borderId="0" xfId="0" applyNumberFormat="1" applyFont="1" applyAlignment="1">
      <alignment horizontal="center" vertical="center"/>
    </xf>
    <xf numFmtId="4" fontId="136" fillId="0" borderId="0" xfId="0" applyNumberFormat="1" applyFont="1" applyAlignment="1">
      <alignment horizontal="center" vertical="center"/>
    </xf>
    <xf numFmtId="4" fontId="90" fillId="0" borderId="0" xfId="0" applyNumberFormat="1" applyFont="1" applyAlignment="1">
      <alignment horizontal="center" vertical="center"/>
    </xf>
    <xf numFmtId="3" fontId="138" fillId="0" borderId="0" xfId="0" applyNumberFormat="1" applyFont="1" applyAlignment="1">
      <alignment horizontal="center" vertical="center"/>
    </xf>
    <xf numFmtId="4" fontId="138" fillId="0" borderId="0" xfId="0" applyNumberFormat="1" applyFont="1" applyAlignment="1">
      <alignment vertical="center"/>
    </xf>
    <xf numFmtId="4" fontId="138" fillId="0" borderId="0" xfId="6" applyNumberFormat="1" applyFont="1" applyAlignment="1">
      <alignment horizontal="center" vertical="center"/>
    </xf>
    <xf numFmtId="4" fontId="138" fillId="0" borderId="0" xfId="0" applyNumberFormat="1" applyFont="1" applyAlignment="1">
      <alignment horizontal="center" vertical="center"/>
    </xf>
    <xf numFmtId="4" fontId="139" fillId="0" borderId="28" xfId="6" applyNumberFormat="1" applyFont="1" applyBorder="1" applyAlignment="1">
      <alignment horizontal="center" vertical="center"/>
    </xf>
    <xf numFmtId="4" fontId="139" fillId="0" borderId="29" xfId="0" applyNumberFormat="1" applyFont="1" applyBorder="1" applyAlignment="1">
      <alignment horizontal="center" vertical="center"/>
    </xf>
    <xf numFmtId="4" fontId="140" fillId="0" borderId="24" xfId="6" applyNumberFormat="1" applyFont="1" applyBorder="1" applyAlignment="1">
      <alignment horizontal="center" vertical="center"/>
    </xf>
    <xf numFmtId="4" fontId="140" fillId="0" borderId="25" xfId="0" applyNumberFormat="1" applyFont="1" applyBorder="1" applyAlignment="1">
      <alignment horizontal="center" vertical="center"/>
    </xf>
    <xf numFmtId="3" fontId="141" fillId="0" borderId="36" xfId="0" applyNumberFormat="1" applyFont="1" applyBorder="1" applyAlignment="1">
      <alignment horizontal="center" vertical="center"/>
    </xf>
    <xf numFmtId="4" fontId="141" fillId="0" borderId="37" xfId="0" applyNumberFormat="1" applyFont="1" applyBorder="1" applyAlignment="1">
      <alignment vertical="center"/>
    </xf>
    <xf numFmtId="4" fontId="142" fillId="0" borderId="37" xfId="3602" applyNumberFormat="1" applyFont="1" applyBorder="1" applyAlignment="1">
      <alignment horizontal="center" vertical="center"/>
    </xf>
    <xf numFmtId="4" fontId="142" fillId="0" borderId="38" xfId="3602" applyNumberFormat="1" applyFont="1" applyBorder="1" applyAlignment="1">
      <alignment horizontal="center" vertical="center"/>
    </xf>
    <xf numFmtId="4" fontId="141" fillId="0" borderId="0" xfId="0" applyNumberFormat="1" applyFont="1" applyAlignment="1">
      <alignment vertical="center"/>
    </xf>
    <xf numFmtId="3" fontId="141" fillId="0" borderId="27" xfId="0" applyNumberFormat="1" applyFont="1" applyBorder="1" applyAlignment="1">
      <alignment horizontal="center" vertical="center"/>
    </xf>
    <xf numFmtId="4" fontId="141" fillId="0" borderId="28" xfId="0" applyNumberFormat="1" applyFont="1" applyBorder="1" applyAlignment="1">
      <alignment vertical="center"/>
    </xf>
    <xf numFmtId="4" fontId="142" fillId="0" borderId="28" xfId="3602" applyNumberFormat="1" applyFont="1" applyBorder="1" applyAlignment="1">
      <alignment horizontal="center" vertical="center"/>
    </xf>
    <xf numFmtId="4" fontId="142" fillId="0" borderId="29" xfId="3602" applyNumberFormat="1" applyFont="1" applyBorder="1" applyAlignment="1">
      <alignment horizontal="center" vertical="center"/>
    </xf>
    <xf numFmtId="3" fontId="141" fillId="0" borderId="56" xfId="0" applyNumberFormat="1" applyFont="1" applyBorder="1" applyAlignment="1">
      <alignment horizontal="center" vertical="center"/>
    </xf>
    <xf numFmtId="4" fontId="141" fillId="0" borderId="47" xfId="0" applyNumberFormat="1" applyFont="1" applyBorder="1" applyAlignment="1">
      <alignment vertical="center"/>
    </xf>
    <xf numFmtId="4" fontId="142" fillId="0" borderId="47" xfId="3602" applyNumberFormat="1" applyFont="1" applyBorder="1" applyAlignment="1">
      <alignment horizontal="center" vertical="center"/>
    </xf>
    <xf numFmtId="4" fontId="142" fillId="0" borderId="69" xfId="3602" applyNumberFormat="1" applyFont="1" applyBorder="1" applyAlignment="1">
      <alignment horizontal="center" vertical="center"/>
    </xf>
    <xf numFmtId="4" fontId="144" fillId="3" borderId="124" xfId="3602" applyNumberFormat="1" applyFont="1" applyFill="1" applyBorder="1" applyAlignment="1">
      <alignment horizontal="center" vertical="center"/>
    </xf>
    <xf numFmtId="4" fontId="144" fillId="3" borderId="125" xfId="3602" applyNumberFormat="1" applyFont="1" applyFill="1" applyBorder="1" applyAlignment="1">
      <alignment horizontal="center" vertical="center"/>
    </xf>
    <xf numFmtId="4" fontId="144" fillId="3" borderId="126" xfId="3602" applyNumberFormat="1" applyFont="1" applyFill="1" applyBorder="1" applyAlignment="1">
      <alignment horizontal="center" vertical="center"/>
    </xf>
    <xf numFmtId="4" fontId="143" fillId="0" borderId="0" xfId="0" applyNumberFormat="1" applyFont="1" applyAlignment="1">
      <alignment vertical="center"/>
    </xf>
    <xf numFmtId="3" fontId="141" fillId="0" borderId="8" xfId="0" applyNumberFormat="1" applyFont="1" applyBorder="1" applyAlignment="1">
      <alignment horizontal="center" vertical="center"/>
    </xf>
    <xf numFmtId="4" fontId="141" fillId="0" borderId="9" xfId="0" applyNumberFormat="1" applyFont="1" applyBorder="1" applyAlignment="1">
      <alignment vertical="center"/>
    </xf>
    <xf numFmtId="4" fontId="142" fillId="0" borderId="9" xfId="3602" applyNumberFormat="1" applyFont="1" applyBorder="1" applyAlignment="1">
      <alignment horizontal="center" vertical="center"/>
    </xf>
    <xf numFmtId="4" fontId="142" fillId="0" borderId="10" xfId="3602" applyNumberFormat="1" applyFont="1" applyBorder="1" applyAlignment="1">
      <alignment horizontal="center" vertical="center"/>
    </xf>
    <xf numFmtId="0" fontId="89" fillId="0" borderId="0" xfId="0" applyFont="1" applyAlignment="1">
      <alignment vertical="center"/>
    </xf>
    <xf numFmtId="43" fontId="134" fillId="0" borderId="13" xfId="6" applyFont="1" applyBorder="1" applyAlignment="1">
      <alignment vertical="center" wrapText="1"/>
    </xf>
    <xf numFmtId="3" fontId="139" fillId="0" borderId="0" xfId="0" applyNumberFormat="1" applyFont="1" applyAlignment="1">
      <alignment horizontal="left" vertical="center"/>
    </xf>
    <xf numFmtId="43" fontId="134" fillId="0" borderId="0" xfId="6" applyFont="1" applyBorder="1" applyAlignment="1">
      <alignment vertical="center" wrapText="1"/>
    </xf>
    <xf numFmtId="43" fontId="139" fillId="0" borderId="0" xfId="6" applyFont="1" applyAlignment="1">
      <alignment horizontal="left" vertical="center"/>
    </xf>
    <xf numFmtId="43" fontId="134" fillId="0" borderId="13" xfId="0" applyNumberFormat="1" applyFont="1" applyBorder="1" applyAlignment="1">
      <alignment vertical="center"/>
    </xf>
    <xf numFmtId="0" fontId="141" fillId="0" borderId="0" xfId="0" applyFont="1" applyAlignment="1">
      <alignment vertical="center"/>
    </xf>
    <xf numFmtId="0" fontId="146" fillId="0" borderId="0" xfId="0" applyFont="1" applyAlignment="1">
      <alignment vertical="center"/>
    </xf>
    <xf numFmtId="3" fontId="140" fillId="0" borderId="0" xfId="0" applyNumberFormat="1" applyFont="1" applyAlignment="1">
      <alignment vertical="center"/>
    </xf>
    <xf numFmtId="0" fontId="140" fillId="0" borderId="0" xfId="0" applyFont="1" applyAlignment="1">
      <alignment vertical="center"/>
    </xf>
    <xf numFmtId="43" fontId="140" fillId="0" borderId="0" xfId="0" applyNumberFormat="1" applyFont="1" applyAlignment="1">
      <alignment vertical="center"/>
    </xf>
    <xf numFmtId="0" fontId="90" fillId="0" borderId="0" xfId="0" applyFont="1" applyAlignment="1">
      <alignment vertical="center"/>
    </xf>
    <xf numFmtId="4" fontId="89" fillId="0" borderId="0" xfId="0" applyNumberFormat="1" applyFont="1" applyAlignment="1">
      <alignment vertical="center" wrapText="1"/>
    </xf>
    <xf numFmtId="4" fontId="90" fillId="0" borderId="0" xfId="0" applyNumberFormat="1" applyFont="1" applyFill="1" applyAlignment="1">
      <alignment horizontal="center" vertical="center"/>
    </xf>
    <xf numFmtId="4" fontId="90" fillId="0" borderId="0" xfId="0" applyNumberFormat="1" applyFont="1" applyFill="1" applyAlignment="1">
      <alignment vertical="center" wrapText="1"/>
    </xf>
    <xf numFmtId="4" fontId="93" fillId="0" borderId="28" xfId="0" applyNumberFormat="1" applyFont="1" applyFill="1" applyBorder="1" applyAlignment="1">
      <alignment vertical="center" wrapText="1"/>
    </xf>
    <xf numFmtId="4" fontId="93" fillId="0" borderId="0" xfId="9" applyNumberFormat="1" applyFont="1" applyFill="1" applyBorder="1" applyAlignment="1">
      <alignment vertical="center"/>
    </xf>
    <xf numFmtId="4" fontId="93" fillId="0" borderId="47" xfId="0" applyNumberFormat="1" applyFont="1" applyFill="1" applyBorder="1" applyAlignment="1">
      <alignment vertical="center" wrapText="1"/>
    </xf>
    <xf numFmtId="4" fontId="149" fillId="0" borderId="0" xfId="0" applyNumberFormat="1" applyFont="1" applyFill="1" applyAlignment="1">
      <alignment vertical="center"/>
    </xf>
    <xf numFmtId="4" fontId="149" fillId="0" borderId="0" xfId="0" applyNumberFormat="1" applyFont="1" applyAlignment="1">
      <alignment vertical="center"/>
    </xf>
    <xf numFmtId="4" fontId="89" fillId="0" borderId="36" xfId="0" applyNumberFormat="1" applyFont="1" applyBorder="1" applyAlignment="1">
      <alignment horizontal="center" vertical="center"/>
    </xf>
    <xf numFmtId="4" fontId="90" fillId="3" borderId="0" xfId="0" applyNumberFormat="1" applyFont="1" applyFill="1" applyAlignment="1">
      <alignment vertical="center"/>
    </xf>
    <xf numFmtId="4" fontId="90" fillId="32" borderId="0" xfId="0" applyNumberFormat="1" applyFont="1" applyFill="1" applyAlignment="1">
      <alignment vertical="center"/>
    </xf>
    <xf numFmtId="4" fontId="89" fillId="0" borderId="0" xfId="0" applyNumberFormat="1" applyFont="1" applyFill="1" applyAlignment="1">
      <alignment horizontal="center" vertical="center"/>
    </xf>
    <xf numFmtId="4" fontId="89" fillId="0" borderId="0" xfId="0" applyNumberFormat="1" applyFont="1" applyFill="1" applyAlignment="1">
      <alignment vertical="center" wrapText="1"/>
    </xf>
    <xf numFmtId="166" fontId="89" fillId="0" borderId="0" xfId="0" applyNumberFormat="1" applyFont="1" applyFill="1" applyAlignment="1">
      <alignment horizontal="center" vertical="center"/>
    </xf>
    <xf numFmtId="1" fontId="90" fillId="0" borderId="0" xfId="0" applyNumberFormat="1" applyFont="1" applyBorder="1" applyAlignment="1">
      <alignment vertical="center"/>
    </xf>
    <xf numFmtId="2" fontId="90" fillId="0" borderId="0" xfId="0" applyNumberFormat="1" applyFont="1" applyAlignment="1">
      <alignment vertical="center"/>
    </xf>
    <xf numFmtId="2" fontId="92" fillId="0" borderId="0" xfId="7" applyNumberFormat="1" applyFont="1" applyFill="1" applyBorder="1" applyAlignment="1">
      <alignment horizontal="right" vertical="center"/>
    </xf>
    <xf numFmtId="2" fontId="92" fillId="0" borderId="0" xfId="7" applyNumberFormat="1" applyFont="1" applyFill="1" applyBorder="1" applyAlignment="1">
      <alignment vertical="center"/>
    </xf>
    <xf numFmtId="2" fontId="92" fillId="0" borderId="0" xfId="7" applyNumberFormat="1" applyFont="1" applyFill="1" applyBorder="1" applyAlignment="1">
      <alignment horizontal="left" vertical="center"/>
    </xf>
    <xf numFmtId="2" fontId="92" fillId="0" borderId="0" xfId="0" applyNumberFormat="1" applyFont="1" applyFill="1" applyBorder="1" applyAlignment="1">
      <alignment horizontal="left" vertical="center"/>
    </xf>
    <xf numFmtId="4" fontId="91" fillId="33" borderId="24" xfId="753" applyNumberFormat="1" applyFont="1" applyFill="1" applyBorder="1" applyAlignment="1">
      <alignment horizontal="center" vertical="center" shrinkToFit="1"/>
    </xf>
    <xf numFmtId="4" fontId="90" fillId="33" borderId="24" xfId="0" applyNumberFormat="1" applyFont="1" applyFill="1" applyBorder="1" applyAlignment="1">
      <alignment horizontal="center" vertical="center"/>
    </xf>
    <xf numFmtId="4" fontId="90" fillId="33" borderId="25" xfId="0" applyNumberFormat="1" applyFont="1" applyFill="1" applyBorder="1" applyAlignment="1">
      <alignment horizontal="center" vertical="center"/>
    </xf>
    <xf numFmtId="4" fontId="90" fillId="0" borderId="36" xfId="0" applyNumberFormat="1" applyFont="1" applyBorder="1" applyAlignment="1">
      <alignment horizontal="center" vertical="center"/>
    </xf>
    <xf numFmtId="4" fontId="91" fillId="0" borderId="37" xfId="753" applyNumberFormat="1" applyFont="1" applyBorder="1" applyAlignment="1">
      <alignment horizontal="center" vertical="center" shrinkToFit="1"/>
    </xf>
    <xf numFmtId="166" fontId="91" fillId="0" borderId="37" xfId="753" applyNumberFormat="1" applyFont="1" applyBorder="1" applyAlignment="1">
      <alignment horizontal="center" vertical="center" shrinkToFit="1"/>
    </xf>
    <xf numFmtId="4" fontId="93" fillId="0" borderId="28" xfId="753" applyNumberFormat="1" applyFont="1" applyFill="1" applyBorder="1" applyAlignment="1">
      <alignment horizontal="center" vertical="center"/>
    </xf>
    <xf numFmtId="4" fontId="93" fillId="0" borderId="29" xfId="753" applyNumberFormat="1" applyFont="1" applyFill="1" applyBorder="1" applyAlignment="1">
      <alignment horizontal="center" vertical="center"/>
    </xf>
    <xf numFmtId="4" fontId="91" fillId="0" borderId="27" xfId="753" applyNumberFormat="1" applyFont="1" applyBorder="1" applyAlignment="1">
      <alignment horizontal="center" vertical="center" shrinkToFit="1"/>
    </xf>
    <xf numFmtId="4" fontId="93" fillId="0" borderId="28" xfId="753" applyNumberFormat="1" applyFont="1" applyBorder="1" applyAlignment="1">
      <alignment horizontal="center" vertical="center"/>
    </xf>
    <xf numFmtId="166" fontId="93" fillId="0" borderId="28" xfId="753" applyNumberFormat="1" applyFont="1" applyBorder="1" applyAlignment="1">
      <alignment horizontal="center" vertical="center"/>
    </xf>
    <xf numFmtId="4" fontId="91" fillId="0" borderId="27" xfId="753" applyNumberFormat="1" applyFont="1" applyBorder="1" applyAlignment="1">
      <alignment horizontal="center" vertical="center"/>
    </xf>
    <xf numFmtId="4" fontId="91" fillId="0" borderId="27" xfId="753" applyNumberFormat="1" applyFont="1" applyFill="1" applyBorder="1" applyAlignment="1">
      <alignment horizontal="center" vertical="center"/>
    </xf>
    <xf numFmtId="4" fontId="91" fillId="0" borderId="56" xfId="753" applyNumberFormat="1" applyFont="1" applyFill="1" applyBorder="1" applyAlignment="1">
      <alignment horizontal="center" vertical="center"/>
    </xf>
    <xf numFmtId="4" fontId="93" fillId="0" borderId="47" xfId="753" applyNumberFormat="1" applyFont="1" applyBorder="1" applyAlignment="1">
      <alignment horizontal="center" vertical="center"/>
    </xf>
    <xf numFmtId="166" fontId="93" fillId="0" borderId="47" xfId="753" applyNumberFormat="1" applyFont="1" applyBorder="1" applyAlignment="1">
      <alignment horizontal="center" vertical="center"/>
    </xf>
    <xf numFmtId="4" fontId="89" fillId="0" borderId="15" xfId="0" applyNumberFormat="1" applyFont="1" applyBorder="1" applyAlignment="1">
      <alignment horizontal="center" vertical="center"/>
    </xf>
    <xf numFmtId="4" fontId="91" fillId="0" borderId="138" xfId="753" applyNumberFormat="1" applyFont="1" applyFill="1" applyBorder="1" applyAlignment="1">
      <alignment horizontal="center" vertical="center"/>
    </xf>
    <xf numFmtId="4" fontId="89" fillId="0" borderId="15" xfId="0" applyNumberFormat="1" applyFont="1" applyFill="1" applyBorder="1" applyAlignment="1">
      <alignment horizontal="center" vertical="center"/>
    </xf>
    <xf numFmtId="4" fontId="91" fillId="0" borderId="57" xfId="753" applyNumberFormat="1" applyFont="1" applyFill="1" applyBorder="1" applyAlignment="1">
      <alignment horizontal="center" vertical="center"/>
    </xf>
    <xf numFmtId="166" fontId="93" fillId="0" borderId="28" xfId="753" applyNumberFormat="1" applyFont="1" applyFill="1" applyBorder="1" applyAlignment="1">
      <alignment horizontal="center" vertical="center"/>
    </xf>
    <xf numFmtId="4" fontId="91" fillId="0" borderId="30" xfId="753" applyNumberFormat="1" applyFont="1" applyFill="1" applyBorder="1" applyAlignment="1">
      <alignment horizontal="center" vertical="center"/>
    </xf>
    <xf numFmtId="4" fontId="93" fillId="0" borderId="24" xfId="753" applyNumberFormat="1" applyFont="1" applyFill="1" applyBorder="1" applyAlignment="1">
      <alignment horizontal="center" vertical="center"/>
    </xf>
    <xf numFmtId="166" fontId="93" fillId="0" borderId="24" xfId="753" applyNumberFormat="1" applyFont="1" applyFill="1" applyBorder="1" applyAlignment="1">
      <alignment horizontal="center" vertical="center"/>
    </xf>
    <xf numFmtId="4" fontId="93" fillId="0" borderId="0" xfId="753" applyNumberFormat="1" applyFont="1" applyFill="1" applyBorder="1" applyAlignment="1">
      <alignment horizontal="center" vertical="center"/>
    </xf>
    <xf numFmtId="4" fontId="93" fillId="0" borderId="117" xfId="753" applyNumberFormat="1" applyFont="1" applyFill="1" applyBorder="1" applyAlignment="1">
      <alignment horizontal="center" vertical="center"/>
    </xf>
    <xf numFmtId="4" fontId="89" fillId="0" borderId="117" xfId="0" applyNumberFormat="1" applyFont="1" applyFill="1" applyBorder="1" applyAlignment="1">
      <alignment horizontal="center" vertical="center"/>
    </xf>
    <xf numFmtId="4" fontId="89" fillId="0" borderId="118" xfId="0" applyNumberFormat="1" applyFont="1" applyFill="1" applyBorder="1" applyAlignment="1">
      <alignment horizontal="center" vertical="center"/>
    </xf>
    <xf numFmtId="171" fontId="89" fillId="0" borderId="0" xfId="0" applyNumberFormat="1" applyFont="1" applyFill="1" applyAlignment="1">
      <alignment horizontal="center" vertical="center"/>
    </xf>
    <xf numFmtId="171" fontId="93" fillId="0" borderId="0" xfId="753" applyNumberFormat="1" applyFont="1" applyFill="1" applyBorder="1" applyAlignment="1">
      <alignment horizontal="center" vertical="center"/>
    </xf>
    <xf numFmtId="171" fontId="93" fillId="0" borderId="28" xfId="753" applyNumberFormat="1" applyFont="1" applyFill="1" applyBorder="1" applyAlignment="1">
      <alignment horizontal="center" vertical="center"/>
    </xf>
    <xf numFmtId="171" fontId="89" fillId="0" borderId="28" xfId="0" applyNumberFormat="1" applyFont="1" applyFill="1" applyBorder="1" applyAlignment="1">
      <alignment horizontal="center" vertical="center"/>
    </xf>
    <xf numFmtId="171" fontId="89" fillId="0" borderId="29" xfId="0" applyNumberFormat="1" applyFont="1" applyFill="1" applyBorder="1" applyAlignment="1">
      <alignment horizontal="center" vertical="center"/>
    </xf>
    <xf numFmtId="171" fontId="0" fillId="0" borderId="0" xfId="0" applyNumberFormat="1" applyAlignment="1">
      <alignment vertical="center"/>
    </xf>
    <xf numFmtId="4" fontId="91" fillId="0" borderId="0" xfId="753" applyNumberFormat="1" applyFont="1" applyFill="1" applyBorder="1" applyAlignment="1">
      <alignment horizontal="center" vertical="center"/>
    </xf>
    <xf numFmtId="4" fontId="91" fillId="0" borderId="24" xfId="753" applyNumberFormat="1" applyFont="1" applyFill="1" applyBorder="1" applyAlignment="1">
      <alignment horizontal="center" vertical="center"/>
    </xf>
    <xf numFmtId="4" fontId="91" fillId="0" borderId="25" xfId="753" applyNumberFormat="1" applyFont="1" applyFill="1" applyBorder="1" applyAlignment="1">
      <alignment horizontal="center" vertical="center"/>
    </xf>
    <xf numFmtId="2" fontId="92" fillId="0" borderId="13" xfId="7" applyNumberFormat="1" applyFont="1" applyFill="1" applyBorder="1" applyAlignment="1">
      <alignment horizontal="right" vertical="center"/>
    </xf>
    <xf numFmtId="2" fontId="92" fillId="0" borderId="13" xfId="7" applyNumberFormat="1" applyFont="1" applyFill="1" applyBorder="1" applyAlignment="1">
      <alignment vertical="center"/>
    </xf>
    <xf numFmtId="0" fontId="90" fillId="0" borderId="139" xfId="0" applyFont="1" applyBorder="1" applyAlignment="1">
      <alignment horizontal="center" vertical="center"/>
    </xf>
    <xf numFmtId="0" fontId="0" fillId="0" borderId="121" xfId="0" applyBorder="1" applyAlignment="1">
      <alignment vertical="center"/>
    </xf>
    <xf numFmtId="0" fontId="0" fillId="0" borderId="117" xfId="0" applyBorder="1" applyAlignment="1">
      <alignment vertical="center"/>
    </xf>
    <xf numFmtId="0" fontId="0" fillId="0" borderId="122" xfId="0" applyBorder="1" applyAlignment="1">
      <alignment vertical="center"/>
    </xf>
    <xf numFmtId="0" fontId="0" fillId="0" borderId="118" xfId="0" applyBorder="1" applyAlignment="1">
      <alignment vertical="center"/>
    </xf>
    <xf numFmtId="4" fontId="89" fillId="0" borderId="1" xfId="0" applyNumberFormat="1" applyFont="1" applyBorder="1" applyAlignment="1">
      <alignment horizontal="center" vertical="center"/>
    </xf>
    <xf numFmtId="4" fontId="89" fillId="0" borderId="36" xfId="0" applyNumberFormat="1" applyFont="1" applyBorder="1" applyAlignment="1">
      <alignment horizontal="right" vertical="center"/>
    </xf>
    <xf numFmtId="4" fontId="93" fillId="0" borderId="37" xfId="753" applyNumberFormat="1" applyFont="1" applyBorder="1" applyAlignment="1">
      <alignment horizontal="center" vertical="center" shrinkToFit="1"/>
    </xf>
    <xf numFmtId="166" fontId="93" fillId="0" borderId="37" xfId="753" applyNumberFormat="1" applyFont="1" applyBorder="1" applyAlignment="1">
      <alignment horizontal="center" vertical="center" shrinkToFit="1"/>
    </xf>
    <xf numFmtId="4" fontId="93" fillId="0" borderId="37" xfId="753" applyNumberFormat="1" applyFont="1" applyFill="1" applyBorder="1" applyAlignment="1">
      <alignment horizontal="center" vertical="center"/>
    </xf>
    <xf numFmtId="4" fontId="93" fillId="0" borderId="38" xfId="753" applyNumberFormat="1" applyFont="1" applyFill="1" applyBorder="1" applyAlignment="1">
      <alignment horizontal="center" vertical="center"/>
    </xf>
    <xf numFmtId="4" fontId="93" fillId="0" borderId="27" xfId="753" applyNumberFormat="1" applyFont="1" applyBorder="1" applyAlignment="1">
      <alignment horizontal="right" vertical="center" shrinkToFit="1"/>
    </xf>
    <xf numFmtId="4" fontId="93" fillId="0" borderId="27" xfId="753" applyNumberFormat="1" applyFont="1" applyBorder="1" applyAlignment="1">
      <alignment horizontal="right" vertical="center"/>
    </xf>
    <xf numFmtId="0" fontId="90" fillId="0" borderId="0" xfId="0" applyFont="1" applyAlignment="1">
      <alignment horizontal="center" vertical="center"/>
    </xf>
    <xf numFmtId="4" fontId="91" fillId="0" borderId="27" xfId="753" applyNumberFormat="1" applyFont="1" applyBorder="1" applyAlignment="1">
      <alignment horizontal="right" vertical="center"/>
    </xf>
    <xf numFmtId="4" fontId="91" fillId="0" borderId="56" xfId="753" applyNumberFormat="1" applyFont="1" applyFill="1" applyBorder="1" applyAlignment="1">
      <alignment horizontal="right" vertical="center"/>
    </xf>
    <xf numFmtId="4" fontId="91" fillId="0" borderId="27" xfId="753" applyNumberFormat="1" applyFont="1" applyFill="1" applyBorder="1" applyAlignment="1">
      <alignment horizontal="right" vertical="center"/>
    </xf>
    <xf numFmtId="4" fontId="91" fillId="0" borderId="8" xfId="753" applyNumberFormat="1" applyFont="1" applyFill="1" applyBorder="1" applyAlignment="1">
      <alignment horizontal="right" vertical="center"/>
    </xf>
    <xf numFmtId="4" fontId="93" fillId="0" borderId="9" xfId="753" applyNumberFormat="1" applyFont="1" applyFill="1" applyBorder="1" applyAlignment="1">
      <alignment horizontal="center" vertical="center"/>
    </xf>
    <xf numFmtId="166" fontId="93" fillId="0" borderId="9" xfId="753" applyNumberFormat="1" applyFont="1" applyFill="1" applyBorder="1" applyAlignment="1">
      <alignment horizontal="center" vertical="center"/>
    </xf>
    <xf numFmtId="4" fontId="93" fillId="0" borderId="0" xfId="753" applyNumberFormat="1" applyFont="1" applyFill="1" applyBorder="1" applyAlignment="1">
      <alignment horizontal="right" vertical="center"/>
    </xf>
    <xf numFmtId="171" fontId="93" fillId="0" borderId="0" xfId="753" applyNumberFormat="1" applyFont="1" applyFill="1" applyBorder="1" applyAlignment="1">
      <alignment horizontal="right" vertical="center"/>
    </xf>
    <xf numFmtId="4" fontId="91" fillId="0" borderId="0" xfId="753" applyNumberFormat="1" applyFont="1" applyFill="1" applyBorder="1" applyAlignment="1">
      <alignment horizontal="right" vertical="center"/>
    </xf>
    <xf numFmtId="0" fontId="0" fillId="0" borderId="0" xfId="0" applyAlignment="1">
      <alignment horizontal="right" vertical="center"/>
    </xf>
    <xf numFmtId="0" fontId="85" fillId="0" borderId="0" xfId="0" applyFont="1" applyFill="1" applyBorder="1" applyAlignment="1">
      <alignment horizontal="left" vertical="center" wrapText="1"/>
    </xf>
    <xf numFmtId="0" fontId="84" fillId="0" borderId="0" xfId="0" applyFont="1" applyFill="1" applyBorder="1" applyAlignment="1">
      <alignment horizontal="left" vertical="center"/>
    </xf>
    <xf numFmtId="3" fontId="36" fillId="0" borderId="9" xfId="915" applyNumberFormat="1" applyFont="1" applyFill="1" applyBorder="1" applyAlignment="1">
      <alignment vertical="center" wrapText="1"/>
    </xf>
    <xf numFmtId="4" fontId="36" fillId="0" borderId="9" xfId="915" applyNumberFormat="1" applyFont="1" applyFill="1" applyBorder="1" applyAlignment="1">
      <alignment horizontal="center" vertical="center" wrapText="1"/>
    </xf>
    <xf numFmtId="4" fontId="36" fillId="0" borderId="9" xfId="915" applyNumberFormat="1" applyFont="1" applyBorder="1" applyAlignment="1">
      <alignment horizontal="center" vertical="center" wrapText="1"/>
    </xf>
    <xf numFmtId="4" fontId="36" fillId="0" borderId="9" xfId="915" applyNumberFormat="1" applyFont="1" applyBorder="1" applyAlignment="1">
      <alignment horizontal="left" vertical="center"/>
    </xf>
    <xf numFmtId="4" fontId="126" fillId="0" borderId="0" xfId="0" applyNumberFormat="1" applyFont="1" applyFill="1" applyBorder="1" applyAlignment="1">
      <alignment horizontal="center" vertical="center"/>
    </xf>
    <xf numFmtId="3" fontId="36" fillId="0" borderId="37" xfId="915" applyNumberFormat="1" applyFont="1" applyFill="1" applyBorder="1" applyAlignment="1">
      <alignment horizontal="center" vertical="center" wrapText="1"/>
    </xf>
    <xf numFmtId="4" fontId="125" fillId="0" borderId="77" xfId="3" applyNumberFormat="1" applyFont="1" applyFill="1" applyBorder="1" applyAlignment="1">
      <alignment horizontal="center" vertical="center" wrapText="1"/>
    </xf>
    <xf numFmtId="4" fontId="125" fillId="2" borderId="77" xfId="3" applyNumberFormat="1" applyFont="1" applyFill="1" applyBorder="1" applyAlignment="1">
      <alignment horizontal="center"/>
    </xf>
    <xf numFmtId="4" fontId="125" fillId="2" borderId="77" xfId="3" applyNumberFormat="1" applyFont="1" applyFill="1" applyBorder="1" applyAlignment="1">
      <alignment horizontal="center" vertical="center"/>
    </xf>
    <xf numFmtId="4" fontId="125" fillId="2" borderId="110" xfId="3" applyNumberFormat="1" applyFont="1" applyFill="1" applyBorder="1" applyAlignment="1">
      <alignment horizontal="center"/>
    </xf>
    <xf numFmtId="4" fontId="125" fillId="0" borderId="93" xfId="3" applyNumberFormat="1" applyFont="1" applyBorder="1" applyAlignment="1">
      <alignment horizontal="center"/>
    </xf>
    <xf numFmtId="4" fontId="124" fillId="2" borderId="0" xfId="0" applyNumberFormat="1" applyFont="1" applyFill="1"/>
    <xf numFmtId="4" fontId="124" fillId="2" borderId="134" xfId="0" applyNumberFormat="1" applyFont="1" applyFill="1" applyBorder="1"/>
    <xf numFmtId="4" fontId="124" fillId="2" borderId="141" xfId="0" applyNumberFormat="1" applyFont="1" applyFill="1" applyBorder="1"/>
    <xf numFmtId="4" fontId="152" fillId="2" borderId="77" xfId="3" applyNumberFormat="1" applyFont="1" applyFill="1" applyBorder="1" applyAlignment="1">
      <alignment horizontal="left" vertical="center"/>
    </xf>
    <xf numFmtId="4" fontId="152" fillId="2" borderId="142" xfId="3" applyNumberFormat="1" applyFont="1" applyFill="1" applyBorder="1" applyAlignment="1">
      <alignment horizontal="left" vertical="center"/>
    </xf>
    <xf numFmtId="4" fontId="125" fillId="0" borderId="77" xfId="3" applyNumberFormat="1" applyFont="1" applyFill="1" applyBorder="1" applyAlignment="1">
      <alignment horizontal="center" vertical="center"/>
    </xf>
    <xf numFmtId="4" fontId="121" fillId="0" borderId="77" xfId="3" applyNumberFormat="1" applyFont="1" applyBorder="1" applyAlignment="1">
      <alignment horizontal="center"/>
    </xf>
    <xf numFmtId="0" fontId="39" fillId="0" borderId="0" xfId="0" applyFont="1"/>
    <xf numFmtId="1" fontId="39" fillId="0" borderId="0" xfId="0" applyNumberFormat="1" applyFont="1"/>
    <xf numFmtId="2" fontId="39" fillId="0" borderId="0" xfId="0" applyNumberFormat="1" applyFont="1"/>
    <xf numFmtId="4" fontId="125" fillId="2" borderId="93" xfId="3" applyNumberFormat="1" applyFont="1" applyFill="1" applyBorder="1" applyAlignment="1">
      <alignment horizontal="left"/>
    </xf>
    <xf numFmtId="4" fontId="125" fillId="2" borderId="77" xfId="3" applyNumberFormat="1" applyFont="1" applyFill="1" applyBorder="1" applyAlignment="1">
      <alignment horizontal="center" vertical="center" wrapText="1"/>
    </xf>
    <xf numFmtId="4" fontId="125" fillId="2" borderId="93" xfId="3" applyNumberFormat="1" applyFont="1" applyFill="1" applyBorder="1" applyAlignment="1">
      <alignment horizontal="center"/>
    </xf>
    <xf numFmtId="4" fontId="78" fillId="2" borderId="77" xfId="3" applyNumberFormat="1" applyFont="1" applyFill="1" applyBorder="1" applyAlignment="1">
      <alignment horizontal="center"/>
    </xf>
    <xf numFmtId="4" fontId="153" fillId="2" borderId="93" xfId="3" applyNumberFormat="1" applyFont="1" applyFill="1" applyBorder="1" applyAlignment="1">
      <alignment horizontal="center" vertical="center"/>
    </xf>
    <xf numFmtId="4" fontId="153" fillId="2" borderId="77" xfId="3" applyNumberFormat="1" applyFont="1" applyFill="1" applyBorder="1" applyAlignment="1">
      <alignment horizontal="center" vertical="center"/>
    </xf>
    <xf numFmtId="4" fontId="121" fillId="2" borderId="77" xfId="3" applyNumberFormat="1" applyFont="1" applyFill="1" applyBorder="1" applyAlignment="1">
      <alignment horizontal="center" vertical="center"/>
    </xf>
    <xf numFmtId="4" fontId="123" fillId="2" borderId="0" xfId="0" applyNumberFormat="1" applyFont="1" applyFill="1" applyBorder="1"/>
    <xf numFmtId="3" fontId="37" fillId="0" borderId="6" xfId="915" applyNumberFormat="1" applyFont="1" applyFill="1" applyBorder="1" applyAlignment="1">
      <alignment vertical="center" wrapText="1"/>
    </xf>
    <xf numFmtId="4" fontId="37" fillId="0" borderId="6" xfId="915" applyNumberFormat="1" applyFont="1" applyFill="1" applyBorder="1" applyAlignment="1">
      <alignment horizontal="center" vertical="center" wrapText="1"/>
    </xf>
    <xf numFmtId="4" fontId="37" fillId="0" borderId="6" xfId="915" applyNumberFormat="1" applyFont="1" applyBorder="1" applyAlignment="1">
      <alignment horizontal="center" vertical="center" wrapText="1"/>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0" fontId="33" fillId="0" borderId="6" xfId="0" applyFont="1" applyBorder="1" applyAlignment="1">
      <alignment horizontal="center" vertical="center"/>
    </xf>
    <xf numFmtId="4" fontId="36" fillId="0" borderId="6" xfId="915" applyNumberFormat="1" applyFont="1" applyBorder="1" applyAlignment="1">
      <alignment horizontal="left" vertical="center" wrapText="1"/>
    </xf>
    <xf numFmtId="0" fontId="31" fillId="2" borderId="72" xfId="5" applyFont="1" applyFill="1" applyBorder="1" applyAlignment="1">
      <alignment horizontal="center" vertical="center"/>
    </xf>
    <xf numFmtId="43" fontId="31" fillId="0" borderId="41" xfId="8" applyFont="1" applyBorder="1" applyAlignment="1">
      <alignment vertical="center"/>
    </xf>
    <xf numFmtId="43" fontId="31" fillId="0" borderId="41" xfId="5" applyNumberFormat="1" applyFont="1" applyBorder="1" applyAlignment="1">
      <alignment vertical="center"/>
    </xf>
    <xf numFmtId="43" fontId="31" fillId="0" borderId="87" xfId="5" applyNumberFormat="1" applyFont="1" applyBorder="1" applyAlignment="1">
      <alignment vertical="center"/>
    </xf>
    <xf numFmtId="0" fontId="55" fillId="0" borderId="59" xfId="5" applyFont="1" applyBorder="1" applyAlignment="1">
      <alignment vertical="center"/>
    </xf>
    <xf numFmtId="43" fontId="31" fillId="0" borderId="59" xfId="5" applyNumberFormat="1" applyFont="1" applyBorder="1" applyAlignment="1">
      <alignment vertical="center"/>
    </xf>
    <xf numFmtId="43" fontId="31" fillId="0" borderId="70" xfId="5" applyNumberFormat="1" applyFont="1" applyBorder="1" applyAlignment="1">
      <alignment vertical="center"/>
    </xf>
    <xf numFmtId="0" fontId="51" fillId="2" borderId="124" xfId="5" applyFont="1" applyFill="1" applyBorder="1" applyAlignment="1">
      <alignment horizontal="center" vertical="center"/>
    </xf>
    <xf numFmtId="0" fontId="51" fillId="0" borderId="143" xfId="5" applyFont="1" applyBorder="1" applyAlignment="1">
      <alignment horizontal="center" vertical="center"/>
    </xf>
    <xf numFmtId="43" fontId="51" fillId="0" borderId="125" xfId="8" applyFont="1" applyBorder="1" applyAlignment="1">
      <alignment vertical="center"/>
    </xf>
    <xf numFmtId="43" fontId="51" fillId="0" borderId="126" xfId="8" applyFont="1" applyBorder="1" applyAlignment="1">
      <alignment vertical="center"/>
    </xf>
    <xf numFmtId="4" fontId="52" fillId="0" borderId="0" xfId="5" applyNumberFormat="1" applyFont="1" applyFill="1" applyAlignment="1">
      <alignment vertical="center"/>
    </xf>
    <xf numFmtId="4" fontId="51" fillId="0" borderId="120" xfId="5" applyNumberFormat="1" applyFont="1" applyFill="1" applyBorder="1" applyAlignment="1">
      <alignment horizontal="center" vertical="center" wrapText="1"/>
    </xf>
    <xf numFmtId="0" fontId="51" fillId="0" borderId="103" xfId="5" applyFont="1" applyFill="1" applyBorder="1" applyAlignment="1">
      <alignment horizontal="center" vertical="center" wrapText="1"/>
    </xf>
    <xf numFmtId="4" fontId="51" fillId="0" borderId="9" xfId="3" applyNumberFormat="1" applyFont="1" applyFill="1" applyBorder="1" applyAlignment="1">
      <alignment horizontal="center" vertical="center"/>
    </xf>
    <xf numFmtId="4" fontId="51" fillId="0" borderId="10" xfId="3" applyNumberFormat="1" applyFont="1" applyFill="1" applyBorder="1" applyAlignment="1">
      <alignment horizontal="center" vertical="center"/>
    </xf>
    <xf numFmtId="166" fontId="118" fillId="0" borderId="27" xfId="0" applyNumberFormat="1" applyFont="1" applyFill="1" applyBorder="1" applyAlignment="1">
      <alignment horizontal="center" vertical="center"/>
    </xf>
    <xf numFmtId="4" fontId="91" fillId="0" borderId="28" xfId="0" applyNumberFormat="1" applyFont="1" applyFill="1" applyBorder="1" applyAlignment="1">
      <alignment horizontal="center" vertical="center"/>
    </xf>
    <xf numFmtId="4" fontId="94" fillId="0" borderId="28" xfId="4" applyNumberFormat="1" applyFont="1" applyFill="1" applyBorder="1" applyAlignment="1">
      <alignment horizontal="center" vertical="center"/>
    </xf>
    <xf numFmtId="166" fontId="94" fillId="0" borderId="28" xfId="4" applyNumberFormat="1" applyFont="1" applyFill="1" applyBorder="1" applyAlignment="1">
      <alignment horizontal="center" vertical="center"/>
    </xf>
    <xf numFmtId="4" fontId="94" fillId="0" borderId="29" xfId="4" applyNumberFormat="1" applyFont="1" applyFill="1" applyBorder="1" applyAlignment="1">
      <alignment horizontal="center" vertical="center"/>
    </xf>
    <xf numFmtId="4" fontId="94" fillId="0" borderId="28" xfId="0" applyNumberFormat="1" applyFont="1" applyFill="1" applyBorder="1" applyAlignment="1">
      <alignment horizontal="left" vertical="center" wrapText="1"/>
    </xf>
    <xf numFmtId="166" fontId="118" fillId="0" borderId="56" xfId="0" applyNumberFormat="1" applyFont="1" applyFill="1" applyBorder="1" applyAlignment="1">
      <alignment horizontal="center" vertical="center"/>
    </xf>
    <xf numFmtId="4" fontId="94" fillId="0" borderId="47" xfId="0" applyNumberFormat="1" applyFont="1" applyFill="1" applyBorder="1" applyAlignment="1">
      <alignment vertical="center" wrapText="1"/>
    </xf>
    <xf numFmtId="4" fontId="89" fillId="0" borderId="47" xfId="0" applyNumberFormat="1" applyFont="1" applyFill="1" applyBorder="1" applyAlignment="1">
      <alignment vertical="center"/>
    </xf>
    <xf numFmtId="4" fontId="94" fillId="0" borderId="47" xfId="4" applyNumberFormat="1" applyFont="1" applyFill="1" applyBorder="1" applyAlignment="1">
      <alignment horizontal="center" vertical="center"/>
    </xf>
    <xf numFmtId="4" fontId="94" fillId="0" borderId="69" xfId="4" applyNumberFormat="1" applyFont="1" applyFill="1" applyBorder="1" applyAlignment="1">
      <alignment horizontal="center" vertical="center"/>
    </xf>
    <xf numFmtId="4" fontId="115" fillId="0" borderId="11" xfId="4" applyNumberFormat="1" applyFont="1" applyFill="1" applyBorder="1" applyAlignment="1">
      <alignment horizontal="center" vertical="center"/>
    </xf>
    <xf numFmtId="166" fontId="115" fillId="0" borderId="14" xfId="4" applyNumberFormat="1" applyFont="1" applyFill="1" applyBorder="1" applyAlignment="1">
      <alignment horizontal="center" vertical="center"/>
    </xf>
    <xf numFmtId="4" fontId="117" fillId="0" borderId="11" xfId="0" applyNumberFormat="1" applyFont="1" applyFill="1" applyBorder="1" applyAlignment="1">
      <alignment vertical="center"/>
    </xf>
    <xf numFmtId="4" fontId="116" fillId="0" borderId="11" xfId="4" applyNumberFormat="1" applyFont="1" applyFill="1" applyBorder="1" applyAlignment="1">
      <alignment horizontal="center" vertical="center"/>
    </xf>
    <xf numFmtId="4" fontId="115" fillId="0" borderId="86" xfId="4" applyNumberFormat="1" applyFont="1" applyFill="1" applyBorder="1" applyAlignment="1">
      <alignment horizontal="center" vertical="center"/>
    </xf>
    <xf numFmtId="4" fontId="92" fillId="0" borderId="37" xfId="0" applyNumberFormat="1" applyFont="1" applyFill="1" applyBorder="1" applyAlignment="1">
      <alignment horizontal="center" vertical="center"/>
    </xf>
    <xf numFmtId="4" fontId="94" fillId="0" borderId="37" xfId="4" applyNumberFormat="1" applyFont="1" applyFill="1" applyBorder="1" applyAlignment="1">
      <alignment horizontal="center" vertical="center"/>
    </xf>
    <xf numFmtId="166" fontId="94" fillId="0" borderId="37" xfId="4" applyNumberFormat="1" applyFont="1" applyFill="1" applyBorder="1" applyAlignment="1">
      <alignment horizontal="center" vertical="center"/>
    </xf>
    <xf numFmtId="4" fontId="89" fillId="0" borderId="37" xfId="0" applyNumberFormat="1" applyFont="1" applyFill="1" applyBorder="1" applyAlignment="1">
      <alignment vertical="center"/>
    </xf>
    <xf numFmtId="4" fontId="94" fillId="0" borderId="38" xfId="4" applyNumberFormat="1" applyFont="1" applyFill="1" applyBorder="1" applyAlignment="1">
      <alignment horizontal="center" vertical="center"/>
    </xf>
    <xf numFmtId="4" fontId="94" fillId="0" borderId="28" xfId="0" applyNumberFormat="1" applyFont="1" applyFill="1" applyBorder="1" applyAlignment="1">
      <alignment horizontal="left" vertical="center"/>
    </xf>
    <xf numFmtId="4" fontId="89" fillId="0" borderId="40" xfId="0" applyNumberFormat="1" applyFont="1" applyFill="1" applyBorder="1" applyAlignment="1">
      <alignment vertical="center"/>
    </xf>
    <xf numFmtId="166" fontId="89" fillId="0" borderId="28" xfId="0" applyNumberFormat="1" applyFont="1" applyFill="1" applyBorder="1" applyAlignment="1">
      <alignment vertical="center"/>
    </xf>
    <xf numFmtId="4" fontId="89" fillId="0" borderId="48" xfId="0" applyNumberFormat="1" applyFont="1" applyFill="1" applyBorder="1" applyAlignment="1">
      <alignment vertical="center"/>
    </xf>
    <xf numFmtId="4" fontId="89" fillId="0" borderId="11" xfId="0" applyNumberFormat="1" applyFont="1" applyFill="1" applyBorder="1" applyAlignment="1">
      <alignment horizontal="center" vertical="center"/>
    </xf>
    <xf numFmtId="166" fontId="89" fillId="0" borderId="14" xfId="0" applyNumberFormat="1" applyFont="1" applyFill="1" applyBorder="1" applyAlignment="1">
      <alignment horizontal="center" vertical="center"/>
    </xf>
    <xf numFmtId="4" fontId="89" fillId="0" borderId="11" xfId="4" applyNumberFormat="1" applyFont="1" applyFill="1" applyBorder="1" applyAlignment="1">
      <alignment horizontal="center" vertical="center"/>
    </xf>
    <xf numFmtId="4" fontId="94" fillId="0" borderId="47" xfId="0" applyNumberFormat="1" applyFont="1" applyFill="1" applyBorder="1" applyAlignment="1">
      <alignment vertical="center"/>
    </xf>
    <xf numFmtId="166" fontId="94" fillId="0" borderId="47" xfId="4" applyNumberFormat="1" applyFont="1" applyFill="1" applyBorder="1" applyAlignment="1">
      <alignment horizontal="center" vertical="center"/>
    </xf>
    <xf numFmtId="4" fontId="119" fillId="0" borderId="28" xfId="0" applyNumberFormat="1" applyFont="1" applyFill="1" applyBorder="1" applyAlignment="1">
      <alignment vertical="center"/>
    </xf>
    <xf numFmtId="4" fontId="94" fillId="0" borderId="28" xfId="0" applyNumberFormat="1" applyFont="1" applyFill="1" applyBorder="1" applyAlignment="1">
      <alignment vertical="center"/>
    </xf>
    <xf numFmtId="4" fontId="91" fillId="0" borderId="37" xfId="0" applyNumberFormat="1" applyFont="1" applyFill="1" applyBorder="1" applyAlignment="1">
      <alignment horizontal="center" vertical="center"/>
    </xf>
    <xf numFmtId="4" fontId="92" fillId="0" borderId="37" xfId="4" applyNumberFormat="1" applyFont="1" applyFill="1" applyBorder="1" applyAlignment="1">
      <alignment horizontal="center" vertical="center"/>
    </xf>
    <xf numFmtId="166" fontId="92" fillId="0" borderId="37" xfId="4" applyNumberFormat="1" applyFont="1" applyFill="1" applyBorder="1" applyAlignment="1">
      <alignment horizontal="center" vertical="center"/>
    </xf>
    <xf numFmtId="4" fontId="90" fillId="0" borderId="37" xfId="0" applyNumberFormat="1" applyFont="1" applyFill="1" applyBorder="1" applyAlignment="1">
      <alignment vertical="center"/>
    </xf>
    <xf numFmtId="4" fontId="92" fillId="0" borderId="38" xfId="4" applyNumberFormat="1" applyFont="1" applyFill="1" applyBorder="1" applyAlignment="1">
      <alignment horizontal="center" vertical="center"/>
    </xf>
    <xf numFmtId="4" fontId="115" fillId="0" borderId="28" xfId="4" applyNumberFormat="1" applyFont="1" applyFill="1" applyBorder="1" applyAlignment="1">
      <alignment horizontal="center" vertical="center"/>
    </xf>
    <xf numFmtId="166" fontId="115" fillId="0" borderId="28" xfId="4" applyNumberFormat="1" applyFont="1" applyFill="1" applyBorder="1" applyAlignment="1">
      <alignment horizontal="center" vertical="center"/>
    </xf>
    <xf numFmtId="4" fontId="117" fillId="0" borderId="28" xfId="0" applyNumberFormat="1" applyFont="1" applyFill="1" applyBorder="1" applyAlignment="1">
      <alignment vertical="center"/>
    </xf>
    <xf numFmtId="4" fontId="116" fillId="0" borderId="28" xfId="4" applyNumberFormat="1" applyFont="1" applyFill="1" applyBorder="1" applyAlignment="1">
      <alignment horizontal="center" vertical="center"/>
    </xf>
    <xf numFmtId="4" fontId="115" fillId="0" borderId="29" xfId="4" applyNumberFormat="1" applyFont="1" applyFill="1" applyBorder="1" applyAlignment="1">
      <alignment horizontal="center" vertical="center"/>
    </xf>
    <xf numFmtId="4" fontId="94" fillId="0" borderId="47" xfId="0" applyNumberFormat="1" applyFont="1" applyFill="1" applyBorder="1" applyAlignment="1">
      <alignment horizontal="left" vertical="center" wrapText="1"/>
    </xf>
    <xf numFmtId="4" fontId="118" fillId="0" borderId="27" xfId="0" applyNumberFormat="1" applyFont="1" applyFill="1" applyBorder="1" applyAlignment="1">
      <alignment horizontal="center" vertical="center"/>
    </xf>
    <xf numFmtId="4" fontId="118" fillId="0" borderId="56" xfId="0" applyNumberFormat="1" applyFont="1" applyFill="1" applyBorder="1" applyAlignment="1">
      <alignment horizontal="center" vertical="center"/>
    </xf>
    <xf numFmtId="166" fontId="117" fillId="0" borderId="14" xfId="0" applyNumberFormat="1" applyFont="1" applyFill="1" applyBorder="1" applyAlignment="1">
      <alignment vertical="center"/>
    </xf>
    <xf numFmtId="4" fontId="117" fillId="0" borderId="86" xfId="0" applyNumberFormat="1" applyFont="1" applyFill="1" applyBorder="1" applyAlignment="1">
      <alignment vertical="center"/>
    </xf>
    <xf numFmtId="166" fontId="39" fillId="0" borderId="0" xfId="0" applyNumberFormat="1" applyFont="1" applyFill="1" applyAlignment="1">
      <alignment horizontal="center" vertical="center"/>
    </xf>
    <xf numFmtId="4" fontId="96" fillId="0" borderId="0" xfId="0" applyNumberFormat="1" applyFont="1" applyFill="1" applyAlignment="1">
      <alignment vertical="center"/>
    </xf>
    <xf numFmtId="166" fontId="94" fillId="0" borderId="0" xfId="0" applyNumberFormat="1" applyFont="1" applyFill="1" applyBorder="1" applyAlignment="1">
      <alignment vertical="center"/>
    </xf>
    <xf numFmtId="166" fontId="89" fillId="0" borderId="0" xfId="0" applyNumberFormat="1" applyFont="1" applyFill="1" applyAlignment="1">
      <alignment vertical="center"/>
    </xf>
    <xf numFmtId="0" fontId="84" fillId="3" borderId="0" xfId="0" applyFont="1" applyFill="1" applyBorder="1" applyAlignment="1">
      <alignment vertical="center"/>
    </xf>
    <xf numFmtId="0" fontId="84" fillId="3" borderId="0" xfId="0" applyFont="1" applyFill="1" applyBorder="1" applyAlignment="1">
      <alignment horizontal="left" vertical="center"/>
    </xf>
    <xf numFmtId="4" fontId="94" fillId="3" borderId="37" xfId="0" applyNumberFormat="1" applyFont="1" applyFill="1" applyBorder="1" applyAlignment="1">
      <alignment horizontal="center" vertical="center"/>
    </xf>
    <xf numFmtId="4" fontId="94" fillId="3" borderId="28" xfId="4" applyNumberFormat="1" applyFont="1" applyFill="1" applyBorder="1" applyAlignment="1">
      <alignment horizontal="center" vertical="center"/>
    </xf>
    <xf numFmtId="4" fontId="89" fillId="3" borderId="47" xfId="0" applyNumberFormat="1" applyFont="1" applyFill="1" applyBorder="1" applyAlignment="1">
      <alignment horizontal="center" vertical="center" wrapText="1"/>
    </xf>
    <xf numFmtId="4" fontId="89" fillId="3" borderId="28" xfId="0" applyNumberFormat="1" applyFont="1" applyFill="1" applyBorder="1" applyAlignment="1">
      <alignment horizontal="center" vertical="center"/>
    </xf>
    <xf numFmtId="4" fontId="89" fillId="3" borderId="47" xfId="0" applyNumberFormat="1" applyFont="1" applyFill="1" applyBorder="1" applyAlignment="1">
      <alignment horizontal="center" vertical="center"/>
    </xf>
    <xf numFmtId="4" fontId="94" fillId="3" borderId="37" xfId="4" applyNumberFormat="1" applyFont="1" applyFill="1" applyBorder="1" applyAlignment="1">
      <alignment horizontal="center" vertical="center"/>
    </xf>
    <xf numFmtId="4" fontId="89" fillId="3" borderId="28" xfId="4" applyNumberFormat="1" applyFont="1" applyFill="1" applyBorder="1" applyAlignment="1">
      <alignment horizontal="center" vertical="center"/>
    </xf>
    <xf numFmtId="4" fontId="89" fillId="3" borderId="28" xfId="0" applyNumberFormat="1" applyFont="1" applyFill="1" applyBorder="1" applyAlignment="1">
      <alignment vertical="center"/>
    </xf>
    <xf numFmtId="4" fontId="93" fillId="3" borderId="28" xfId="4" applyNumberFormat="1" applyFont="1" applyFill="1" applyBorder="1" applyAlignment="1">
      <alignment horizontal="center" vertical="center"/>
    </xf>
    <xf numFmtId="4" fontId="89" fillId="3" borderId="47" xfId="4" applyNumberFormat="1" applyFont="1" applyFill="1" applyBorder="1" applyAlignment="1">
      <alignment horizontal="center" vertical="center"/>
    </xf>
    <xf numFmtId="4" fontId="94" fillId="3" borderId="47" xfId="4" applyNumberFormat="1" applyFont="1" applyFill="1" applyBorder="1" applyAlignment="1">
      <alignment horizontal="center" vertical="center"/>
    </xf>
    <xf numFmtId="4" fontId="92" fillId="3" borderId="37" xfId="4" applyNumberFormat="1" applyFont="1" applyFill="1" applyBorder="1" applyAlignment="1">
      <alignment horizontal="center" vertical="center"/>
    </xf>
    <xf numFmtId="4" fontId="94" fillId="3" borderId="0" xfId="4" applyNumberFormat="1" applyFont="1" applyFill="1" applyAlignment="1">
      <alignment vertical="center"/>
    </xf>
    <xf numFmtId="4" fontId="89" fillId="3" borderId="0" xfId="0" applyNumberFormat="1" applyFont="1" applyFill="1" applyAlignment="1">
      <alignment vertical="center"/>
    </xf>
    <xf numFmtId="3" fontId="36" fillId="0" borderId="37" xfId="915" applyNumberFormat="1" applyFont="1" applyFill="1" applyBorder="1" applyAlignment="1">
      <alignment horizontal="left" vertical="center" wrapText="1"/>
    </xf>
    <xf numFmtId="4" fontId="36" fillId="0" borderId="6" xfId="0" applyNumberFormat="1" applyFont="1" applyBorder="1" applyAlignment="1">
      <alignment horizontal="center"/>
    </xf>
    <xf numFmtId="4" fontId="33" fillId="0" borderId="6" xfId="0" applyNumberFormat="1" applyFont="1" applyFill="1" applyBorder="1"/>
    <xf numFmtId="3" fontId="37" fillId="0" borderId="6" xfId="915" applyNumberFormat="1" applyFont="1" applyFill="1" applyBorder="1" applyAlignment="1">
      <alignment horizontal="center" vertical="center" wrapText="1"/>
    </xf>
    <xf numFmtId="0" fontId="36" fillId="0" borderId="28" xfId="0" applyFont="1" applyBorder="1" applyAlignment="1">
      <alignment horizontal="center" vertical="center"/>
    </xf>
    <xf numFmtId="0" fontId="36" fillId="0" borderId="104" xfId="0" applyFont="1" applyBorder="1" applyAlignment="1">
      <alignment horizontal="center" vertical="center"/>
    </xf>
    <xf numFmtId="0" fontId="36" fillId="0" borderId="105" xfId="0" applyFont="1" applyBorder="1" applyAlignment="1">
      <alignment horizontal="center" vertical="center"/>
    </xf>
    <xf numFmtId="0" fontId="36" fillId="0" borderId="0" xfId="0" applyFont="1" applyBorder="1" applyAlignment="1">
      <alignment horizontal="center" vertical="center"/>
    </xf>
    <xf numFmtId="0" fontId="35" fillId="0" borderId="0" xfId="0" applyFont="1" applyFill="1" applyBorder="1" applyAlignment="1">
      <alignment vertical="center"/>
    </xf>
    <xf numFmtId="0" fontId="36" fillId="0" borderId="0" xfId="0" applyFont="1" applyFill="1" applyBorder="1" applyAlignment="1">
      <alignment horizontal="left" vertical="center"/>
    </xf>
    <xf numFmtId="4" fontId="36" fillId="0" borderId="0" xfId="5" applyNumberFormat="1" applyFont="1" applyAlignment="1">
      <alignment vertical="center"/>
    </xf>
    <xf numFmtId="4" fontId="37" fillId="0" borderId="9" xfId="3" applyNumberFormat="1" applyFont="1" applyBorder="1" applyAlignment="1">
      <alignment horizontal="center" vertical="center"/>
    </xf>
    <xf numFmtId="4" fontId="36" fillId="0" borderId="59" xfId="3" applyNumberFormat="1" applyFont="1" applyFill="1" applyBorder="1" applyAlignment="1">
      <alignment horizontal="center" vertical="center"/>
    </xf>
    <xf numFmtId="4" fontId="36" fillId="0" borderId="60" xfId="5" applyNumberFormat="1" applyFont="1" applyFill="1" applyBorder="1" applyAlignment="1">
      <alignment horizontal="center" vertical="center"/>
    </xf>
    <xf numFmtId="4" fontId="36" fillId="0" borderId="60" xfId="3" applyNumberFormat="1" applyFont="1" applyFill="1" applyBorder="1" applyAlignment="1">
      <alignment horizontal="center" vertical="center"/>
    </xf>
    <xf numFmtId="166" fontId="36" fillId="0" borderId="58" xfId="5" applyNumberFormat="1" applyFont="1" applyFill="1" applyBorder="1" applyAlignment="1">
      <alignment horizontal="center" vertical="center"/>
    </xf>
    <xf numFmtId="4" fontId="36" fillId="0" borderId="60" xfId="5" applyNumberFormat="1" applyFont="1" applyFill="1" applyBorder="1" applyAlignment="1">
      <alignment vertical="center"/>
    </xf>
    <xf numFmtId="4" fontId="36" fillId="0" borderId="58" xfId="5" applyNumberFormat="1" applyFont="1" applyFill="1" applyBorder="1" applyAlignment="1">
      <alignment horizontal="center" vertical="center"/>
    </xf>
    <xf numFmtId="4" fontId="37" fillId="0" borderId="60" xfId="3" applyNumberFormat="1" applyFont="1" applyFill="1" applyBorder="1" applyAlignment="1">
      <alignment horizontal="center" vertical="center"/>
    </xf>
    <xf numFmtId="4" fontId="36" fillId="0" borderId="60" xfId="5" applyNumberFormat="1" applyFont="1" applyFill="1" applyBorder="1" applyAlignment="1">
      <alignment horizontal="justify" vertical="center" wrapText="1"/>
    </xf>
    <xf numFmtId="4" fontId="36" fillId="0" borderId="60" xfId="5" applyNumberFormat="1" applyFont="1" applyFill="1" applyBorder="1" applyAlignment="1" applyProtection="1">
      <alignment horizontal="justify" vertical="center" wrapText="1"/>
    </xf>
    <xf numFmtId="4" fontId="36" fillId="0" borderId="0" xfId="5" applyNumberFormat="1" applyFont="1" applyFill="1" applyAlignment="1">
      <alignment vertical="center"/>
    </xf>
    <xf numFmtId="4" fontId="36" fillId="0" borderId="60" xfId="5" applyNumberFormat="1" applyFont="1" applyFill="1" applyBorder="1" applyAlignment="1">
      <alignment vertical="center" wrapText="1"/>
    </xf>
    <xf numFmtId="4" fontId="36" fillId="0" borderId="41" xfId="3" applyNumberFormat="1" applyFont="1" applyFill="1" applyBorder="1" applyAlignment="1">
      <alignment horizontal="center" vertical="center"/>
    </xf>
    <xf numFmtId="4" fontId="37" fillId="0" borderId="28" xfId="5" applyNumberFormat="1" applyFont="1" applyFill="1" applyBorder="1" applyAlignment="1">
      <alignment horizontal="center" vertical="center"/>
    </xf>
    <xf numFmtId="4" fontId="36" fillId="0" borderId="0" xfId="5" applyNumberFormat="1" applyFont="1" applyFill="1" applyBorder="1" applyAlignment="1">
      <alignment horizontal="center" vertical="center"/>
    </xf>
    <xf numFmtId="0" fontId="36" fillId="0" borderId="60" xfId="5" applyFont="1" applyFill="1" applyBorder="1" applyAlignment="1">
      <alignment vertical="center"/>
    </xf>
    <xf numFmtId="0" fontId="36" fillId="0" borderId="60" xfId="5" applyFont="1" applyFill="1" applyBorder="1" applyAlignment="1">
      <alignment horizontal="center" vertical="center"/>
    </xf>
    <xf numFmtId="0" fontId="37" fillId="0" borderId="60" xfId="5" applyFont="1" applyFill="1" applyBorder="1" applyAlignment="1">
      <alignment vertical="center"/>
    </xf>
    <xf numFmtId="4" fontId="36" fillId="0" borderId="0" xfId="5" applyNumberFormat="1" applyFont="1" applyBorder="1" applyAlignment="1">
      <alignment vertical="center"/>
    </xf>
    <xf numFmtId="4" fontId="36" fillId="0" borderId="0" xfId="5" applyNumberFormat="1" applyFont="1" applyBorder="1" applyAlignment="1">
      <alignment horizontal="center" vertical="center"/>
    </xf>
    <xf numFmtId="4" fontId="36" fillId="0" borderId="0" xfId="3" applyNumberFormat="1" applyFont="1" applyFill="1" applyBorder="1" applyAlignment="1">
      <alignment horizontal="center" vertical="center"/>
    </xf>
    <xf numFmtId="4" fontId="36" fillId="0" borderId="15" xfId="5" applyNumberFormat="1" applyFont="1" applyBorder="1" applyAlignment="1">
      <alignment horizontal="center" vertical="center"/>
    </xf>
    <xf numFmtId="4" fontId="36" fillId="0" borderId="0" xfId="3" applyNumberFormat="1" applyFont="1" applyAlignment="1">
      <alignment vertical="center"/>
    </xf>
    <xf numFmtId="4" fontId="36" fillId="0" borderId="60" xfId="3" applyNumberFormat="1" applyFont="1" applyBorder="1" applyAlignment="1">
      <alignment horizontal="center" vertical="center"/>
    </xf>
    <xf numFmtId="4" fontId="36" fillId="0" borderId="60" xfId="3" applyNumberFormat="1" applyFont="1" applyFill="1" applyBorder="1" applyAlignment="1">
      <alignment vertical="center"/>
    </xf>
    <xf numFmtId="4" fontId="36" fillId="0" borderId="60" xfId="3" applyNumberFormat="1" applyFont="1" applyFill="1" applyBorder="1" applyAlignment="1">
      <alignment vertical="center" wrapText="1"/>
    </xf>
    <xf numFmtId="4" fontId="36" fillId="0" borderId="6" xfId="3" applyNumberFormat="1" applyFont="1" applyBorder="1" applyAlignment="1">
      <alignment horizontal="center" vertical="center"/>
    </xf>
    <xf numFmtId="166" fontId="36" fillId="0" borderId="0" xfId="3" applyNumberFormat="1" applyFont="1" applyBorder="1" applyAlignment="1">
      <alignment horizontal="center" vertical="center"/>
    </xf>
    <xf numFmtId="4" fontId="36" fillId="0" borderId="0" xfId="3" applyNumberFormat="1" applyFont="1" applyBorder="1" applyAlignment="1">
      <alignment vertical="center"/>
    </xf>
    <xf numFmtId="4" fontId="36" fillId="0" borderId="0" xfId="3" applyNumberFormat="1" applyFont="1" applyBorder="1" applyAlignment="1">
      <alignment horizontal="center" vertical="center"/>
    </xf>
    <xf numFmtId="4" fontId="36" fillId="0" borderId="6" xfId="3" applyNumberFormat="1" applyFont="1" applyBorder="1" applyAlignment="1">
      <alignment vertical="center"/>
    </xf>
    <xf numFmtId="4" fontId="36" fillId="0" borderId="42" xfId="3" applyNumberFormat="1" applyFont="1" applyBorder="1" applyAlignment="1">
      <alignment horizontal="center" vertical="center"/>
    </xf>
    <xf numFmtId="4" fontId="36" fillId="0" borderId="7" xfId="3" applyNumberFormat="1" applyFont="1" applyBorder="1" applyAlignment="1">
      <alignment horizontal="center" vertical="center"/>
    </xf>
    <xf numFmtId="4" fontId="37" fillId="0" borderId="24" xfId="3" applyNumberFormat="1" applyFont="1" applyFill="1" applyBorder="1" applyAlignment="1">
      <alignment horizontal="center" vertical="center"/>
    </xf>
    <xf numFmtId="4" fontId="36" fillId="0" borderId="6" xfId="3" applyNumberFormat="1" applyFont="1" applyFill="1" applyBorder="1" applyAlignment="1">
      <alignment horizontal="center" vertical="center"/>
    </xf>
    <xf numFmtId="0" fontId="36" fillId="0" borderId="0" xfId="0" applyFont="1" applyBorder="1" applyAlignment="1">
      <alignment horizontal="left" vertical="center"/>
    </xf>
    <xf numFmtId="0" fontId="49" fillId="0" borderId="0" xfId="0" applyFont="1" applyBorder="1" applyAlignment="1">
      <alignment horizontal="center" vertical="center"/>
    </xf>
    <xf numFmtId="0" fontId="37" fillId="0" borderId="0" xfId="0" applyFont="1" applyBorder="1" applyAlignment="1">
      <alignment horizontal="left" vertical="center"/>
    </xf>
    <xf numFmtId="0" fontId="36" fillId="0" borderId="77" xfId="0" applyFont="1" applyFill="1" applyBorder="1" applyAlignment="1">
      <alignment horizontal="center" vertical="center"/>
    </xf>
    <xf numFmtId="0" fontId="36" fillId="0" borderId="0" xfId="0" applyFont="1" applyFill="1" applyBorder="1" applyAlignment="1">
      <alignment horizontal="left" vertical="center" wrapText="1"/>
    </xf>
    <xf numFmtId="0" fontId="35" fillId="0" borderId="0" xfId="0" applyFont="1" applyFill="1" applyBorder="1" applyAlignment="1">
      <alignment horizontal="left" vertical="center"/>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0" fontId="38" fillId="0" borderId="0" xfId="0" applyFont="1" applyAlignment="1">
      <alignment horizontal="left" vertical="center"/>
    </xf>
    <xf numFmtId="0" fontId="40" fillId="0" borderId="0" xfId="0" applyFont="1" applyAlignment="1">
      <alignment horizontal="left" vertical="center"/>
    </xf>
    <xf numFmtId="0" fontId="33" fillId="0" borderId="6" xfId="0" applyFont="1" applyBorder="1" applyAlignment="1">
      <alignment horizontal="center" vertical="center"/>
    </xf>
    <xf numFmtId="0" fontId="28" fillId="0" borderId="0" xfId="0" applyFont="1" applyBorder="1" applyAlignment="1">
      <alignment horizontal="left" vertical="center"/>
    </xf>
    <xf numFmtId="0" fontId="36" fillId="0" borderId="0" xfId="0" applyFont="1" applyBorder="1" applyAlignment="1">
      <alignment horizontal="center" vertical="center"/>
    </xf>
    <xf numFmtId="4" fontId="37" fillId="0" borderId="0" xfId="5" applyNumberFormat="1" applyFont="1" applyBorder="1" applyAlignment="1">
      <alignment horizontal="center" vertical="center"/>
    </xf>
    <xf numFmtId="4" fontId="37" fillId="0" borderId="0" xfId="5" applyNumberFormat="1" applyFont="1" applyAlignment="1">
      <alignment vertical="center"/>
    </xf>
    <xf numFmtId="4" fontId="36" fillId="0" borderId="0" xfId="5" applyNumberFormat="1" applyFont="1" applyFill="1" applyBorder="1" applyAlignment="1">
      <alignment vertical="center"/>
    </xf>
    <xf numFmtId="4" fontId="36" fillId="2" borderId="6" xfId="0" applyNumberFormat="1" applyFont="1" applyFill="1" applyBorder="1"/>
    <xf numFmtId="4" fontId="37" fillId="2" borderId="6" xfId="0" applyNumberFormat="1" applyFont="1" applyFill="1" applyBorder="1"/>
    <xf numFmtId="4" fontId="33" fillId="2" borderId="6" xfId="0" applyNumberFormat="1" applyFont="1" applyFill="1" applyBorder="1"/>
    <xf numFmtId="4" fontId="35" fillId="2" borderId="6" xfId="0" applyNumberFormat="1" applyFont="1" applyFill="1" applyBorder="1" applyAlignment="1">
      <alignment horizontal="left"/>
    </xf>
    <xf numFmtId="0" fontId="120" fillId="0" borderId="0" xfId="0" applyFont="1" applyFill="1" applyBorder="1" applyAlignment="1">
      <alignment vertical="center"/>
    </xf>
    <xf numFmtId="4" fontId="58" fillId="0" borderId="37" xfId="3" applyNumberFormat="1" applyFont="1" applyBorder="1" applyAlignment="1">
      <alignment horizontal="center" vertical="center"/>
    </xf>
    <xf numFmtId="4" fontId="57" fillId="0" borderId="59" xfId="3" applyNumberFormat="1" applyFont="1" applyBorder="1" applyAlignment="1">
      <alignment vertical="center"/>
    </xf>
    <xf numFmtId="4" fontId="157" fillId="0" borderId="59" xfId="3" applyNumberFormat="1" applyFont="1" applyBorder="1" applyAlignment="1">
      <alignment vertical="center"/>
    </xf>
    <xf numFmtId="4" fontId="57" fillId="0" borderId="79" xfId="3" applyNumberFormat="1" applyFont="1" applyBorder="1" applyAlignment="1">
      <alignment vertical="center"/>
    </xf>
    <xf numFmtId="4" fontId="57" fillId="0" borderId="60" xfId="3" applyNumberFormat="1" applyFont="1" applyBorder="1" applyAlignment="1">
      <alignment vertical="center"/>
    </xf>
    <xf numFmtId="4" fontId="157" fillId="0" borderId="60" xfId="3" applyNumberFormat="1" applyFont="1" applyBorder="1" applyAlignment="1">
      <alignment vertical="center"/>
    </xf>
    <xf numFmtId="4" fontId="57" fillId="0" borderId="76" xfId="3" applyNumberFormat="1" applyFont="1" applyBorder="1" applyAlignment="1">
      <alignment vertical="center"/>
    </xf>
    <xf numFmtId="166" fontId="57" fillId="0" borderId="60" xfId="3" applyNumberFormat="1" applyFont="1" applyFill="1" applyBorder="1" applyAlignment="1">
      <alignment vertical="center"/>
    </xf>
    <xf numFmtId="4" fontId="57" fillId="0" borderId="60" xfId="3" applyNumberFormat="1" applyFont="1" applyFill="1" applyBorder="1" applyAlignment="1">
      <alignment vertical="center"/>
    </xf>
    <xf numFmtId="4" fontId="57" fillId="0" borderId="76" xfId="3" applyNumberFormat="1" applyFont="1" applyFill="1" applyBorder="1" applyAlignment="1">
      <alignment vertical="center"/>
    </xf>
    <xf numFmtId="166" fontId="57" fillId="0" borderId="60" xfId="5" applyNumberFormat="1" applyFont="1" applyFill="1" applyBorder="1" applyAlignment="1">
      <alignment vertical="center"/>
    </xf>
    <xf numFmtId="4" fontId="57" fillId="0" borderId="60" xfId="5" applyNumberFormat="1" applyFont="1" applyFill="1" applyBorder="1" applyAlignment="1">
      <alignment vertical="center"/>
    </xf>
    <xf numFmtId="4" fontId="157" fillId="0" borderId="60" xfId="3" applyNumberFormat="1" applyFont="1" applyFill="1" applyBorder="1" applyAlignment="1">
      <alignment vertical="center"/>
    </xf>
    <xf numFmtId="166" fontId="57" fillId="0" borderId="59" xfId="3" applyNumberFormat="1" applyFont="1" applyFill="1" applyBorder="1" applyAlignment="1">
      <alignment vertical="center"/>
    </xf>
    <xf numFmtId="4" fontId="57" fillId="0" borderId="59" xfId="3" applyNumberFormat="1" applyFont="1" applyFill="1" applyBorder="1" applyAlignment="1">
      <alignment vertical="center"/>
    </xf>
    <xf numFmtId="4" fontId="57" fillId="0" borderId="60" xfId="3" applyNumberFormat="1" applyFont="1" applyFill="1" applyBorder="1" applyAlignment="1">
      <alignment vertical="center" wrapText="1"/>
    </xf>
    <xf numFmtId="4" fontId="157" fillId="0" borderId="59" xfId="3" applyNumberFormat="1" applyFont="1" applyFill="1" applyBorder="1" applyAlignment="1">
      <alignment vertical="center"/>
    </xf>
    <xf numFmtId="4" fontId="57" fillId="0" borderId="79" xfId="3" applyNumberFormat="1" applyFont="1" applyFill="1" applyBorder="1" applyAlignment="1">
      <alignment vertical="center"/>
    </xf>
    <xf numFmtId="4" fontId="57" fillId="0" borderId="60" xfId="5" applyNumberFormat="1" applyFont="1" applyFill="1" applyBorder="1" applyAlignment="1">
      <alignment vertical="center" wrapText="1"/>
    </xf>
    <xf numFmtId="4" fontId="57" fillId="0" borderId="60" xfId="5" applyNumberFormat="1" applyFont="1" applyFill="1" applyBorder="1" applyAlignment="1" applyProtection="1">
      <alignment vertical="center" wrapText="1"/>
    </xf>
    <xf numFmtId="4" fontId="57" fillId="0" borderId="41" xfId="5" applyNumberFormat="1" applyFont="1" applyFill="1" applyBorder="1" applyAlignment="1">
      <alignment vertical="center"/>
    </xf>
    <xf numFmtId="4" fontId="57" fillId="0" borderId="41" xfId="5" applyNumberFormat="1" applyFont="1" applyFill="1" applyBorder="1" applyAlignment="1">
      <alignment vertical="center" wrapText="1"/>
    </xf>
    <xf numFmtId="0" fontId="118" fillId="0" borderId="60" xfId="5" applyFont="1" applyFill="1" applyBorder="1" applyAlignment="1">
      <alignment vertical="center" wrapText="1"/>
    </xf>
    <xf numFmtId="0" fontId="57" fillId="0" borderId="60" xfId="5" applyFont="1" applyFill="1" applyBorder="1" applyAlignment="1">
      <alignment vertical="center" wrapText="1"/>
    </xf>
    <xf numFmtId="4" fontId="57" fillId="0" borderId="60" xfId="3" quotePrefix="1" applyNumberFormat="1" applyFont="1" applyFill="1" applyBorder="1" applyAlignment="1">
      <alignment vertical="center"/>
    </xf>
    <xf numFmtId="0" fontId="57" fillId="0" borderId="0" xfId="5" applyFont="1" applyBorder="1" applyAlignment="1">
      <alignment vertical="center"/>
    </xf>
    <xf numFmtId="166" fontId="57" fillId="0" borderId="64" xfId="3" applyNumberFormat="1" applyFont="1" applyFill="1" applyBorder="1" applyAlignment="1">
      <alignment vertical="center"/>
    </xf>
    <xf numFmtId="4" fontId="57" fillId="0" borderId="64" xfId="3" applyNumberFormat="1" applyFont="1" applyFill="1" applyBorder="1" applyAlignment="1">
      <alignment vertical="center"/>
    </xf>
    <xf numFmtId="4" fontId="57" fillId="0" borderId="78" xfId="3" applyNumberFormat="1" applyFont="1" applyFill="1" applyBorder="1" applyAlignment="1">
      <alignment vertical="center"/>
    </xf>
    <xf numFmtId="166" fontId="57" fillId="0" borderId="60" xfId="3" applyNumberFormat="1" applyFont="1" applyBorder="1" applyAlignment="1">
      <alignment vertical="center"/>
    </xf>
    <xf numFmtId="0" fontId="57" fillId="0" borderId="81" xfId="5" applyFont="1" applyBorder="1" applyAlignment="1">
      <alignment vertical="center"/>
    </xf>
    <xf numFmtId="0" fontId="57" fillId="0" borderId="0" xfId="0" applyFont="1" applyFill="1" applyBorder="1" applyAlignment="1">
      <alignment vertical="center" wrapText="1"/>
    </xf>
    <xf numFmtId="0" fontId="57" fillId="0" borderId="0" xfId="0" applyFont="1" applyFill="1" applyBorder="1" applyAlignment="1">
      <alignment vertical="center"/>
    </xf>
    <xf numFmtId="0" fontId="58" fillId="0" borderId="0" xfId="5" applyFont="1" applyAlignment="1">
      <alignment vertical="center"/>
    </xf>
    <xf numFmtId="0" fontId="57" fillId="0" borderId="0" xfId="5" applyFont="1" applyAlignment="1">
      <alignment vertical="center"/>
    </xf>
    <xf numFmtId="4" fontId="37" fillId="0" borderId="30" xfId="3" applyNumberFormat="1" applyFont="1" applyFill="1" applyBorder="1" applyAlignment="1">
      <alignment horizontal="center" vertical="center"/>
    </xf>
    <xf numFmtId="4" fontId="37" fillId="0" borderId="24" xfId="3" applyNumberFormat="1" applyFont="1" applyFill="1" applyBorder="1" applyAlignment="1">
      <alignment vertical="center"/>
    </xf>
    <xf numFmtId="4" fontId="37" fillId="0" borderId="24" xfId="2" applyNumberFormat="1" applyFont="1" applyFill="1" applyBorder="1" applyAlignment="1">
      <alignment horizontal="center" vertical="center"/>
    </xf>
    <xf numFmtId="4" fontId="37" fillId="0" borderId="25" xfId="2" applyNumberFormat="1" applyFont="1" applyFill="1" applyBorder="1" applyAlignment="1">
      <alignment horizontal="center" vertical="center"/>
    </xf>
    <xf numFmtId="43" fontId="126" fillId="0" borderId="6" xfId="3602" applyFont="1" applyBorder="1" applyAlignment="1">
      <alignment horizontal="left" vertical="center" wrapText="1"/>
    </xf>
    <xf numFmtId="172" fontId="126" fillId="0" borderId="6" xfId="3602" applyNumberFormat="1" applyFont="1" applyBorder="1" applyAlignment="1">
      <alignment horizontal="left" vertical="center" wrapText="1"/>
    </xf>
    <xf numFmtId="4" fontId="37" fillId="0" borderId="0" xfId="3" applyNumberFormat="1" applyFont="1" applyAlignment="1">
      <alignment vertical="center"/>
    </xf>
    <xf numFmtId="3" fontId="126" fillId="0" borderId="6" xfId="0" applyNumberFormat="1" applyFont="1" applyBorder="1" applyAlignment="1">
      <alignment vertical="center"/>
    </xf>
    <xf numFmtId="4" fontId="126" fillId="0" borderId="6" xfId="0" applyNumberFormat="1" applyFont="1" applyBorder="1" applyAlignment="1">
      <alignment vertical="center"/>
    </xf>
    <xf numFmtId="4" fontId="37" fillId="0" borderId="0" xfId="3" applyNumberFormat="1" applyFont="1" applyBorder="1" applyAlignment="1">
      <alignment vertical="center"/>
    </xf>
    <xf numFmtId="4" fontId="37" fillId="0" borderId="77" xfId="3" applyNumberFormat="1" applyFont="1" applyFill="1" applyBorder="1" applyAlignment="1">
      <alignment horizontal="center" vertical="center"/>
    </xf>
    <xf numFmtId="4" fontId="36" fillId="0" borderId="77" xfId="3" applyNumberFormat="1" applyFont="1" applyBorder="1" applyAlignment="1">
      <alignment horizontal="center" vertical="center"/>
    </xf>
    <xf numFmtId="4" fontId="36" fillId="6" borderId="77" xfId="3" applyNumberFormat="1" applyFont="1" applyFill="1" applyBorder="1" applyAlignment="1">
      <alignment horizontal="center" vertical="center"/>
    </xf>
    <xf numFmtId="4" fontId="36" fillId="0" borderId="77" xfId="3" applyNumberFormat="1" applyFont="1" applyFill="1" applyBorder="1" applyAlignment="1">
      <alignment horizontal="center" vertical="center"/>
    </xf>
    <xf numFmtId="4" fontId="49" fillId="0" borderId="77" xfId="3" applyNumberFormat="1" applyFont="1" applyBorder="1" applyAlignment="1">
      <alignment vertical="center"/>
    </xf>
    <xf numFmtId="4" fontId="36" fillId="0" borderId="77" xfId="3" applyNumberFormat="1" applyFont="1" applyFill="1" applyBorder="1" applyAlignment="1">
      <alignment vertical="center"/>
    </xf>
    <xf numFmtId="4" fontId="49" fillId="0" borderId="77" xfId="3" applyNumberFormat="1" applyFont="1" applyFill="1" applyBorder="1" applyAlignment="1">
      <alignment vertical="center"/>
    </xf>
    <xf numFmtId="4" fontId="36" fillId="0" borderId="77" xfId="3" applyNumberFormat="1" applyFont="1" applyFill="1" applyBorder="1" applyAlignment="1">
      <alignment horizontal="justify" vertical="center" wrapText="1"/>
    </xf>
    <xf numFmtId="4" fontId="36" fillId="0" borderId="77" xfId="2" applyNumberFormat="1" applyFont="1" applyFill="1" applyBorder="1" applyAlignment="1">
      <alignment vertical="center"/>
    </xf>
    <xf numFmtId="4" fontId="36" fillId="0" borderId="77" xfId="3" applyNumberFormat="1" applyFont="1" applyFill="1" applyBorder="1" applyAlignment="1">
      <alignment vertical="center" wrapText="1"/>
    </xf>
    <xf numFmtId="0" fontId="126" fillId="0" borderId="77" xfId="3" applyFont="1" applyFill="1" applyBorder="1" applyAlignment="1">
      <alignment horizontal="justify" vertical="center" wrapText="1"/>
    </xf>
    <xf numFmtId="0" fontId="36" fillId="0" borderId="77" xfId="3" applyFont="1" applyFill="1" applyBorder="1" applyAlignment="1">
      <alignment horizontal="center" vertical="center"/>
    </xf>
    <xf numFmtId="0" fontId="36" fillId="0" borderId="77" xfId="3" applyFont="1" applyFill="1" applyBorder="1" applyAlignment="1">
      <alignment vertical="center"/>
    </xf>
    <xf numFmtId="0" fontId="36" fillId="0" borderId="77" xfId="3" applyFont="1" applyBorder="1" applyAlignment="1">
      <alignment vertical="center"/>
    </xf>
    <xf numFmtId="0" fontId="36" fillId="6" borderId="77" xfId="3" applyFont="1" applyFill="1" applyBorder="1" applyAlignment="1">
      <alignment horizontal="center" vertical="center"/>
    </xf>
    <xf numFmtId="4" fontId="36" fillId="0" borderId="107" xfId="3" applyNumberFormat="1" applyFont="1" applyBorder="1" applyAlignment="1">
      <alignment horizontal="center" vertical="center"/>
    </xf>
    <xf numFmtId="4" fontId="36" fillId="0" borderId="108" xfId="3" applyNumberFormat="1" applyFont="1" applyBorder="1" applyAlignment="1">
      <alignment horizontal="center" vertical="center"/>
    </xf>
    <xf numFmtId="166" fontId="36" fillId="0" borderId="107" xfId="3" applyNumberFormat="1" applyFont="1" applyFill="1" applyBorder="1" applyAlignment="1">
      <alignment horizontal="center" vertical="center"/>
    </xf>
    <xf numFmtId="4" fontId="36" fillId="0" borderId="108" xfId="3" applyNumberFormat="1" applyFont="1" applyFill="1" applyBorder="1" applyAlignment="1">
      <alignment horizontal="center" vertical="center"/>
    </xf>
    <xf numFmtId="4" fontId="36" fillId="0" borderId="107" xfId="3" applyNumberFormat="1" applyFont="1" applyFill="1" applyBorder="1" applyAlignment="1">
      <alignment horizontal="center" vertical="center"/>
    </xf>
    <xf numFmtId="4" fontId="37" fillId="0" borderId="108" xfId="3" applyNumberFormat="1" applyFont="1" applyFill="1" applyBorder="1" applyAlignment="1">
      <alignment horizontal="center" vertical="center"/>
    </xf>
    <xf numFmtId="4" fontId="36" fillId="0" borderId="130" xfId="3" applyNumberFormat="1" applyFont="1" applyBorder="1" applyAlignment="1">
      <alignment horizontal="center" vertical="center"/>
    </xf>
    <xf numFmtId="4" fontId="49" fillId="0" borderId="131" xfId="3" applyNumberFormat="1" applyFont="1" applyBorder="1" applyAlignment="1">
      <alignment horizontal="center" vertical="center"/>
    </xf>
    <xf numFmtId="4" fontId="36" fillId="0" borderId="131" xfId="3" applyNumberFormat="1" applyFont="1" applyBorder="1" applyAlignment="1">
      <alignment horizontal="center" vertical="center"/>
    </xf>
    <xf numFmtId="4" fontId="36" fillId="6" borderId="131" xfId="3" applyNumberFormat="1" applyFont="1" applyFill="1" applyBorder="1" applyAlignment="1">
      <alignment horizontal="center" vertical="center"/>
    </xf>
    <xf numFmtId="4" fontId="36" fillId="0" borderId="131" xfId="3" applyNumberFormat="1" applyFont="1" applyFill="1" applyBorder="1" applyAlignment="1">
      <alignment horizontal="center" vertical="center"/>
    </xf>
    <xf numFmtId="4" fontId="36" fillId="0" borderId="132" xfId="3" applyNumberFormat="1" applyFont="1" applyBorder="1" applyAlignment="1">
      <alignment horizontal="center" vertical="center"/>
    </xf>
    <xf numFmtId="4" fontId="37" fillId="6" borderId="28" xfId="5" applyNumberFormat="1" applyFont="1" applyFill="1" applyBorder="1" applyAlignment="1">
      <alignment horizontal="center" vertical="center"/>
    </xf>
    <xf numFmtId="4" fontId="37" fillId="0" borderId="28" xfId="3" applyNumberFormat="1" applyFont="1" applyBorder="1" applyAlignment="1">
      <alignment horizontal="center" vertical="center"/>
    </xf>
    <xf numFmtId="4" fontId="37" fillId="0" borderId="28" xfId="3" applyNumberFormat="1" applyFont="1" applyFill="1" applyBorder="1" applyAlignment="1">
      <alignment horizontal="center" vertical="center"/>
    </xf>
    <xf numFmtId="166" fontId="36" fillId="0" borderId="109" xfId="3" applyNumberFormat="1" applyFont="1" applyFill="1" applyBorder="1" applyAlignment="1">
      <alignment horizontal="center" vertical="center"/>
    </xf>
    <xf numFmtId="4" fontId="36" fillId="0" borderId="110" xfId="3" applyNumberFormat="1" applyFont="1" applyFill="1" applyBorder="1" applyAlignment="1">
      <alignment vertical="center"/>
    </xf>
    <xf numFmtId="4" fontId="36" fillId="0" borderId="110" xfId="3" applyNumberFormat="1" applyFont="1" applyFill="1" applyBorder="1" applyAlignment="1">
      <alignment horizontal="center" vertical="center"/>
    </xf>
    <xf numFmtId="4" fontId="36" fillId="0" borderId="111" xfId="3" applyNumberFormat="1" applyFont="1" applyFill="1" applyBorder="1" applyAlignment="1">
      <alignment horizontal="center" vertical="center"/>
    </xf>
    <xf numFmtId="4" fontId="36" fillId="0" borderId="130" xfId="3" applyNumberFormat="1" applyFont="1" applyFill="1" applyBorder="1" applyAlignment="1">
      <alignment horizontal="center" vertical="center"/>
    </xf>
    <xf numFmtId="4" fontId="49" fillId="0" borderId="131" xfId="3" applyNumberFormat="1" applyFont="1" applyFill="1" applyBorder="1" applyAlignment="1">
      <alignment vertical="center"/>
    </xf>
    <xf numFmtId="4" fontId="36" fillId="0" borderId="132" xfId="3" applyNumberFormat="1" applyFont="1" applyFill="1" applyBorder="1" applyAlignment="1">
      <alignment horizontal="center" vertical="center"/>
    </xf>
    <xf numFmtId="4" fontId="37" fillId="3" borderId="28" xfId="3" applyNumberFormat="1" applyFont="1" applyFill="1" applyBorder="1" applyAlignment="1">
      <alignment horizontal="center" vertical="center"/>
    </xf>
    <xf numFmtId="4" fontId="36" fillId="0" borderId="109" xfId="3" applyNumberFormat="1" applyFont="1" applyFill="1" applyBorder="1" applyAlignment="1">
      <alignment horizontal="center" vertical="center"/>
    </xf>
    <xf numFmtId="4" fontId="36" fillId="3" borderId="28" xfId="3" applyNumberFormat="1" applyFont="1" applyFill="1" applyBorder="1" applyAlignment="1">
      <alignment horizontal="center" vertical="center"/>
    </xf>
    <xf numFmtId="4" fontId="49" fillId="0" borderId="131" xfId="3" applyNumberFormat="1" applyFont="1" applyFill="1" applyBorder="1" applyAlignment="1">
      <alignment horizontal="left" vertical="center"/>
    </xf>
    <xf numFmtId="4" fontId="36" fillId="0" borderId="28" xfId="3" applyNumberFormat="1" applyFont="1" applyFill="1" applyBorder="1" applyAlignment="1">
      <alignment horizontal="center" vertical="center"/>
    </xf>
    <xf numFmtId="4" fontId="36" fillId="0" borderId="110" xfId="3" applyNumberFormat="1" applyFont="1" applyFill="1" applyBorder="1" applyAlignment="1" applyProtection="1">
      <alignment horizontal="justify" vertical="center" wrapText="1"/>
    </xf>
    <xf numFmtId="4" fontId="36" fillId="0" borderId="131" xfId="3" applyNumberFormat="1" applyFont="1" applyFill="1" applyBorder="1" applyAlignment="1">
      <alignment vertical="center"/>
    </xf>
    <xf numFmtId="4" fontId="37" fillId="0" borderId="131" xfId="3" applyNumberFormat="1" applyFont="1" applyFill="1" applyBorder="1" applyAlignment="1">
      <alignment horizontal="center" vertical="center"/>
    </xf>
    <xf numFmtId="0" fontId="36" fillId="0" borderId="110" xfId="3" applyFont="1" applyFill="1" applyBorder="1" applyAlignment="1">
      <alignment horizontal="left" vertical="center" wrapText="1"/>
    </xf>
    <xf numFmtId="0" fontId="36" fillId="0" borderId="131" xfId="3" applyFont="1" applyFill="1" applyBorder="1" applyAlignment="1">
      <alignment horizontal="center" vertical="center"/>
    </xf>
    <xf numFmtId="4" fontId="36" fillId="0" borderId="109" xfId="3" applyNumberFormat="1" applyFont="1" applyBorder="1" applyAlignment="1">
      <alignment horizontal="center" vertical="center"/>
    </xf>
    <xf numFmtId="0" fontId="36" fillId="0" borderId="110" xfId="3" applyFont="1" applyBorder="1" applyAlignment="1">
      <alignment vertical="center"/>
    </xf>
    <xf numFmtId="0" fontId="36" fillId="0" borderId="110" xfId="3" applyFont="1" applyBorder="1" applyAlignment="1">
      <alignment horizontal="center" vertical="center"/>
    </xf>
    <xf numFmtId="0" fontId="36" fillId="6" borderId="110" xfId="3" applyFont="1" applyFill="1" applyBorder="1" applyAlignment="1">
      <alignment horizontal="center" vertical="center"/>
    </xf>
    <xf numFmtId="4" fontId="36" fillId="0" borderId="110" xfId="3" applyNumberFormat="1" applyFont="1" applyBorder="1" applyAlignment="1">
      <alignment horizontal="center" vertical="center"/>
    </xf>
    <xf numFmtId="4" fontId="36" fillId="6" borderId="28" xfId="3" applyNumberFormat="1" applyFont="1" applyFill="1" applyBorder="1" applyAlignment="1">
      <alignment horizontal="center" vertical="center"/>
    </xf>
    <xf numFmtId="166" fontId="36" fillId="0" borderId="0" xfId="5" applyNumberFormat="1" applyFont="1" applyFill="1" applyBorder="1" applyAlignment="1">
      <alignment horizontal="center" vertical="center"/>
    </xf>
    <xf numFmtId="4" fontId="36" fillId="31" borderId="0" xfId="5" applyNumberFormat="1" applyFont="1" applyFill="1" applyBorder="1" applyAlignment="1">
      <alignment vertical="center"/>
    </xf>
    <xf numFmtId="4" fontId="80" fillId="0" borderId="0" xfId="5" applyNumberFormat="1" applyFont="1" applyBorder="1" applyAlignment="1">
      <alignment vertical="center"/>
    </xf>
    <xf numFmtId="4" fontId="36" fillId="0" borderId="0" xfId="3" applyNumberFormat="1" applyFont="1" applyFill="1" applyBorder="1" applyAlignment="1">
      <alignment horizontal="left" vertical="center"/>
    </xf>
    <xf numFmtId="4" fontId="36" fillId="0" borderId="77" xfId="5" applyNumberFormat="1" applyFont="1" applyBorder="1" applyAlignment="1">
      <alignment horizontal="center" vertical="center"/>
    </xf>
    <xf numFmtId="4" fontId="81" fillId="0" borderId="77" xfId="5" applyNumberFormat="1" applyFont="1" applyBorder="1" applyAlignment="1">
      <alignment vertical="center"/>
    </xf>
    <xf numFmtId="4" fontId="36" fillId="6" borderId="77" xfId="5" applyNumberFormat="1" applyFont="1" applyFill="1" applyBorder="1" applyAlignment="1">
      <alignment horizontal="center" vertical="center"/>
    </xf>
    <xf numFmtId="4" fontId="36" fillId="0" borderId="77" xfId="5" applyNumberFormat="1" applyFont="1" applyFill="1" applyBorder="1" applyAlignment="1">
      <alignment horizontal="center" vertical="center"/>
    </xf>
    <xf numFmtId="166" fontId="36" fillId="0" borderId="77" xfId="5" applyNumberFormat="1" applyFont="1" applyFill="1" applyBorder="1" applyAlignment="1">
      <alignment horizontal="center" vertical="center"/>
    </xf>
    <xf numFmtId="4" fontId="36" fillId="0" borderId="77" xfId="5" applyNumberFormat="1" applyFont="1" applyFill="1" applyBorder="1" applyAlignment="1">
      <alignment vertical="center"/>
    </xf>
    <xf numFmtId="4" fontId="81" fillId="0" borderId="77" xfId="5" applyNumberFormat="1" applyFont="1" applyFill="1" applyBorder="1" applyAlignment="1">
      <alignment vertical="center"/>
    </xf>
    <xf numFmtId="4" fontId="36" fillId="2" borderId="77" xfId="5" applyNumberFormat="1" applyFont="1" applyFill="1" applyBorder="1" applyAlignment="1">
      <alignment horizontal="center" vertical="center"/>
    </xf>
    <xf numFmtId="4" fontId="36" fillId="0" borderId="77" xfId="5" applyNumberFormat="1" applyFont="1" applyFill="1" applyBorder="1" applyAlignment="1">
      <alignment horizontal="justify" vertical="center" wrapText="1"/>
    </xf>
    <xf numFmtId="4" fontId="37" fillId="0" borderId="77" xfId="5" applyNumberFormat="1" applyFont="1" applyFill="1" applyBorder="1" applyAlignment="1">
      <alignment vertical="center"/>
    </xf>
    <xf numFmtId="4" fontId="36" fillId="0" borderId="77" xfId="8" applyNumberFormat="1" applyFont="1" applyFill="1" applyBorder="1" applyAlignment="1">
      <alignment vertical="center"/>
    </xf>
    <xf numFmtId="4" fontId="36" fillId="0" borderId="77" xfId="5" applyNumberFormat="1" applyFont="1" applyFill="1" applyBorder="1" applyAlignment="1">
      <alignment vertical="center" wrapText="1"/>
    </xf>
    <xf numFmtId="0" fontId="126" fillId="0" borderId="77" xfId="5" applyFont="1" applyFill="1" applyBorder="1" applyAlignment="1">
      <alignment horizontal="justify" vertical="center" wrapText="1"/>
    </xf>
    <xf numFmtId="0" fontId="36" fillId="0" borderId="77" xfId="5" applyFont="1" applyFill="1" applyBorder="1" applyAlignment="1">
      <alignment vertical="center"/>
    </xf>
    <xf numFmtId="0" fontId="36" fillId="0" borderId="77" xfId="5" applyFont="1" applyFill="1" applyBorder="1" applyAlignment="1">
      <alignment horizontal="center" vertical="center"/>
    </xf>
    <xf numFmtId="0" fontId="37" fillId="0" borderId="77" xfId="5" applyFont="1" applyFill="1" applyBorder="1" applyAlignment="1">
      <alignment vertical="center"/>
    </xf>
    <xf numFmtId="0" fontId="36" fillId="0" borderId="77" xfId="5" applyFont="1" applyBorder="1" applyAlignment="1">
      <alignment horizontal="center" vertical="center"/>
    </xf>
    <xf numFmtId="0" fontId="36" fillId="6" borderId="77" xfId="5" applyFont="1" applyFill="1" applyBorder="1" applyAlignment="1">
      <alignment horizontal="center" vertical="center"/>
    </xf>
    <xf numFmtId="0" fontId="36" fillId="0" borderId="77" xfId="5" applyFont="1" applyBorder="1" applyAlignment="1">
      <alignment vertical="center"/>
    </xf>
    <xf numFmtId="0" fontId="37" fillId="0" borderId="77" xfId="5" applyFont="1" applyBorder="1" applyAlignment="1">
      <alignment vertical="center"/>
    </xf>
    <xf numFmtId="0" fontId="33" fillId="0" borderId="77" xfId="5" applyFont="1" applyBorder="1" applyAlignment="1">
      <alignment horizontal="center" vertical="center"/>
    </xf>
    <xf numFmtId="0" fontId="33" fillId="6" borderId="77" xfId="5" applyFont="1" applyFill="1" applyBorder="1" applyAlignment="1">
      <alignment horizontal="center" vertical="center"/>
    </xf>
    <xf numFmtId="4" fontId="33" fillId="0" borderId="77" xfId="5" applyNumberFormat="1" applyFont="1" applyBorder="1" applyAlignment="1">
      <alignment horizontal="center" vertical="center"/>
    </xf>
    <xf numFmtId="4" fontId="33" fillId="0" borderId="77" xfId="5" applyNumberFormat="1" applyFont="1" applyFill="1" applyBorder="1" applyAlignment="1">
      <alignment horizontal="center" vertical="center"/>
    </xf>
    <xf numFmtId="0" fontId="35" fillId="0" borderId="77" xfId="5" applyFont="1" applyBorder="1" applyAlignment="1">
      <alignment vertical="center"/>
    </xf>
    <xf numFmtId="4" fontId="33" fillId="0" borderId="77" xfId="3" applyNumberFormat="1" applyFont="1" applyFill="1" applyBorder="1" applyAlignment="1">
      <alignment horizontal="center" vertical="center"/>
    </xf>
    <xf numFmtId="0" fontId="33" fillId="0" borderId="77" xfId="5" applyFont="1" applyBorder="1" applyAlignment="1">
      <alignment vertical="center"/>
    </xf>
    <xf numFmtId="0" fontId="36" fillId="0" borderId="110" xfId="5" applyFont="1" applyBorder="1" applyAlignment="1">
      <alignment vertical="center"/>
    </xf>
    <xf numFmtId="0" fontId="36" fillId="0" borderId="110" xfId="5" applyFont="1" applyBorder="1" applyAlignment="1">
      <alignment horizontal="center" vertical="center"/>
    </xf>
    <xf numFmtId="0" fontId="36" fillId="6" borderId="110" xfId="5" applyFont="1" applyFill="1" applyBorder="1" applyAlignment="1">
      <alignment horizontal="center" vertical="center"/>
    </xf>
    <xf numFmtId="4" fontId="36" fillId="0" borderId="110" xfId="5" applyNumberFormat="1" applyFont="1" applyBorder="1" applyAlignment="1">
      <alignment horizontal="center" vertical="center"/>
    </xf>
    <xf numFmtId="4" fontId="36" fillId="0" borderId="110" xfId="5" applyNumberFormat="1" applyFont="1" applyFill="1" applyBorder="1" applyAlignment="1">
      <alignment horizontal="center" vertical="center"/>
    </xf>
    <xf numFmtId="4" fontId="36" fillId="6" borderId="28" xfId="5" applyNumberFormat="1" applyFont="1" applyFill="1" applyBorder="1" applyAlignment="1">
      <alignment horizontal="center" vertical="center"/>
    </xf>
    <xf numFmtId="4" fontId="37" fillId="3" borderId="28" xfId="5" applyNumberFormat="1" applyFont="1" applyFill="1" applyBorder="1" applyAlignment="1">
      <alignment horizontal="center" vertical="center"/>
    </xf>
    <xf numFmtId="166" fontId="36" fillId="0" borderId="110" xfId="5" applyNumberFormat="1" applyFont="1" applyFill="1" applyBorder="1" applyAlignment="1">
      <alignment horizontal="center" vertical="center"/>
    </xf>
    <xf numFmtId="4" fontId="36" fillId="0" borderId="110" xfId="5" applyNumberFormat="1" applyFont="1" applyFill="1" applyBorder="1" applyAlignment="1">
      <alignment vertical="center"/>
    </xf>
    <xf numFmtId="4" fontId="36" fillId="0" borderId="131" xfId="5" applyNumberFormat="1" applyFont="1" applyFill="1" applyBorder="1" applyAlignment="1">
      <alignment horizontal="center" vertical="center"/>
    </xf>
    <xf numFmtId="4" fontId="81" fillId="0" borderId="131" xfId="5" applyNumberFormat="1" applyFont="1" applyFill="1" applyBorder="1" applyAlignment="1">
      <alignment vertical="center"/>
    </xf>
    <xf numFmtId="0" fontId="36" fillId="0" borderId="110" xfId="5" applyFont="1" applyFill="1" applyBorder="1" applyAlignment="1">
      <alignment horizontal="left" vertical="center" wrapText="1"/>
    </xf>
    <xf numFmtId="4" fontId="37" fillId="0" borderId="131" xfId="5" applyNumberFormat="1" applyFont="1" applyFill="1" applyBorder="1" applyAlignment="1">
      <alignment horizontal="center" vertical="center"/>
    </xf>
    <xf numFmtId="4" fontId="36" fillId="31" borderId="110" xfId="5" applyNumberFormat="1" applyFont="1" applyFill="1" applyBorder="1" applyAlignment="1">
      <alignment vertical="center"/>
    </xf>
    <xf numFmtId="4" fontId="36" fillId="31" borderId="110" xfId="5" applyNumberFormat="1" applyFont="1" applyFill="1" applyBorder="1" applyAlignment="1">
      <alignment horizontal="center" vertical="center"/>
    </xf>
    <xf numFmtId="4" fontId="36" fillId="0" borderId="110" xfId="5" applyNumberFormat="1" applyFont="1" applyFill="1" applyBorder="1" applyAlignment="1" applyProtection="1">
      <alignment horizontal="justify" vertical="center" wrapText="1"/>
    </xf>
    <xf numFmtId="4" fontId="36" fillId="0" borderId="28" xfId="5" applyNumberFormat="1" applyFont="1" applyFill="1" applyBorder="1" applyAlignment="1">
      <alignment horizontal="center" vertical="center"/>
    </xf>
    <xf numFmtId="4" fontId="81" fillId="0" borderId="131" xfId="5" applyNumberFormat="1" applyFont="1" applyFill="1" applyBorder="1" applyAlignment="1">
      <alignment horizontal="left" vertical="center"/>
    </xf>
    <xf numFmtId="4" fontId="36" fillId="0" borderId="131" xfId="5" applyNumberFormat="1" applyFont="1" applyBorder="1" applyAlignment="1">
      <alignment horizontal="center" vertical="center"/>
    </xf>
    <xf numFmtId="4" fontId="81" fillId="0" borderId="131" xfId="5" applyNumberFormat="1" applyFont="1" applyBorder="1" applyAlignment="1">
      <alignment vertical="center"/>
    </xf>
    <xf numFmtId="4" fontId="36" fillId="6" borderId="131" xfId="5" applyNumberFormat="1" applyFont="1" applyFill="1" applyBorder="1" applyAlignment="1">
      <alignment horizontal="center" vertical="center"/>
    </xf>
    <xf numFmtId="4" fontId="36" fillId="0" borderId="130" xfId="5" applyNumberFormat="1" applyFont="1" applyBorder="1" applyAlignment="1">
      <alignment horizontal="center" vertical="center"/>
    </xf>
    <xf numFmtId="4" fontId="36" fillId="0" borderId="107" xfId="5" applyNumberFormat="1" applyFont="1" applyBorder="1" applyAlignment="1">
      <alignment horizontal="center" vertical="center"/>
    </xf>
    <xf numFmtId="166" fontId="36" fillId="0" borderId="107" xfId="5" applyNumberFormat="1" applyFont="1" applyFill="1" applyBorder="1" applyAlignment="1">
      <alignment horizontal="center" vertical="center"/>
    </xf>
    <xf numFmtId="166" fontId="36" fillId="0" borderId="109" xfId="5" applyNumberFormat="1" applyFont="1" applyFill="1" applyBorder="1" applyAlignment="1">
      <alignment horizontal="center" vertical="center"/>
    </xf>
    <xf numFmtId="4" fontId="36" fillId="0" borderId="130" xfId="5" applyNumberFormat="1" applyFont="1" applyFill="1" applyBorder="1" applyAlignment="1">
      <alignment horizontal="center" vertical="center"/>
    </xf>
    <xf numFmtId="4" fontId="36" fillId="0" borderId="107" xfId="5" applyNumberFormat="1" applyFont="1" applyFill="1" applyBorder="1" applyAlignment="1">
      <alignment horizontal="center" vertical="center"/>
    </xf>
    <xf numFmtId="4" fontId="36" fillId="0" borderId="109" xfId="5" applyNumberFormat="1" applyFont="1" applyFill="1" applyBorder="1" applyAlignment="1">
      <alignment horizontal="center" vertical="center"/>
    </xf>
    <xf numFmtId="166" fontId="36" fillId="31" borderId="109" xfId="5" applyNumberFormat="1" applyFont="1" applyFill="1" applyBorder="1" applyAlignment="1">
      <alignment horizontal="center" vertical="center"/>
    </xf>
    <xf numFmtId="166" fontId="80" fillId="0" borderId="107" xfId="5" applyNumberFormat="1" applyFont="1" applyFill="1" applyBorder="1" applyAlignment="1">
      <alignment horizontal="center" vertical="center"/>
    </xf>
    <xf numFmtId="4" fontId="36" fillId="0" borderId="107" xfId="5" applyNumberFormat="1" applyFont="1" applyFill="1" applyBorder="1" applyAlignment="1">
      <alignment horizontal="left" vertical="center"/>
    </xf>
    <xf numFmtId="4" fontId="37" fillId="0" borderId="107" xfId="5" applyNumberFormat="1" applyFont="1" applyFill="1" applyBorder="1" applyAlignment="1">
      <alignment vertical="center"/>
    </xf>
    <xf numFmtId="4" fontId="36" fillId="0" borderId="107" xfId="5" applyNumberFormat="1" applyFont="1" applyBorder="1" applyAlignment="1">
      <alignment horizontal="left" vertical="center"/>
    </xf>
    <xf numFmtId="4" fontId="37" fillId="0" borderId="107" xfId="5" applyNumberFormat="1" applyFont="1" applyBorder="1" applyAlignment="1">
      <alignment vertical="center"/>
    </xf>
    <xf numFmtId="4" fontId="37" fillId="0" borderId="107" xfId="5" applyNumberFormat="1" applyFont="1" applyBorder="1" applyAlignment="1">
      <alignment horizontal="right" vertical="center"/>
    </xf>
    <xf numFmtId="4" fontId="35" fillId="0" borderId="107" xfId="5" applyNumberFormat="1" applyFont="1" applyBorder="1" applyAlignment="1">
      <alignment vertical="center"/>
    </xf>
    <xf numFmtId="4" fontId="33" fillId="0" borderId="107" xfId="5" applyNumberFormat="1" applyFont="1" applyBorder="1" applyAlignment="1">
      <alignment horizontal="left" vertical="center"/>
    </xf>
    <xf numFmtId="4" fontId="36" fillId="0" borderId="109" xfId="5" applyNumberFormat="1" applyFont="1" applyBorder="1" applyAlignment="1">
      <alignment horizontal="left" vertical="center"/>
    </xf>
    <xf numFmtId="166" fontId="36" fillId="0" borderId="58" xfId="3" applyNumberFormat="1" applyFont="1" applyFill="1" applyBorder="1" applyAlignment="1">
      <alignment horizontal="center" vertical="center"/>
    </xf>
    <xf numFmtId="4" fontId="36" fillId="0" borderId="58" xfId="3" applyNumberFormat="1" applyFont="1" applyFill="1" applyBorder="1" applyAlignment="1">
      <alignment horizontal="center" vertical="center"/>
    </xf>
    <xf numFmtId="4" fontId="36" fillId="0" borderId="66" xfId="3" applyNumberFormat="1" applyFont="1" applyFill="1" applyBorder="1" applyAlignment="1">
      <alignment horizontal="center" vertical="center"/>
    </xf>
    <xf numFmtId="4" fontId="36" fillId="0" borderId="0" xfId="7" applyNumberFormat="1" applyFont="1" applyAlignment="1">
      <alignment vertical="center"/>
    </xf>
    <xf numFmtId="4" fontId="36" fillId="0" borderId="80" xfId="3" applyNumberFormat="1" applyFont="1" applyBorder="1" applyAlignment="1">
      <alignment horizontal="center" vertical="center"/>
    </xf>
    <xf numFmtId="4" fontId="37" fillId="0" borderId="60" xfId="3" applyNumberFormat="1" applyFont="1" applyFill="1" applyBorder="1" applyAlignment="1">
      <alignment vertical="center"/>
    </xf>
    <xf numFmtId="4" fontId="36" fillId="0" borderId="77" xfId="950" applyNumberFormat="1" applyFont="1" applyFill="1" applyBorder="1" applyAlignment="1">
      <alignment vertical="center"/>
    </xf>
    <xf numFmtId="4" fontId="36" fillId="0" borderId="77" xfId="950" applyNumberFormat="1" applyFont="1" applyFill="1" applyBorder="1" applyAlignment="1">
      <alignment horizontal="center" vertical="center"/>
    </xf>
    <xf numFmtId="4" fontId="36" fillId="0" borderId="77" xfId="950" applyNumberFormat="1" applyFont="1" applyFill="1" applyBorder="1" applyAlignment="1">
      <alignment horizontal="justify" vertical="center" wrapText="1"/>
    </xf>
    <xf numFmtId="4" fontId="36" fillId="0" borderId="77" xfId="950" applyNumberFormat="1" applyFont="1" applyFill="1" applyBorder="1" applyAlignment="1" applyProtection="1">
      <alignment horizontal="justify" vertical="center" wrapText="1"/>
    </xf>
    <xf numFmtId="4" fontId="36" fillId="0" borderId="77" xfId="7" applyNumberFormat="1" applyFont="1" applyFill="1" applyBorder="1" applyAlignment="1">
      <alignment horizontal="center" vertical="center"/>
    </xf>
    <xf numFmtId="4" fontId="36" fillId="0" borderId="77" xfId="4632" applyNumberFormat="1" applyFont="1" applyFill="1" applyBorder="1" applyAlignment="1">
      <alignment vertical="center"/>
    </xf>
    <xf numFmtId="4" fontId="36" fillId="0" borderId="77" xfId="950" applyNumberFormat="1" applyFont="1" applyFill="1" applyBorder="1" applyAlignment="1">
      <alignment vertical="center" wrapText="1"/>
    </xf>
    <xf numFmtId="0" fontId="126" fillId="0" borderId="77" xfId="950" applyFont="1" applyFill="1" applyBorder="1" applyAlignment="1">
      <alignment horizontal="justify" vertical="center" wrapText="1"/>
    </xf>
    <xf numFmtId="0" fontId="36" fillId="0" borderId="77" xfId="950" applyFont="1" applyFill="1" applyBorder="1" applyAlignment="1">
      <alignment vertical="center"/>
    </xf>
    <xf numFmtId="0" fontId="36" fillId="0" borderId="77" xfId="950" applyFont="1" applyFill="1" applyBorder="1" applyAlignment="1">
      <alignment horizontal="center" vertical="center"/>
    </xf>
    <xf numFmtId="0" fontId="35" fillId="0" borderId="0" xfId="0" applyFont="1" applyFill="1" applyBorder="1" applyAlignment="1">
      <alignment horizontal="center" vertical="center"/>
    </xf>
    <xf numFmtId="4" fontId="36" fillId="0" borderId="110" xfId="950" applyNumberFormat="1" applyFont="1" applyFill="1" applyBorder="1" applyAlignment="1">
      <alignment horizontal="center" vertical="center"/>
    </xf>
    <xf numFmtId="0" fontId="36" fillId="0" borderId="110" xfId="950" applyFont="1" applyFill="1" applyBorder="1" applyAlignment="1">
      <alignment vertical="center"/>
    </xf>
    <xf numFmtId="0" fontId="36" fillId="0" borderId="110" xfId="950" applyFont="1" applyFill="1" applyBorder="1" applyAlignment="1">
      <alignment horizontal="center" vertical="center"/>
    </xf>
    <xf numFmtId="4" fontId="36" fillId="0" borderId="131" xfId="7" applyNumberFormat="1" applyFont="1" applyFill="1" applyBorder="1" applyAlignment="1">
      <alignment horizontal="center" vertical="center"/>
    </xf>
    <xf numFmtId="4" fontId="49" fillId="0" borderId="131" xfId="7" applyNumberFormat="1" applyFont="1" applyFill="1" applyBorder="1" applyAlignment="1">
      <alignment vertical="center"/>
    </xf>
    <xf numFmtId="4" fontId="36" fillId="0" borderId="110" xfId="950" applyNumberFormat="1" applyFont="1" applyFill="1" applyBorder="1" applyAlignment="1">
      <alignment vertical="center"/>
    </xf>
    <xf numFmtId="0" fontId="36" fillId="0" borderId="110" xfId="950" applyFont="1" applyFill="1" applyBorder="1" applyAlignment="1">
      <alignment horizontal="left" vertical="center" wrapText="1"/>
    </xf>
    <xf numFmtId="4" fontId="36" fillId="0" borderId="110" xfId="7" applyNumberFormat="1" applyFont="1" applyFill="1" applyBorder="1" applyAlignment="1">
      <alignment horizontal="center" vertical="center"/>
    </xf>
    <xf numFmtId="4" fontId="36" fillId="3" borderId="28" xfId="7" applyNumberFormat="1" applyFont="1" applyFill="1" applyBorder="1" applyAlignment="1">
      <alignment horizontal="center" vertical="center"/>
    </xf>
    <xf numFmtId="4" fontId="36" fillId="0" borderId="110" xfId="3" applyNumberFormat="1" applyFont="1" applyFill="1" applyBorder="1" applyAlignment="1">
      <alignment vertical="center" wrapText="1"/>
    </xf>
    <xf numFmtId="4" fontId="36" fillId="0" borderId="28" xfId="3" applyNumberFormat="1" applyFont="1" applyBorder="1" applyAlignment="1">
      <alignment horizontal="center" vertical="center"/>
    </xf>
    <xf numFmtId="166" fontId="36" fillId="0" borderId="107" xfId="950" applyNumberFormat="1" applyFont="1" applyFill="1" applyBorder="1" applyAlignment="1">
      <alignment horizontal="center" vertical="center"/>
    </xf>
    <xf numFmtId="4" fontId="36" fillId="0" borderId="107" xfId="950" applyNumberFormat="1" applyFont="1" applyFill="1" applyBorder="1" applyAlignment="1">
      <alignment horizontal="center" vertical="center"/>
    </xf>
    <xf numFmtId="4" fontId="36" fillId="0" borderId="109" xfId="950" applyNumberFormat="1" applyFont="1" applyFill="1" applyBorder="1" applyAlignment="1">
      <alignment horizontal="center" vertical="center"/>
    </xf>
    <xf numFmtId="166" fontId="36" fillId="0" borderId="130" xfId="3" applyNumberFormat="1" applyFont="1" applyFill="1" applyBorder="1" applyAlignment="1">
      <alignment horizontal="center" vertical="center"/>
    </xf>
    <xf numFmtId="4" fontId="36" fillId="0" borderId="130" xfId="7" applyNumberFormat="1" applyFont="1" applyFill="1" applyBorder="1" applyAlignment="1">
      <alignment horizontal="center" vertical="center"/>
    </xf>
    <xf numFmtId="166" fontId="33" fillId="0" borderId="0" xfId="4" applyNumberFormat="1" applyFont="1" applyFill="1" applyBorder="1" applyAlignment="1">
      <alignment horizontal="center" vertical="center"/>
    </xf>
    <xf numFmtId="4" fontId="49" fillId="0" borderId="77" xfId="5" applyNumberFormat="1" applyFont="1" applyBorder="1" applyAlignment="1">
      <alignment vertical="center"/>
    </xf>
    <xf numFmtId="4" fontId="49" fillId="0" borderId="77" xfId="5" applyNumberFormat="1" applyFont="1" applyFill="1" applyBorder="1" applyAlignment="1">
      <alignment vertical="center"/>
    </xf>
    <xf numFmtId="4" fontId="36" fillId="0" borderId="108" xfId="5" applyNumberFormat="1" applyFont="1" applyBorder="1" applyAlignment="1">
      <alignment horizontal="center" vertical="center"/>
    </xf>
    <xf numFmtId="4" fontId="36" fillId="0" borderId="108" xfId="5" applyNumberFormat="1" applyFont="1" applyFill="1" applyBorder="1" applyAlignment="1">
      <alignment horizontal="center" vertical="center"/>
    </xf>
    <xf numFmtId="4" fontId="49" fillId="0" borderId="131" xfId="5" applyNumberFormat="1" applyFont="1" applyBorder="1" applyAlignment="1">
      <alignment vertical="center"/>
    </xf>
    <xf numFmtId="4" fontId="36" fillId="0" borderId="132" xfId="5" applyNumberFormat="1" applyFont="1" applyBorder="1" applyAlignment="1">
      <alignment horizontal="center" vertical="center"/>
    </xf>
    <xf numFmtId="4" fontId="36" fillId="0" borderId="111" xfId="5" applyNumberFormat="1" applyFont="1" applyFill="1" applyBorder="1" applyAlignment="1">
      <alignment horizontal="center" vertical="center"/>
    </xf>
    <xf numFmtId="4" fontId="49" fillId="0" borderId="131" xfId="5" applyNumberFormat="1" applyFont="1" applyFill="1" applyBorder="1" applyAlignment="1">
      <alignment vertical="center"/>
    </xf>
    <xf numFmtId="4" fontId="36" fillId="0" borderId="132" xfId="5" applyNumberFormat="1" applyFont="1" applyFill="1" applyBorder="1" applyAlignment="1">
      <alignment horizontal="center" vertical="center"/>
    </xf>
    <xf numFmtId="4" fontId="49" fillId="0" borderId="131" xfId="5" applyNumberFormat="1" applyFont="1" applyFill="1" applyBorder="1" applyAlignment="1">
      <alignment horizontal="left" vertical="center"/>
    </xf>
    <xf numFmtId="0" fontId="36" fillId="0" borderId="110" xfId="5" applyFont="1" applyFill="1" applyBorder="1" applyAlignment="1">
      <alignment vertical="center"/>
    </xf>
    <xf numFmtId="0" fontId="36" fillId="0" borderId="110" xfId="5" applyFont="1" applyFill="1" applyBorder="1" applyAlignment="1">
      <alignment horizontal="center" vertical="center"/>
    </xf>
    <xf numFmtId="4" fontId="37" fillId="0" borderId="10" xfId="3" applyNumberFormat="1" applyFont="1" applyBorder="1" applyAlignment="1">
      <alignment horizontal="center" vertical="center"/>
    </xf>
    <xf numFmtId="0" fontId="161" fillId="0" borderId="0" xfId="0" applyFont="1" applyFill="1" applyBorder="1" applyAlignment="1">
      <alignment horizontal="left" vertical="center"/>
    </xf>
    <xf numFmtId="4" fontId="122" fillId="0" borderId="0" xfId="5" applyNumberFormat="1" applyFont="1" applyBorder="1" applyAlignment="1">
      <alignment vertical="center"/>
    </xf>
    <xf numFmtId="4" fontId="78" fillId="0" borderId="0" xfId="5" applyNumberFormat="1" applyFont="1" applyBorder="1" applyAlignment="1">
      <alignment vertical="center"/>
    </xf>
    <xf numFmtId="4" fontId="78" fillId="0" borderId="0" xfId="5" applyNumberFormat="1" applyFont="1" applyFill="1" applyBorder="1" applyAlignment="1">
      <alignment vertical="center"/>
    </xf>
    <xf numFmtId="4" fontId="36" fillId="3" borderId="28" xfId="5" applyNumberFormat="1" applyFont="1" applyFill="1" applyBorder="1" applyAlignment="1">
      <alignment horizontal="center" vertical="center"/>
    </xf>
    <xf numFmtId="4" fontId="37" fillId="3" borderId="28" xfId="5" applyNumberFormat="1" applyFont="1" applyFill="1" applyBorder="1" applyAlignment="1">
      <alignment vertical="center"/>
    </xf>
    <xf numFmtId="4" fontId="60" fillId="0" borderId="131" xfId="5" applyNumberFormat="1" applyFont="1" applyFill="1" applyBorder="1" applyAlignment="1">
      <alignment vertical="center"/>
    </xf>
    <xf numFmtId="4" fontId="36" fillId="3" borderId="28" xfId="5" applyNumberFormat="1" applyFont="1" applyFill="1" applyBorder="1" applyAlignment="1">
      <alignment horizontal="center" vertical="center"/>
    </xf>
    <xf numFmtId="4" fontId="33" fillId="3" borderId="28" xfId="5" applyNumberFormat="1" applyFont="1" applyFill="1" applyBorder="1" applyAlignment="1">
      <alignment horizontal="center" vertical="center"/>
    </xf>
    <xf numFmtId="4" fontId="36" fillId="0" borderId="81" xfId="5" applyNumberFormat="1" applyFont="1" applyBorder="1" applyAlignment="1">
      <alignment vertical="center"/>
    </xf>
    <xf numFmtId="4" fontId="36" fillId="3" borderId="0" xfId="5" applyNumberFormat="1" applyFont="1" applyFill="1" applyBorder="1" applyAlignment="1">
      <alignment vertical="center"/>
    </xf>
    <xf numFmtId="4" fontId="36" fillId="0" borderId="77" xfId="5" applyNumberFormat="1" applyFont="1" applyBorder="1" applyAlignment="1">
      <alignment vertical="center"/>
    </xf>
    <xf numFmtId="4" fontId="36" fillId="0" borderId="108" xfId="5" applyNumberFormat="1" applyFont="1" applyBorder="1" applyAlignment="1">
      <alignment vertical="center"/>
    </xf>
    <xf numFmtId="4" fontId="36" fillId="0" borderId="108" xfId="5" applyNumberFormat="1" applyFont="1" applyFill="1" applyBorder="1" applyAlignment="1">
      <alignment vertical="center"/>
    </xf>
    <xf numFmtId="4" fontId="36" fillId="0" borderId="109" xfId="5" applyNumberFormat="1" applyFont="1" applyBorder="1" applyAlignment="1">
      <alignment horizontal="center" vertical="center"/>
    </xf>
    <xf numFmtId="4" fontId="36" fillId="0" borderId="111" xfId="5" applyNumberFormat="1" applyFont="1" applyFill="1" applyBorder="1" applyAlignment="1">
      <alignment vertical="center"/>
    </xf>
    <xf numFmtId="4" fontId="36" fillId="0" borderId="132" xfId="5" applyNumberFormat="1" applyFont="1" applyFill="1" applyBorder="1" applyAlignment="1">
      <alignment vertical="center"/>
    </xf>
    <xf numFmtId="4" fontId="36" fillId="0" borderId="131" xfId="5" applyNumberFormat="1" applyFont="1" applyFill="1" applyBorder="1" applyAlignment="1">
      <alignment vertical="center"/>
    </xf>
    <xf numFmtId="4" fontId="36" fillId="3" borderId="109" xfId="5" applyNumberFormat="1" applyFont="1" applyFill="1" applyBorder="1" applyAlignment="1">
      <alignment horizontal="center" vertical="center"/>
    </xf>
    <xf numFmtId="0" fontId="36" fillId="3" borderId="110" xfId="5" applyFont="1" applyFill="1" applyBorder="1" applyAlignment="1">
      <alignment horizontal="left" vertical="center" wrapText="1"/>
    </xf>
    <xf numFmtId="4" fontId="36" fillId="3" borderId="110" xfId="5" applyNumberFormat="1" applyFont="1" applyFill="1" applyBorder="1" applyAlignment="1">
      <alignment horizontal="center" vertical="center"/>
    </xf>
    <xf numFmtId="4" fontId="36" fillId="3" borderId="111" xfId="5" applyNumberFormat="1" applyFont="1" applyFill="1" applyBorder="1" applyAlignment="1">
      <alignment vertical="center"/>
    </xf>
    <xf numFmtId="4" fontId="36" fillId="0" borderId="131" xfId="5" applyNumberFormat="1" applyFont="1" applyBorder="1" applyAlignment="1">
      <alignment vertical="center"/>
    </xf>
    <xf numFmtId="4" fontId="36" fillId="0" borderId="132" xfId="5" applyNumberFormat="1" applyFont="1" applyBorder="1" applyAlignment="1">
      <alignment vertical="center"/>
    </xf>
    <xf numFmtId="3" fontId="36" fillId="0" borderId="77" xfId="5" applyNumberFormat="1" applyFont="1" applyFill="1" applyBorder="1" applyAlignment="1">
      <alignment horizontal="center" vertical="center"/>
    </xf>
    <xf numFmtId="4" fontId="36" fillId="0" borderId="77" xfId="5" applyNumberFormat="1" applyFont="1" applyFill="1" applyBorder="1" applyAlignment="1">
      <alignment horizontal="center" vertical="center" wrapText="1"/>
    </xf>
    <xf numFmtId="3" fontId="36" fillId="0" borderId="77" xfId="5" applyNumberFormat="1" applyFont="1" applyFill="1" applyBorder="1" applyAlignment="1">
      <alignment horizontal="center" vertical="center" wrapText="1"/>
    </xf>
    <xf numFmtId="0" fontId="36" fillId="2" borderId="110" xfId="5" applyFont="1" applyFill="1" applyBorder="1" applyAlignment="1">
      <alignment horizontal="center" vertical="center"/>
    </xf>
    <xf numFmtId="4" fontId="36" fillId="2" borderId="110" xfId="5" applyNumberFormat="1" applyFont="1" applyFill="1" applyBorder="1" applyAlignment="1">
      <alignment horizontal="center" vertical="center"/>
    </xf>
    <xf numFmtId="4" fontId="36" fillId="0" borderId="110" xfId="5" applyNumberFormat="1" applyFont="1" applyFill="1" applyBorder="1" applyAlignment="1">
      <alignment horizontal="center" vertical="center" wrapText="1"/>
    </xf>
    <xf numFmtId="3" fontId="36" fillId="0" borderId="110" xfId="5" applyNumberFormat="1" applyFont="1" applyFill="1" applyBorder="1" applyAlignment="1">
      <alignment horizontal="center" vertical="center" wrapText="1"/>
    </xf>
    <xf numFmtId="3" fontId="36" fillId="0" borderId="110" xfId="5" applyNumberFormat="1" applyFont="1" applyFill="1" applyBorder="1" applyAlignment="1">
      <alignment horizontal="center" vertical="center"/>
    </xf>
    <xf numFmtId="0" fontId="36" fillId="0" borderId="0" xfId="5" applyFont="1" applyAlignment="1">
      <alignment vertical="center"/>
    </xf>
    <xf numFmtId="4" fontId="36" fillId="0" borderId="144" xfId="3" applyNumberFormat="1" applyFont="1" applyBorder="1" applyAlignment="1">
      <alignment horizontal="center" vertical="center"/>
    </xf>
    <xf numFmtId="4" fontId="81" fillId="0" borderId="145" xfId="3" applyNumberFormat="1" applyFont="1" applyBorder="1" applyAlignment="1">
      <alignment vertical="center"/>
    </xf>
    <xf numFmtId="4" fontId="36" fillId="0" borderId="146" xfId="3" applyNumberFormat="1" applyFont="1" applyBorder="1" applyAlignment="1">
      <alignment horizontal="center" vertical="center"/>
    </xf>
    <xf numFmtId="4" fontId="36" fillId="0" borderId="146" xfId="2" applyNumberFormat="1" applyFont="1" applyBorder="1" applyAlignment="1">
      <alignment horizontal="center" vertical="center"/>
    </xf>
    <xf numFmtId="4" fontId="36" fillId="0" borderId="147" xfId="2" applyNumberFormat="1" applyFont="1" applyBorder="1" applyAlignment="1">
      <alignment horizontal="center" vertical="center"/>
    </xf>
    <xf numFmtId="4" fontId="36" fillId="0" borderId="93" xfId="3" applyNumberFormat="1" applyFont="1" applyBorder="1" applyAlignment="1">
      <alignment horizontal="center" vertical="center"/>
    </xf>
    <xf numFmtId="4" fontId="81" fillId="0" borderId="84" xfId="3" applyNumberFormat="1" applyFont="1" applyBorder="1" applyAlignment="1">
      <alignment vertical="center"/>
    </xf>
    <xf numFmtId="4" fontId="36" fillId="0" borderId="60" xfId="2" applyNumberFormat="1" applyFont="1" applyBorder="1" applyAlignment="1">
      <alignment horizontal="center" vertical="center"/>
    </xf>
    <xf numFmtId="4" fontId="36" fillId="0" borderId="71" xfId="2" applyNumberFormat="1" applyFont="1" applyBorder="1" applyAlignment="1">
      <alignment horizontal="center" vertical="center"/>
    </xf>
    <xf numFmtId="4" fontId="36" fillId="0" borderId="61" xfId="3" applyNumberFormat="1" applyFont="1" applyFill="1" applyBorder="1" applyAlignment="1">
      <alignment vertical="center"/>
    </xf>
    <xf numFmtId="4" fontId="36" fillId="0" borderId="60" xfId="2" applyNumberFormat="1" applyFont="1" applyFill="1" applyBorder="1" applyAlignment="1">
      <alignment horizontal="center" vertical="center"/>
    </xf>
    <xf numFmtId="4" fontId="36" fillId="0" borderId="71" xfId="2" applyNumberFormat="1" applyFont="1" applyFill="1" applyBorder="1" applyAlignment="1">
      <alignment horizontal="center" vertical="center"/>
    </xf>
    <xf numFmtId="166" fontId="36" fillId="0" borderId="72" xfId="3" applyNumberFormat="1" applyFont="1" applyFill="1" applyBorder="1" applyAlignment="1">
      <alignment horizontal="center" vertical="center"/>
    </xf>
    <xf numFmtId="4" fontId="36" fillId="0" borderId="41" xfId="3" applyNumberFormat="1" applyFont="1" applyFill="1" applyBorder="1" applyAlignment="1">
      <alignment vertical="center"/>
    </xf>
    <xf numFmtId="4" fontId="36" fillId="0" borderId="41" xfId="2" applyNumberFormat="1" applyFont="1" applyFill="1" applyBorder="1" applyAlignment="1">
      <alignment horizontal="center" vertical="center"/>
    </xf>
    <xf numFmtId="4" fontId="36" fillId="0" borderId="87" xfId="2" applyNumberFormat="1" applyFont="1" applyFill="1" applyBorder="1" applyAlignment="1">
      <alignment horizontal="center" vertical="center"/>
    </xf>
    <xf numFmtId="4" fontId="81" fillId="0" borderId="59" xfId="3" applyNumberFormat="1" applyFont="1" applyFill="1" applyBorder="1" applyAlignment="1">
      <alignment vertical="center"/>
    </xf>
    <xf numFmtId="4" fontId="36" fillId="0" borderId="59" xfId="2" applyNumberFormat="1" applyFont="1" applyFill="1" applyBorder="1" applyAlignment="1">
      <alignment horizontal="center" vertical="center"/>
    </xf>
    <xf numFmtId="4" fontId="36" fillId="0" borderId="70" xfId="2" applyNumberFormat="1" applyFont="1" applyFill="1" applyBorder="1" applyAlignment="1">
      <alignment horizontal="center" vertical="center"/>
    </xf>
    <xf numFmtId="4" fontId="81" fillId="0" borderId="60" xfId="3" applyNumberFormat="1" applyFont="1" applyFill="1" applyBorder="1" applyAlignment="1">
      <alignment vertical="center"/>
    </xf>
    <xf numFmtId="4" fontId="81" fillId="0" borderId="60" xfId="3" applyNumberFormat="1" applyFont="1" applyFill="1" applyBorder="1" applyAlignment="1">
      <alignment horizontal="left" vertical="center"/>
    </xf>
    <xf numFmtId="4" fontId="36" fillId="0" borderId="60" xfId="8" applyNumberFormat="1" applyFont="1" applyFill="1" applyBorder="1" applyAlignment="1">
      <alignment vertical="center" wrapText="1"/>
    </xf>
    <xf numFmtId="4" fontId="36" fillId="0" borderId="58" xfId="3" quotePrefix="1" applyNumberFormat="1" applyFont="1" applyFill="1" applyBorder="1" applyAlignment="1">
      <alignment horizontal="center" vertical="center"/>
    </xf>
    <xf numFmtId="0" fontId="36" fillId="0" borderId="58" xfId="5" applyFont="1" applyFill="1" applyBorder="1" applyAlignment="1">
      <alignment vertical="center"/>
    </xf>
    <xf numFmtId="0" fontId="36" fillId="0" borderId="58" xfId="5" applyFont="1" applyFill="1" applyBorder="1" applyAlignment="1">
      <alignment horizontal="center" vertical="center"/>
    </xf>
    <xf numFmtId="0" fontId="36" fillId="0" borderId="60" xfId="5" applyFont="1" applyFill="1" applyBorder="1" applyAlignment="1">
      <alignment horizontal="center" vertical="center" wrapText="1"/>
    </xf>
    <xf numFmtId="4" fontId="36" fillId="0" borderId="60" xfId="3" applyNumberFormat="1" applyFont="1" applyFill="1" applyBorder="1" applyAlignment="1">
      <alignment horizontal="center" vertical="center" wrapText="1"/>
    </xf>
    <xf numFmtId="4" fontId="37" fillId="0" borderId="60" xfId="3" applyNumberFormat="1" applyFont="1" applyFill="1" applyBorder="1" applyAlignment="1">
      <alignment vertical="center" wrapText="1"/>
    </xf>
    <xf numFmtId="0" fontId="36" fillId="0" borderId="60" xfId="5" applyFont="1" applyFill="1" applyBorder="1" applyAlignment="1">
      <alignment vertical="center" wrapText="1"/>
    </xf>
    <xf numFmtId="0" fontId="36" fillId="0" borderId="0" xfId="5" applyFont="1" applyFill="1" applyAlignment="1">
      <alignment vertical="center"/>
    </xf>
    <xf numFmtId="0" fontId="36" fillId="0" borderId="0" xfId="5" applyFont="1" applyFill="1" applyAlignment="1">
      <alignment horizontal="center" vertical="center"/>
    </xf>
    <xf numFmtId="0" fontId="36" fillId="0" borderId="81" xfId="5" applyFont="1" applyFill="1" applyBorder="1" applyAlignment="1">
      <alignment horizontal="center" vertical="center"/>
    </xf>
    <xf numFmtId="0" fontId="36" fillId="0" borderId="0" xfId="5" applyFont="1" applyAlignment="1">
      <alignment horizontal="center" vertical="center"/>
    </xf>
    <xf numFmtId="0" fontId="36" fillId="0" borderId="81" xfId="5" applyFont="1" applyBorder="1" applyAlignment="1">
      <alignment horizontal="center" vertical="center"/>
    </xf>
    <xf numFmtId="0" fontId="33" fillId="0" borderId="6" xfId="0" applyFont="1" applyBorder="1" applyAlignment="1">
      <alignment horizontal="center" vertical="center"/>
    </xf>
    <xf numFmtId="4" fontId="37" fillId="0" borderId="77" xfId="5" applyNumberFormat="1" applyFont="1" applyFill="1" applyBorder="1" applyAlignment="1">
      <alignment horizontal="center" vertical="center"/>
    </xf>
    <xf numFmtId="4" fontId="36" fillId="3" borderId="77" xfId="5" applyNumberFormat="1" applyFont="1" applyFill="1" applyBorder="1" applyAlignment="1">
      <alignment vertical="center"/>
    </xf>
    <xf numFmtId="4" fontId="36" fillId="3" borderId="77" xfId="5" applyNumberFormat="1" applyFont="1" applyFill="1" applyBorder="1" applyAlignment="1">
      <alignment horizontal="center" vertical="center"/>
    </xf>
    <xf numFmtId="4" fontId="37" fillId="0" borderId="107" xfId="5" applyNumberFormat="1" applyFont="1" applyFill="1" applyBorder="1" applyAlignment="1">
      <alignment horizontal="center" vertical="center"/>
    </xf>
    <xf numFmtId="4" fontId="37" fillId="0" borderId="108" xfId="5" applyNumberFormat="1" applyFont="1" applyFill="1" applyBorder="1" applyAlignment="1">
      <alignment horizontal="center" vertical="center"/>
    </xf>
    <xf numFmtId="166" fontId="36" fillId="3" borderId="107" xfId="5" applyNumberFormat="1" applyFont="1" applyFill="1" applyBorder="1" applyAlignment="1">
      <alignment horizontal="center" vertical="center"/>
    </xf>
    <xf numFmtId="4" fontId="36" fillId="3" borderId="108" xfId="5" applyNumberFormat="1" applyFont="1" applyFill="1" applyBorder="1" applyAlignment="1">
      <alignment horizontal="center" vertical="center"/>
    </xf>
    <xf numFmtId="4" fontId="37" fillId="0" borderId="130" xfId="5" applyNumberFormat="1" applyFont="1" applyFill="1" applyBorder="1" applyAlignment="1">
      <alignment horizontal="center" vertical="center"/>
    </xf>
    <xf numFmtId="4" fontId="37" fillId="0" borderId="132" xfId="5" applyNumberFormat="1" applyFont="1" applyFill="1" applyBorder="1" applyAlignment="1">
      <alignment horizontal="center" vertical="center"/>
    </xf>
    <xf numFmtId="0" fontId="33" fillId="0" borderId="6" xfId="0" applyFont="1" applyBorder="1" applyAlignment="1">
      <alignment horizontal="center" vertical="center"/>
    </xf>
    <xf numFmtId="4" fontId="80" fillId="0" borderId="6" xfId="915" applyNumberFormat="1" applyFont="1" applyBorder="1" applyAlignment="1">
      <alignment horizontal="center" vertical="center" wrapText="1"/>
    </xf>
    <xf numFmtId="3" fontId="22" fillId="0" borderId="6" xfId="915" applyNumberFormat="1" applyFont="1" applyFill="1" applyBorder="1" applyAlignment="1">
      <alignment horizontal="left" vertical="center" wrapText="1"/>
    </xf>
    <xf numFmtId="0" fontId="80" fillId="0" borderId="6" xfId="0" applyFont="1" applyBorder="1" applyAlignment="1">
      <alignment vertical="center"/>
    </xf>
    <xf numFmtId="3" fontId="162" fillId="0" borderId="6" xfId="915" applyNumberFormat="1" applyFont="1" applyFill="1" applyBorder="1" applyAlignment="1">
      <alignment horizontal="center" vertical="center" wrapText="1"/>
    </xf>
    <xf numFmtId="3" fontId="80" fillId="0" borderId="6" xfId="915" applyNumberFormat="1" applyFont="1" applyFill="1" applyBorder="1" applyAlignment="1">
      <alignment vertical="center" wrapText="1"/>
    </xf>
    <xf numFmtId="4" fontId="80" fillId="0" borderId="6" xfId="915" applyNumberFormat="1" applyFont="1" applyFill="1" applyBorder="1" applyAlignment="1">
      <alignment horizontal="center" vertical="center" wrapText="1"/>
    </xf>
    <xf numFmtId="3" fontId="163" fillId="30" borderId="6" xfId="915" applyNumberFormat="1" applyFont="1" applyFill="1" applyBorder="1" applyAlignment="1">
      <alignment vertical="center" wrapText="1"/>
    </xf>
    <xf numFmtId="4" fontId="163" fillId="30" borderId="6" xfId="915" applyNumberFormat="1" applyFont="1" applyFill="1" applyBorder="1" applyAlignment="1">
      <alignment horizontal="center" vertical="center" wrapText="1"/>
    </xf>
    <xf numFmtId="4" fontId="163" fillId="30" borderId="6" xfId="915" applyNumberFormat="1" applyFont="1" applyFill="1" applyBorder="1" applyAlignment="1">
      <alignment horizontal="left" vertical="center"/>
    </xf>
    <xf numFmtId="0" fontId="33" fillId="0" borderId="6" xfId="0" applyFont="1" applyBorder="1" applyAlignment="1">
      <alignment horizontal="center" vertical="center"/>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0" fontId="33" fillId="0" borderId="6" xfId="0" applyFont="1" applyBorder="1" applyAlignment="1">
      <alignment horizontal="center" vertical="center"/>
    </xf>
    <xf numFmtId="4" fontId="91" fillId="33" borderId="24" xfId="753" applyNumberFormat="1" applyFont="1" applyFill="1" applyBorder="1" applyAlignment="1">
      <alignment horizontal="center" vertical="center" shrinkToFit="1"/>
    </xf>
    <xf numFmtId="2" fontId="92" fillId="0" borderId="0" xfId="0" applyNumberFormat="1" applyFont="1" applyFill="1" applyBorder="1" applyAlignment="1">
      <alignment horizontal="left" vertical="center"/>
    </xf>
    <xf numFmtId="2" fontId="92" fillId="0" borderId="0" xfId="7" applyNumberFormat="1" applyFont="1" applyFill="1" applyBorder="1" applyAlignment="1">
      <alignment horizontal="right" vertical="center"/>
    </xf>
    <xf numFmtId="0" fontId="36" fillId="0" borderId="28" xfId="0" applyFont="1" applyBorder="1" applyAlignment="1">
      <alignment horizontal="center" vertical="center"/>
    </xf>
    <xf numFmtId="0" fontId="36" fillId="0" borderId="0" xfId="0" applyFont="1" applyBorder="1" applyAlignment="1">
      <alignment horizontal="left" vertical="center"/>
    </xf>
    <xf numFmtId="0" fontId="33" fillId="0" borderId="6" xfId="0" applyFont="1" applyBorder="1" applyAlignment="1">
      <alignment horizontal="center" vertical="center"/>
    </xf>
    <xf numFmtId="0" fontId="22" fillId="0" borderId="26" xfId="0" applyFont="1" applyBorder="1" applyAlignment="1">
      <alignment horizontal="center" vertical="center"/>
    </xf>
    <xf numFmtId="0" fontId="22" fillId="0" borderId="30" xfId="0" applyFont="1" applyBorder="1" applyAlignment="1">
      <alignment horizontal="center" vertical="center"/>
    </xf>
    <xf numFmtId="0" fontId="22" fillId="0" borderId="3" xfId="0" applyFont="1" applyBorder="1" applyAlignment="1">
      <alignment horizontal="center" vertical="center"/>
    </xf>
    <xf numFmtId="0" fontId="22" fillId="0" borderId="9" xfId="0" applyFont="1" applyBorder="1" applyAlignment="1">
      <alignment horizontal="center" vertical="center"/>
    </xf>
    <xf numFmtId="0" fontId="22" fillId="0" borderId="21" xfId="0" applyFont="1" applyBorder="1" applyAlignment="1">
      <alignment horizontal="center" vertical="center"/>
    </xf>
    <xf numFmtId="0" fontId="22" fillId="0" borderId="33" xfId="0" applyFont="1" applyBorder="1" applyAlignment="1">
      <alignment horizontal="center" vertical="center"/>
    </xf>
    <xf numFmtId="0" fontId="36" fillId="0" borderId="104" xfId="0" applyFont="1" applyBorder="1" applyAlignment="1">
      <alignment horizontal="center" vertical="center"/>
    </xf>
    <xf numFmtId="0" fontId="36" fillId="0" borderId="105" xfId="0" applyFont="1" applyBorder="1" applyAlignment="1">
      <alignment horizontal="center" vertical="center"/>
    </xf>
    <xf numFmtId="0" fontId="37" fillId="2" borderId="24" xfId="0" applyFont="1" applyFill="1" applyBorder="1" applyAlignment="1">
      <alignment horizontal="center" vertical="center"/>
    </xf>
    <xf numFmtId="0" fontId="36" fillId="0" borderId="26" xfId="0" applyFont="1" applyBorder="1" applyAlignment="1">
      <alignment horizontal="center" vertical="center"/>
    </xf>
    <xf numFmtId="0" fontId="36" fillId="0" borderId="33" xfId="0" applyFont="1" applyBorder="1" applyAlignment="1">
      <alignment horizontal="center" vertical="center"/>
    </xf>
    <xf numFmtId="0" fontId="36" fillId="0" borderId="0" xfId="0" applyFont="1" applyBorder="1" applyAlignment="1">
      <alignment horizontal="center" vertical="center"/>
    </xf>
    <xf numFmtId="0" fontId="33" fillId="0" borderId="6" xfId="0" applyFont="1" applyBorder="1" applyAlignment="1">
      <alignment horizontal="left" vertical="center" wrapText="1"/>
    </xf>
    <xf numFmtId="0" fontId="0" fillId="0" borderId="6" xfId="0" applyFont="1" applyBorder="1" applyAlignment="1">
      <alignment horizontal="center" vertical="center"/>
    </xf>
    <xf numFmtId="4" fontId="89" fillId="0" borderId="0" xfId="0" applyNumberFormat="1" applyFont="1" applyFill="1" applyBorder="1" applyAlignment="1">
      <alignment vertical="center"/>
    </xf>
    <xf numFmtId="4" fontId="149" fillId="0" borderId="0" xfId="0" applyNumberFormat="1" applyFont="1" applyFill="1" applyBorder="1" applyAlignment="1">
      <alignment vertical="center"/>
    </xf>
    <xf numFmtId="4" fontId="90" fillId="7" borderId="28" xfId="0" applyNumberFormat="1" applyFont="1" applyFill="1" applyBorder="1" applyAlignment="1">
      <alignment horizontal="center" vertical="center" wrapText="1"/>
    </xf>
    <xf numFmtId="4" fontId="94" fillId="0" borderId="77" xfId="0" applyNumberFormat="1" applyFont="1" applyFill="1" applyBorder="1" applyAlignment="1">
      <alignment horizontal="center" vertical="center"/>
    </xf>
    <xf numFmtId="4" fontId="91" fillId="0" borderId="77" xfId="0" applyNumberFormat="1" applyFont="1" applyFill="1" applyBorder="1" applyAlignment="1">
      <alignment horizontal="center" vertical="center" wrapText="1"/>
    </xf>
    <xf numFmtId="4" fontId="93" fillId="0" borderId="77" xfId="0" applyNumberFormat="1" applyFont="1" applyFill="1" applyBorder="1" applyAlignment="1">
      <alignment horizontal="center" vertical="center"/>
    </xf>
    <xf numFmtId="166" fontId="89" fillId="0" borderId="77" xfId="0" applyNumberFormat="1" applyFont="1" applyFill="1" applyBorder="1" applyAlignment="1">
      <alignment horizontal="center" vertical="center"/>
    </xf>
    <xf numFmtId="4" fontId="94" fillId="0" borderId="77" xfId="3602" applyNumberFormat="1" applyFont="1" applyFill="1" applyBorder="1" applyAlignment="1">
      <alignment horizontal="center" vertical="center"/>
    </xf>
    <xf numFmtId="4" fontId="89" fillId="0" borderId="77" xfId="0" applyNumberFormat="1" applyFont="1" applyFill="1" applyBorder="1" applyAlignment="1">
      <alignment horizontal="center" vertical="center"/>
    </xf>
    <xf numFmtId="4" fontId="93" fillId="0" borderId="77" xfId="0" applyNumberFormat="1" applyFont="1" applyFill="1" applyBorder="1" applyAlignment="1">
      <alignment horizontal="left" vertical="center" wrapText="1"/>
    </xf>
    <xf numFmtId="4" fontId="93" fillId="0" borderId="77" xfId="3602" applyNumberFormat="1" applyFont="1" applyFill="1" applyBorder="1" applyAlignment="1">
      <alignment horizontal="center" vertical="center"/>
    </xf>
    <xf numFmtId="166" fontId="94" fillId="0" borderId="77" xfId="3602" applyNumberFormat="1" applyFont="1" applyFill="1" applyBorder="1" applyAlignment="1">
      <alignment horizontal="center" vertical="center"/>
    </xf>
    <xf numFmtId="4" fontId="93" fillId="0" borderId="77" xfId="0" applyNumberFormat="1" applyFont="1" applyFill="1" applyBorder="1" applyAlignment="1">
      <alignment vertical="center" wrapText="1"/>
    </xf>
    <xf numFmtId="4" fontId="92" fillId="0" borderId="77" xfId="0" applyNumberFormat="1" applyFont="1" applyFill="1" applyBorder="1" applyAlignment="1">
      <alignment horizontal="center" vertical="center" wrapText="1"/>
    </xf>
    <xf numFmtId="166" fontId="94" fillId="0" borderId="77" xfId="2" applyNumberFormat="1" applyFont="1" applyFill="1" applyBorder="1" applyAlignment="1">
      <alignment horizontal="center" vertical="center"/>
    </xf>
    <xf numFmtId="4" fontId="94" fillId="0" borderId="77" xfId="2" applyNumberFormat="1" applyFont="1" applyFill="1" applyBorder="1" applyAlignment="1">
      <alignment horizontal="center" vertical="center"/>
    </xf>
    <xf numFmtId="4" fontId="93" fillId="0" borderId="77" xfId="2" applyNumberFormat="1" applyFont="1" applyFill="1" applyBorder="1" applyAlignment="1">
      <alignment horizontal="center" vertical="center"/>
    </xf>
    <xf numFmtId="4" fontId="89" fillId="0" borderId="77" xfId="0" applyNumberFormat="1" applyFont="1" applyFill="1" applyBorder="1" applyAlignment="1">
      <alignment horizontal="left" vertical="center" wrapText="1"/>
    </xf>
    <xf numFmtId="166" fontId="92" fillId="0" borderId="77" xfId="3602" applyNumberFormat="1" applyFont="1" applyFill="1" applyBorder="1" applyAlignment="1">
      <alignment horizontal="center" vertical="center"/>
    </xf>
    <xf numFmtId="4" fontId="93" fillId="2" borderId="77" xfId="3602" applyNumberFormat="1" applyFont="1" applyFill="1" applyBorder="1" applyAlignment="1">
      <alignment horizontal="center" vertical="center"/>
    </xf>
    <xf numFmtId="166" fontId="89" fillId="0" borderId="77" xfId="3602" applyNumberFormat="1" applyFont="1" applyBorder="1" applyAlignment="1">
      <alignment horizontal="center" vertical="center"/>
    </xf>
    <xf numFmtId="4" fontId="89" fillId="0" borderId="77" xfId="0" applyNumberFormat="1" applyFont="1" applyBorder="1" applyAlignment="1">
      <alignment horizontal="center" vertical="center"/>
    </xf>
    <xf numFmtId="4" fontId="91" fillId="2" borderId="77" xfId="0" applyNumberFormat="1" applyFont="1" applyFill="1" applyBorder="1" applyAlignment="1">
      <alignment horizontal="center" vertical="center"/>
    </xf>
    <xf numFmtId="4" fontId="89" fillId="0" borderId="77" xfId="3602" applyNumberFormat="1" applyFont="1" applyBorder="1" applyAlignment="1">
      <alignment horizontal="center" vertical="center"/>
    </xf>
    <xf numFmtId="4" fontId="90" fillId="0" borderId="77" xfId="3602" applyNumberFormat="1" applyFont="1" applyBorder="1" applyAlignment="1">
      <alignment horizontal="center" vertical="center"/>
    </xf>
    <xf numFmtId="4" fontId="93" fillId="2" borderId="77" xfId="0" applyNumberFormat="1" applyFont="1" applyFill="1" applyBorder="1" applyAlignment="1">
      <alignment horizontal="left" vertical="center"/>
    </xf>
    <xf numFmtId="4" fontId="89" fillId="0" borderId="77" xfId="0" applyNumberFormat="1" applyFont="1" applyBorder="1" applyAlignment="1">
      <alignment vertical="center"/>
    </xf>
    <xf numFmtId="166" fontId="89" fillId="0" borderId="77" xfId="0" applyNumberFormat="1" applyFont="1" applyBorder="1" applyAlignment="1">
      <alignment horizontal="center" vertical="center"/>
    </xf>
    <xf numFmtId="4" fontId="89" fillId="2" borderId="77" xfId="3602" applyNumberFormat="1" applyFont="1" applyFill="1" applyBorder="1" applyAlignment="1">
      <alignment horizontal="center" vertical="center"/>
    </xf>
    <xf numFmtId="166" fontId="89" fillId="2" borderId="77" xfId="3602" applyNumberFormat="1" applyFont="1" applyFill="1" applyBorder="1" applyAlignment="1">
      <alignment horizontal="center" vertical="center"/>
    </xf>
    <xf numFmtId="4" fontId="90" fillId="2" borderId="77" xfId="3602" applyNumberFormat="1" applyFont="1" applyFill="1" applyBorder="1" applyAlignment="1">
      <alignment horizontal="center" vertical="center"/>
    </xf>
    <xf numFmtId="4" fontId="94" fillId="0" borderId="107" xfId="0" applyNumberFormat="1" applyFont="1" applyFill="1" applyBorder="1" applyAlignment="1">
      <alignment horizontal="center" vertical="center"/>
    </xf>
    <xf numFmtId="4" fontId="89" fillId="0" borderId="108" xfId="0" applyNumberFormat="1" applyFont="1" applyFill="1" applyBorder="1" applyAlignment="1">
      <alignment horizontal="center" vertical="center"/>
    </xf>
    <xf numFmtId="4" fontId="94" fillId="0" borderId="108" xfId="3602" applyNumberFormat="1" applyFont="1" applyFill="1" applyBorder="1" applyAlignment="1">
      <alignment horizontal="center" vertical="center"/>
    </xf>
    <xf numFmtId="4" fontId="89" fillId="0" borderId="107" xfId="0" applyNumberFormat="1" applyFont="1" applyFill="1" applyBorder="1" applyAlignment="1">
      <alignment horizontal="center" vertical="center"/>
    </xf>
    <xf numFmtId="4" fontId="92" fillId="0" borderId="107" xfId="0" applyNumberFormat="1" applyFont="1" applyFill="1" applyBorder="1" applyAlignment="1">
      <alignment horizontal="center" vertical="center"/>
    </xf>
    <xf numFmtId="4" fontId="94" fillId="0" borderId="108" xfId="2" applyNumberFormat="1" applyFont="1" applyFill="1" applyBorder="1" applyAlignment="1">
      <alignment horizontal="center" vertical="center"/>
    </xf>
    <xf numFmtId="166" fontId="89" fillId="0" borderId="107" xfId="0" applyNumberFormat="1" applyFont="1" applyFill="1" applyBorder="1" applyAlignment="1">
      <alignment horizontal="center" vertical="center"/>
    </xf>
    <xf numFmtId="4" fontId="89" fillId="0" borderId="107" xfId="0" applyNumberFormat="1" applyFont="1" applyBorder="1" applyAlignment="1">
      <alignment horizontal="center" vertical="center"/>
    </xf>
    <xf numFmtId="4" fontId="89" fillId="0" borderId="108" xfId="0" applyNumberFormat="1" applyFont="1" applyBorder="1" applyAlignment="1">
      <alignment horizontal="center" vertical="center"/>
    </xf>
    <xf numFmtId="4" fontId="89" fillId="2" borderId="107" xfId="0" applyNumberFormat="1" applyFont="1" applyFill="1" applyBorder="1" applyAlignment="1">
      <alignment horizontal="center" vertical="center"/>
    </xf>
    <xf numFmtId="4" fontId="94" fillId="0" borderId="130" xfId="0" applyNumberFormat="1" applyFont="1" applyFill="1" applyBorder="1" applyAlignment="1">
      <alignment horizontal="center" vertical="center"/>
    </xf>
    <xf numFmtId="4" fontId="91" fillId="0" borderId="131" xfId="0" applyNumberFormat="1" applyFont="1" applyFill="1" applyBorder="1" applyAlignment="1">
      <alignment horizontal="center" vertical="center" wrapText="1"/>
    </xf>
    <xf numFmtId="4" fontId="93" fillId="0" borderId="131" xfId="0" applyNumberFormat="1" applyFont="1" applyFill="1" applyBorder="1" applyAlignment="1">
      <alignment horizontal="center" vertical="center"/>
    </xf>
    <xf numFmtId="166" fontId="89" fillId="0" borderId="131" xfId="0" applyNumberFormat="1" applyFont="1" applyFill="1" applyBorder="1" applyAlignment="1">
      <alignment horizontal="center" vertical="center"/>
    </xf>
    <xf numFmtId="4" fontId="94" fillId="0" borderId="131" xfId="3602" applyNumberFormat="1" applyFont="1" applyFill="1" applyBorder="1" applyAlignment="1">
      <alignment horizontal="center" vertical="center"/>
    </xf>
    <xf numFmtId="4" fontId="89" fillId="0" borderId="131" xfId="0" applyNumberFormat="1" applyFont="1" applyFill="1" applyBorder="1" applyAlignment="1">
      <alignment horizontal="center" vertical="center"/>
    </xf>
    <xf numFmtId="4" fontId="89" fillId="0" borderId="132" xfId="0" applyNumberFormat="1" applyFont="1" applyFill="1" applyBorder="1" applyAlignment="1">
      <alignment horizontal="center" vertical="center"/>
    </xf>
    <xf numFmtId="4" fontId="94" fillId="0" borderId="109" xfId="0" applyNumberFormat="1" applyFont="1" applyFill="1" applyBorder="1" applyAlignment="1">
      <alignment horizontal="center" vertical="center"/>
    </xf>
    <xf numFmtId="4" fontId="93" fillId="0" borderId="110" xfId="0" applyNumberFormat="1" applyFont="1" applyFill="1" applyBorder="1" applyAlignment="1">
      <alignment vertical="center" wrapText="1"/>
    </xf>
    <xf numFmtId="4" fontId="93" fillId="0" borderId="110" xfId="3602" applyNumberFormat="1" applyFont="1" applyFill="1" applyBorder="1" applyAlignment="1">
      <alignment horizontal="center" vertical="center"/>
    </xf>
    <xf numFmtId="166" fontId="94" fillId="0" borderId="110" xfId="3602" applyNumberFormat="1" applyFont="1" applyFill="1" applyBorder="1" applyAlignment="1">
      <alignment horizontal="center" vertical="center"/>
    </xf>
    <xf numFmtId="4" fontId="94" fillId="0" borderId="110" xfId="3602" applyNumberFormat="1" applyFont="1" applyFill="1" applyBorder="1" applyAlignment="1">
      <alignment horizontal="center" vertical="center"/>
    </xf>
    <xf numFmtId="4" fontId="93" fillId="0" borderId="110" xfId="2" applyNumberFormat="1" applyFont="1" applyFill="1" applyBorder="1" applyAlignment="1">
      <alignment horizontal="center" vertical="center"/>
    </xf>
    <xf numFmtId="4" fontId="94" fillId="0" borderId="111" xfId="3602" applyNumberFormat="1" applyFont="1" applyFill="1" applyBorder="1" applyAlignment="1">
      <alignment horizontal="center" vertical="center"/>
    </xf>
    <xf numFmtId="4" fontId="89" fillId="0" borderId="130" xfId="0" applyNumberFormat="1" applyFont="1" applyFill="1" applyBorder="1" applyAlignment="1">
      <alignment horizontal="center" vertical="center"/>
    </xf>
    <xf numFmtId="4" fontId="93" fillId="0" borderId="131" xfId="0" applyNumberFormat="1" applyFont="1" applyFill="1" applyBorder="1" applyAlignment="1">
      <alignment horizontal="left" vertical="center" wrapText="1"/>
    </xf>
    <xf numFmtId="4" fontId="94" fillId="0" borderId="131" xfId="0" applyNumberFormat="1" applyFont="1" applyFill="1" applyBorder="1" applyAlignment="1">
      <alignment horizontal="center" vertical="center"/>
    </xf>
    <xf numFmtId="166" fontId="94" fillId="0" borderId="131" xfId="3602" applyNumberFormat="1" applyFont="1" applyFill="1" applyBorder="1" applyAlignment="1">
      <alignment horizontal="center" vertical="center"/>
    </xf>
    <xf numFmtId="4" fontId="93" fillId="0" borderId="131" xfId="2" applyNumberFormat="1" applyFont="1" applyFill="1" applyBorder="1" applyAlignment="1">
      <alignment horizontal="center" vertical="center"/>
    </xf>
    <xf numFmtId="4" fontId="94" fillId="0" borderId="132" xfId="2" applyNumberFormat="1" applyFont="1" applyFill="1" applyBorder="1" applyAlignment="1">
      <alignment horizontal="center" vertical="center"/>
    </xf>
    <xf numFmtId="166" fontId="115" fillId="3" borderId="28" xfId="2" applyNumberFormat="1" applyFont="1" applyFill="1" applyBorder="1" applyAlignment="1">
      <alignment horizontal="center" vertical="center"/>
    </xf>
    <xf numFmtId="4" fontId="115" fillId="3" borderId="28" xfId="3602" applyNumberFormat="1" applyFont="1" applyFill="1" applyBorder="1" applyAlignment="1">
      <alignment horizontal="center" vertical="center"/>
    </xf>
    <xf numFmtId="4" fontId="148" fillId="3" borderId="28" xfId="2" applyNumberFormat="1" applyFont="1" applyFill="1" applyBorder="1" applyAlignment="1">
      <alignment horizontal="center" vertical="center"/>
    </xf>
    <xf numFmtId="4" fontId="148" fillId="3" borderId="28" xfId="3602" applyNumberFormat="1" applyFont="1" applyFill="1" applyBorder="1" applyAlignment="1">
      <alignment horizontal="center" vertical="center"/>
    </xf>
    <xf numFmtId="4" fontId="117" fillId="3" borderId="28" xfId="0" applyNumberFormat="1" applyFont="1" applyFill="1" applyBorder="1" applyAlignment="1">
      <alignment horizontal="center" vertical="center"/>
    </xf>
    <xf numFmtId="4" fontId="89" fillId="0" borderId="109" xfId="0" applyNumberFormat="1" applyFont="1" applyFill="1" applyBorder="1" applyAlignment="1">
      <alignment horizontal="center" vertical="center"/>
    </xf>
    <xf numFmtId="4" fontId="93" fillId="0" borderId="110" xfId="0" applyNumberFormat="1" applyFont="1" applyFill="1" applyBorder="1" applyAlignment="1">
      <alignment horizontal="left" vertical="center" wrapText="1"/>
    </xf>
    <xf numFmtId="4" fontId="94" fillId="0" borderId="110" xfId="0" applyNumberFormat="1" applyFont="1" applyFill="1" applyBorder="1" applyAlignment="1">
      <alignment horizontal="center" vertical="center"/>
    </xf>
    <xf numFmtId="4" fontId="92" fillId="0" borderId="131" xfId="0" applyNumberFormat="1" applyFont="1" applyFill="1" applyBorder="1" applyAlignment="1">
      <alignment horizontal="center" vertical="center" wrapText="1"/>
    </xf>
    <xf numFmtId="166" fontId="94" fillId="0" borderId="131" xfId="2" applyNumberFormat="1" applyFont="1" applyFill="1" applyBorder="1" applyAlignment="1">
      <alignment horizontal="center" vertical="center"/>
    </xf>
    <xf numFmtId="4" fontId="93" fillId="0" borderId="131" xfId="3602" applyNumberFormat="1" applyFont="1" applyFill="1" applyBorder="1" applyAlignment="1">
      <alignment horizontal="center" vertical="center"/>
    </xf>
    <xf numFmtId="166" fontId="92" fillId="0" borderId="131" xfId="0" applyNumberFormat="1" applyFont="1" applyFill="1" applyBorder="1" applyAlignment="1">
      <alignment horizontal="center" vertical="center" wrapText="1"/>
    </xf>
    <xf numFmtId="4" fontId="115" fillId="3" borderId="28" xfId="2" applyNumberFormat="1" applyFont="1" applyFill="1" applyBorder="1" applyAlignment="1">
      <alignment horizontal="center" vertical="center"/>
    </xf>
    <xf numFmtId="166" fontId="89" fillId="0" borderId="109" xfId="0" applyNumberFormat="1" applyFont="1" applyFill="1" applyBorder="1" applyAlignment="1">
      <alignment horizontal="center" vertical="center"/>
    </xf>
    <xf numFmtId="4" fontId="89" fillId="0" borderId="110" xfId="0" applyNumberFormat="1" applyFont="1" applyFill="1" applyBorder="1" applyAlignment="1">
      <alignment horizontal="center" vertical="center"/>
    </xf>
    <xf numFmtId="4" fontId="89" fillId="0" borderId="130" xfId="0" applyNumberFormat="1" applyFont="1" applyBorder="1" applyAlignment="1">
      <alignment horizontal="center" vertical="center"/>
    </xf>
    <xf numFmtId="4" fontId="91" fillId="2" borderId="131" xfId="0" applyNumberFormat="1" applyFont="1" applyFill="1" applyBorder="1" applyAlignment="1">
      <alignment horizontal="center" vertical="center"/>
    </xf>
    <xf numFmtId="4" fontId="93" fillId="2" borderId="131" xfId="3602" applyNumberFormat="1" applyFont="1" applyFill="1" applyBorder="1" applyAlignment="1">
      <alignment horizontal="center" vertical="center"/>
    </xf>
    <xf numFmtId="166" fontId="89" fillId="0" borderId="131" xfId="3602" applyNumberFormat="1" applyFont="1" applyBorder="1" applyAlignment="1">
      <alignment horizontal="center" vertical="center"/>
    </xf>
    <xf numFmtId="4" fontId="89" fillId="0" borderId="131" xfId="3602" applyNumberFormat="1" applyFont="1" applyBorder="1" applyAlignment="1">
      <alignment horizontal="center" vertical="center"/>
    </xf>
    <xf numFmtId="4" fontId="90" fillId="0" borderId="131" xfId="3602" applyNumberFormat="1" applyFont="1" applyBorder="1" applyAlignment="1">
      <alignment horizontal="center" vertical="center"/>
    </xf>
    <xf numFmtId="4" fontId="89" fillId="0" borderId="131" xfId="0" applyNumberFormat="1" applyFont="1" applyBorder="1" applyAlignment="1">
      <alignment horizontal="center" vertical="center"/>
    </xf>
    <xf numFmtId="4" fontId="89" fillId="0" borderId="132" xfId="0" applyNumberFormat="1" applyFont="1" applyBorder="1" applyAlignment="1">
      <alignment horizontal="center" vertical="center"/>
    </xf>
    <xf numFmtId="166" fontId="115" fillId="3" borderId="28" xfId="3602" applyNumberFormat="1" applyFont="1" applyFill="1" applyBorder="1" applyAlignment="1">
      <alignment horizontal="center" vertical="center"/>
    </xf>
    <xf numFmtId="4" fontId="89" fillId="0" borderId="109" xfId="0" applyNumberFormat="1" applyFont="1" applyBorder="1" applyAlignment="1">
      <alignment horizontal="center" vertical="center"/>
    </xf>
    <xf numFmtId="4" fontId="93" fillId="2" borderId="110" xfId="0" applyNumberFormat="1" applyFont="1" applyFill="1" applyBorder="1" applyAlignment="1">
      <alignment horizontal="left" vertical="center"/>
    </xf>
    <xf numFmtId="166" fontId="89" fillId="0" borderId="110" xfId="3602" applyNumberFormat="1" applyFont="1" applyBorder="1" applyAlignment="1">
      <alignment horizontal="center" vertical="center"/>
    </xf>
    <xf numFmtId="4" fontId="89" fillId="0" borderId="110" xfId="3602" applyNumberFormat="1" applyFont="1" applyBorder="1" applyAlignment="1">
      <alignment horizontal="center" vertical="center"/>
    </xf>
    <xf numFmtId="4" fontId="89" fillId="0" borderId="110" xfId="0" applyNumberFormat="1" applyFont="1" applyBorder="1" applyAlignment="1">
      <alignment horizontal="center" vertical="center"/>
    </xf>
    <xf numFmtId="4" fontId="148" fillId="2" borderId="131" xfId="0" applyNumberFormat="1" applyFont="1" applyFill="1" applyBorder="1" applyAlignment="1">
      <alignment horizontal="center" vertical="center"/>
    </xf>
    <xf numFmtId="166" fontId="117" fillId="3" borderId="28" xfId="3602" applyNumberFormat="1" applyFont="1" applyFill="1" applyBorder="1" applyAlignment="1">
      <alignment horizontal="center" vertical="center"/>
    </xf>
    <xf numFmtId="4" fontId="117" fillId="3" borderId="28" xfId="3602" applyNumberFormat="1" applyFont="1" applyFill="1" applyBorder="1" applyAlignment="1">
      <alignment horizontal="center" vertical="center"/>
    </xf>
    <xf numFmtId="4" fontId="93" fillId="2" borderId="110" xfId="3602" applyNumberFormat="1" applyFont="1" applyFill="1" applyBorder="1" applyAlignment="1">
      <alignment horizontal="center" vertical="center"/>
    </xf>
    <xf numFmtId="4" fontId="150" fillId="2" borderId="131" xfId="0" applyNumberFormat="1" applyFont="1" applyFill="1" applyBorder="1" applyAlignment="1">
      <alignment horizontal="center" vertical="center"/>
    </xf>
    <xf numFmtId="166" fontId="94" fillId="3" borderId="77" xfId="3602" applyNumberFormat="1" applyFont="1" applyFill="1" applyBorder="1" applyAlignment="1">
      <alignment horizontal="center" vertical="center"/>
    </xf>
    <xf numFmtId="3" fontId="36" fillId="0" borderId="47" xfId="915" applyNumberFormat="1" applyFont="1" applyFill="1" applyBorder="1" applyAlignment="1">
      <alignment vertical="center" wrapText="1"/>
    </xf>
    <xf numFmtId="4" fontId="36" fillId="0" borderId="47" xfId="915" applyNumberFormat="1" applyFont="1" applyFill="1" applyBorder="1" applyAlignment="1">
      <alignment horizontal="center" vertical="center" wrapText="1"/>
    </xf>
    <xf numFmtId="4" fontId="36" fillId="0" borderId="47" xfId="915" applyNumberFormat="1" applyFont="1" applyBorder="1" applyAlignment="1">
      <alignment horizontal="center" vertical="center" wrapText="1"/>
    </xf>
    <xf numFmtId="0" fontId="33" fillId="0" borderId="47" xfId="0" applyFont="1" applyBorder="1" applyAlignment="1">
      <alignment horizontal="center" vertical="center"/>
    </xf>
    <xf numFmtId="0" fontId="74" fillId="0" borderId="28" xfId="5" applyFont="1" applyBorder="1" applyAlignment="1">
      <alignment horizontal="left" vertical="center"/>
    </xf>
    <xf numFmtId="4" fontId="33" fillId="0" borderId="47" xfId="0" applyNumberFormat="1" applyFont="1" applyBorder="1" applyAlignment="1">
      <alignment horizontal="center" vertical="center"/>
    </xf>
    <xf numFmtId="2" fontId="33" fillId="0" borderId="47" xfId="0" applyNumberFormat="1" applyFont="1" applyBorder="1" applyAlignment="1">
      <alignment horizontal="center" vertical="center"/>
    </xf>
    <xf numFmtId="0" fontId="0" fillId="2" borderId="0" xfId="0" applyFont="1" applyFill="1"/>
    <xf numFmtId="0" fontId="0" fillId="2" borderId="140" xfId="0" applyFont="1" applyFill="1" applyBorder="1"/>
    <xf numFmtId="0" fontId="0" fillId="2" borderId="84" xfId="0" applyFont="1" applyFill="1" applyBorder="1"/>
    <xf numFmtId="2" fontId="0" fillId="2" borderId="84" xfId="0" applyNumberFormat="1" applyFont="1" applyFill="1" applyBorder="1"/>
    <xf numFmtId="0" fontId="0" fillId="2" borderId="92" xfId="0" applyFont="1" applyFill="1" applyBorder="1"/>
    <xf numFmtId="1" fontId="0" fillId="2" borderId="140" xfId="0" applyNumberFormat="1" applyFont="1" applyFill="1" applyBorder="1"/>
    <xf numFmtId="0" fontId="164" fillId="0" borderId="0" xfId="3" applyFont="1" applyAlignment="1">
      <alignment vertical="center"/>
    </xf>
    <xf numFmtId="0" fontId="164" fillId="0" borderId="0" xfId="3" applyFont="1" applyAlignment="1">
      <alignment horizontal="right" vertical="center"/>
    </xf>
    <xf numFmtId="0" fontId="164" fillId="0" borderId="0" xfId="3" applyFont="1" applyAlignment="1">
      <alignment horizontal="left" vertical="center"/>
    </xf>
    <xf numFmtId="4" fontId="164" fillId="0" borderId="0" xfId="3" applyNumberFormat="1" applyFont="1" applyAlignment="1">
      <alignment horizontal="right" vertical="center"/>
    </xf>
    <xf numFmtId="4" fontId="164" fillId="0" borderId="0" xfId="3" applyNumberFormat="1" applyFont="1" applyAlignment="1">
      <alignment vertical="center"/>
    </xf>
    <xf numFmtId="4" fontId="164" fillId="0" borderId="0" xfId="3" applyNumberFormat="1" applyFont="1" applyAlignment="1">
      <alignment horizontal="center" vertical="center"/>
    </xf>
    <xf numFmtId="0" fontId="165" fillId="0" borderId="0" xfId="3" applyFont="1" applyAlignment="1">
      <alignment vertical="center"/>
    </xf>
    <xf numFmtId="0" fontId="165" fillId="0" borderId="0" xfId="3" applyFont="1" applyBorder="1" applyAlignment="1">
      <alignment horizontal="center" vertical="center"/>
    </xf>
    <xf numFmtId="0" fontId="165" fillId="0" borderId="47" xfId="3" applyFont="1" applyBorder="1" applyAlignment="1">
      <alignment horizontal="center" vertical="center"/>
    </xf>
    <xf numFmtId="0" fontId="165" fillId="0" borderId="69" xfId="3" applyFont="1" applyBorder="1" applyAlignment="1">
      <alignment horizontal="center" vertical="center"/>
    </xf>
    <xf numFmtId="0" fontId="165" fillId="0" borderId="37" xfId="3" applyFont="1" applyBorder="1" applyAlignment="1">
      <alignment horizontal="center" vertical="center"/>
    </xf>
    <xf numFmtId="0" fontId="165" fillId="0" borderId="38" xfId="3" applyFont="1" applyBorder="1" applyAlignment="1">
      <alignment horizontal="center" vertical="center"/>
    </xf>
    <xf numFmtId="0" fontId="165" fillId="2" borderId="58" xfId="3" applyFont="1" applyFill="1" applyBorder="1" applyAlignment="1">
      <alignment horizontal="center" vertical="center"/>
    </xf>
    <xf numFmtId="43" fontId="165" fillId="0" borderId="59" xfId="2" applyFont="1" applyBorder="1" applyAlignment="1">
      <alignment vertical="center"/>
    </xf>
    <xf numFmtId="0" fontId="165" fillId="0" borderId="59" xfId="3" applyFont="1" applyBorder="1" applyAlignment="1">
      <alignment vertical="center"/>
    </xf>
    <xf numFmtId="0" fontId="165" fillId="0" borderId="70" xfId="3" applyFont="1" applyBorder="1" applyAlignment="1">
      <alignment vertical="center"/>
    </xf>
    <xf numFmtId="43" fontId="165" fillId="0" borderId="60" xfId="2" applyFont="1" applyBorder="1" applyAlignment="1">
      <alignment vertical="center"/>
    </xf>
    <xf numFmtId="43" fontId="165" fillId="0" borderId="60" xfId="3" applyNumberFormat="1" applyFont="1" applyBorder="1" applyAlignment="1">
      <alignment vertical="center"/>
    </xf>
    <xf numFmtId="43" fontId="165" fillId="0" borderId="71" xfId="3" applyNumberFormat="1" applyFont="1" applyBorder="1" applyAlignment="1">
      <alignment vertical="center"/>
    </xf>
    <xf numFmtId="0" fontId="165" fillId="0" borderId="61" xfId="3" applyFont="1" applyBorder="1" applyAlignment="1">
      <alignment vertical="center"/>
    </xf>
    <xf numFmtId="0" fontId="165" fillId="0" borderId="63" xfId="3" applyFont="1" applyBorder="1" applyAlignment="1">
      <alignment vertical="center"/>
    </xf>
    <xf numFmtId="0" fontId="165" fillId="0" borderId="30" xfId="3" applyFont="1" applyBorder="1" applyAlignment="1">
      <alignment vertical="center"/>
    </xf>
    <xf numFmtId="43" fontId="165" fillId="0" borderId="24" xfId="3" applyNumberFormat="1" applyFont="1" applyBorder="1" applyAlignment="1">
      <alignment vertical="center"/>
    </xf>
    <xf numFmtId="43" fontId="165" fillId="0" borderId="24" xfId="2" applyFont="1" applyBorder="1" applyAlignment="1">
      <alignment vertical="center"/>
    </xf>
    <xf numFmtId="43" fontId="165" fillId="0" borderId="25" xfId="2" applyFont="1" applyBorder="1" applyAlignment="1">
      <alignment vertical="center"/>
    </xf>
    <xf numFmtId="0" fontId="165" fillId="0" borderId="0" xfId="3" applyFont="1" applyAlignment="1">
      <alignment horizontal="left" vertical="center"/>
    </xf>
    <xf numFmtId="0" fontId="166" fillId="0" borderId="0" xfId="3" applyFont="1" applyAlignment="1">
      <alignment horizontal="left" vertical="center"/>
    </xf>
    <xf numFmtId="0" fontId="167" fillId="0" borderId="0" xfId="5" applyFont="1" applyAlignment="1">
      <alignment vertical="center"/>
    </xf>
    <xf numFmtId="0" fontId="167" fillId="0" borderId="0" xfId="5" applyFont="1" applyAlignment="1">
      <alignment horizontal="right" vertical="center"/>
    </xf>
    <xf numFmtId="4" fontId="167" fillId="0" borderId="0" xfId="5" applyNumberFormat="1" applyFont="1" applyAlignment="1">
      <alignment vertical="center"/>
    </xf>
    <xf numFmtId="4" fontId="167" fillId="0" borderId="0" xfId="5" applyNumberFormat="1" applyFont="1" applyAlignment="1">
      <alignment horizontal="center" vertical="center"/>
    </xf>
    <xf numFmtId="0" fontId="165" fillId="0" borderId="0" xfId="5" applyFont="1" applyAlignment="1">
      <alignment vertical="center"/>
    </xf>
    <xf numFmtId="0" fontId="165" fillId="0" borderId="47" xfId="5" applyFont="1" applyBorder="1" applyAlignment="1">
      <alignment horizontal="center" vertical="center"/>
    </xf>
    <xf numFmtId="0" fontId="165" fillId="0" borderId="69" xfId="5" applyFont="1" applyBorder="1" applyAlignment="1">
      <alignment horizontal="center" vertical="center"/>
    </xf>
    <xf numFmtId="0" fontId="165" fillId="0" borderId="9" xfId="5" applyFont="1" applyBorder="1" applyAlignment="1">
      <alignment horizontal="center" vertical="center"/>
    </xf>
    <xf numFmtId="0" fontId="165" fillId="0" borderId="10" xfId="5" applyFont="1" applyBorder="1" applyAlignment="1">
      <alignment horizontal="center" vertical="center"/>
    </xf>
    <xf numFmtId="0" fontId="165" fillId="2" borderId="66" xfId="5" applyFont="1" applyFill="1" applyBorder="1" applyAlignment="1">
      <alignment horizontal="center" vertical="center"/>
    </xf>
    <xf numFmtId="43" fontId="165" fillId="0" borderId="59" xfId="8" applyFont="1" applyBorder="1" applyAlignment="1">
      <alignment vertical="center"/>
    </xf>
    <xf numFmtId="0" fontId="165" fillId="0" borderId="59" xfId="5" applyFont="1" applyBorder="1" applyAlignment="1">
      <alignment vertical="center"/>
    </xf>
    <xf numFmtId="0" fontId="165" fillId="0" borderId="70" xfId="5" applyFont="1" applyBorder="1" applyAlignment="1">
      <alignment vertical="center"/>
    </xf>
    <xf numFmtId="0" fontId="165" fillId="2" borderId="58" xfId="5" applyFont="1" applyFill="1" applyBorder="1" applyAlignment="1">
      <alignment horizontal="center" vertical="center"/>
    </xf>
    <xf numFmtId="43" fontId="165" fillId="0" borderId="60" xfId="8" applyFont="1" applyBorder="1" applyAlignment="1">
      <alignment vertical="center"/>
    </xf>
    <xf numFmtId="43" fontId="165" fillId="0" borderId="60" xfId="5" applyNumberFormat="1" applyFont="1" applyBorder="1" applyAlignment="1">
      <alignment vertical="center"/>
    </xf>
    <xf numFmtId="43" fontId="165" fillId="0" borderId="71" xfId="5" applyNumberFormat="1" applyFont="1" applyBorder="1" applyAlignment="1">
      <alignment vertical="center"/>
    </xf>
    <xf numFmtId="0" fontId="165" fillId="0" borderId="61" xfId="5" applyFont="1" applyBorder="1" applyAlignment="1">
      <alignment vertical="center"/>
    </xf>
    <xf numFmtId="0" fontId="165" fillId="0" borderId="63" xfId="5" applyFont="1" applyBorder="1" applyAlignment="1">
      <alignment vertical="center"/>
    </xf>
    <xf numFmtId="43" fontId="165" fillId="0" borderId="41" xfId="8" applyFont="1" applyBorder="1" applyAlignment="1">
      <alignment vertical="center"/>
    </xf>
    <xf numFmtId="0" fontId="165" fillId="0" borderId="30" xfId="5" applyFont="1" applyBorder="1" applyAlignment="1">
      <alignment vertical="center"/>
    </xf>
    <xf numFmtId="43" fontId="165" fillId="0" borderId="24" xfId="8" applyFont="1" applyBorder="1" applyAlignment="1">
      <alignment vertical="center"/>
    </xf>
    <xf numFmtId="0" fontId="165" fillId="0" borderId="0" xfId="5" applyFont="1" applyAlignment="1">
      <alignment horizontal="left" vertical="center"/>
    </xf>
    <xf numFmtId="0" fontId="166" fillId="0" borderId="0" xfId="5" applyFont="1" applyAlignment="1">
      <alignment horizontal="left" vertical="center"/>
    </xf>
    <xf numFmtId="0" fontId="165" fillId="0" borderId="37" xfId="5" applyFont="1" applyBorder="1" applyAlignment="1">
      <alignment horizontal="center" vertical="center"/>
    </xf>
    <xf numFmtId="0" fontId="165" fillId="0" borderId="38" xfId="5" applyFont="1" applyBorder="1" applyAlignment="1">
      <alignment horizontal="center" vertical="center"/>
    </xf>
    <xf numFmtId="0" fontId="165" fillId="0" borderId="52" xfId="5" applyFont="1" applyBorder="1" applyAlignment="1">
      <alignment vertical="center"/>
    </xf>
    <xf numFmtId="0" fontId="165" fillId="0" borderId="51" xfId="5" applyFont="1" applyBorder="1" applyAlignment="1">
      <alignment vertical="center"/>
    </xf>
    <xf numFmtId="43" fontId="165" fillId="0" borderId="24" xfId="5" applyNumberFormat="1" applyFont="1" applyBorder="1" applyAlignment="1">
      <alignment vertical="center"/>
    </xf>
    <xf numFmtId="43" fontId="165" fillId="0" borderId="25" xfId="8" applyFont="1" applyBorder="1" applyAlignment="1">
      <alignment vertical="center"/>
    </xf>
    <xf numFmtId="0" fontId="167" fillId="0" borderId="0" xfId="5" applyFont="1" applyAlignment="1">
      <alignment horizontal="left" vertical="center"/>
    </xf>
    <xf numFmtId="0" fontId="171" fillId="0" borderId="0" xfId="5" applyFont="1" applyAlignment="1">
      <alignment horizontal="left" vertical="center"/>
    </xf>
    <xf numFmtId="0" fontId="172" fillId="0" borderId="0" xfId="0" applyFont="1" applyBorder="1" applyAlignment="1">
      <alignment horizontal="left" vertical="center"/>
    </xf>
    <xf numFmtId="4" fontId="173" fillId="0" borderId="0" xfId="5" applyNumberFormat="1" applyFont="1" applyAlignment="1">
      <alignment vertical="center"/>
    </xf>
    <xf numFmtId="4" fontId="173" fillId="0" borderId="0" xfId="5" applyNumberFormat="1" applyFont="1" applyAlignment="1">
      <alignment horizontal="center" vertical="center"/>
    </xf>
    <xf numFmtId="0" fontId="173" fillId="0" borderId="0" xfId="5" applyFont="1" applyAlignment="1">
      <alignment vertical="center"/>
    </xf>
    <xf numFmtId="0" fontId="173" fillId="0" borderId="0" xfId="5" applyFont="1" applyAlignment="1">
      <alignment horizontal="left" vertical="center"/>
    </xf>
    <xf numFmtId="0" fontId="174" fillId="0" borderId="47" xfId="5" applyFont="1" applyBorder="1" applyAlignment="1">
      <alignment horizontal="center" vertical="center"/>
    </xf>
    <xf numFmtId="0" fontId="174" fillId="0" borderId="69" xfId="5" applyFont="1" applyBorder="1" applyAlignment="1">
      <alignment horizontal="center" vertical="center"/>
    </xf>
    <xf numFmtId="0" fontId="174" fillId="0" borderId="37" xfId="5" applyFont="1" applyBorder="1" applyAlignment="1">
      <alignment horizontal="center" vertical="center"/>
    </xf>
    <xf numFmtId="0" fontId="174" fillId="0" borderId="38" xfId="5" applyFont="1" applyBorder="1" applyAlignment="1">
      <alignment horizontal="center" vertical="center"/>
    </xf>
    <xf numFmtId="0" fontId="174" fillId="2" borderId="58" xfId="5" applyFont="1" applyFill="1" applyBorder="1" applyAlignment="1">
      <alignment horizontal="center" vertical="center"/>
    </xf>
    <xf numFmtId="0" fontId="175" fillId="0" borderId="73" xfId="5" applyFont="1" applyBorder="1" applyAlignment="1">
      <alignment horizontal="left" vertical="center"/>
    </xf>
    <xf numFmtId="0" fontId="174" fillId="0" borderId="0" xfId="5" applyFont="1" applyAlignment="1">
      <alignment vertical="center"/>
    </xf>
    <xf numFmtId="43" fontId="174" fillId="0" borderId="59" xfId="8" applyFont="1" applyBorder="1" applyAlignment="1">
      <alignment vertical="center"/>
    </xf>
    <xf numFmtId="0" fontId="174" fillId="0" borderId="59" xfId="5" applyFont="1" applyBorder="1" applyAlignment="1">
      <alignment vertical="center"/>
    </xf>
    <xf numFmtId="0" fontId="174" fillId="0" borderId="70" xfId="5" applyFont="1" applyBorder="1" applyAlignment="1">
      <alignment vertical="center"/>
    </xf>
    <xf numFmtId="0" fontId="174" fillId="0" borderId="60" xfId="5" applyFont="1" applyBorder="1" applyAlignment="1">
      <alignment vertical="center"/>
    </xf>
    <xf numFmtId="43" fontId="174" fillId="0" borderId="60" xfId="8" applyFont="1" applyBorder="1" applyAlignment="1">
      <alignment vertical="center"/>
    </xf>
    <xf numFmtId="43" fontId="174" fillId="0" borderId="60" xfId="5" applyNumberFormat="1" applyFont="1" applyBorder="1" applyAlignment="1">
      <alignment vertical="center"/>
    </xf>
    <xf numFmtId="43" fontId="174" fillId="0" borderId="71" xfId="5" applyNumberFormat="1" applyFont="1" applyBorder="1" applyAlignment="1">
      <alignment vertical="center"/>
    </xf>
    <xf numFmtId="0" fontId="174" fillId="0" borderId="61" xfId="5" applyFont="1" applyBorder="1" applyAlignment="1">
      <alignment horizontal="center" vertical="center"/>
    </xf>
    <xf numFmtId="0" fontId="175" fillId="0" borderId="60" xfId="5" applyFont="1" applyBorder="1" applyAlignment="1">
      <alignment vertical="center"/>
    </xf>
    <xf numFmtId="0" fontId="174" fillId="0" borderId="61" xfId="5" applyFont="1" applyBorder="1" applyAlignment="1">
      <alignment horizontal="left" vertical="center"/>
    </xf>
    <xf numFmtId="0" fontId="174" fillId="0" borderId="61" xfId="5" applyFont="1" applyBorder="1" applyAlignment="1">
      <alignment vertical="center"/>
    </xf>
    <xf numFmtId="0" fontId="174" fillId="0" borderId="30" xfId="5" applyFont="1" applyBorder="1" applyAlignment="1">
      <alignment vertical="center"/>
    </xf>
    <xf numFmtId="0" fontId="174" fillId="0" borderId="52" xfId="5" applyFont="1" applyBorder="1" applyAlignment="1">
      <alignment horizontal="center" vertical="center"/>
    </xf>
    <xf numFmtId="43" fontId="174" fillId="0" borderId="24" xfId="5" applyNumberFormat="1" applyFont="1" applyBorder="1" applyAlignment="1">
      <alignment vertical="center"/>
    </xf>
    <xf numFmtId="43" fontId="174" fillId="0" borderId="24" xfId="8" applyFont="1" applyBorder="1" applyAlignment="1">
      <alignment vertical="center"/>
    </xf>
    <xf numFmtId="43" fontId="174" fillId="0" borderId="25" xfId="8" applyFont="1" applyBorder="1" applyAlignment="1">
      <alignment vertical="center"/>
    </xf>
    <xf numFmtId="0" fontId="174" fillId="0" borderId="0" xfId="5" applyFont="1" applyAlignment="1">
      <alignment horizontal="left" vertical="center"/>
    </xf>
    <xf numFmtId="0" fontId="176" fillId="0" borderId="0" xfId="5" applyFont="1" applyAlignment="1">
      <alignment horizontal="left" vertical="center"/>
    </xf>
    <xf numFmtId="0" fontId="164" fillId="0" borderId="0" xfId="3" applyFont="1" applyBorder="1" applyAlignment="1">
      <alignment horizontal="center" vertical="center"/>
    </xf>
    <xf numFmtId="0" fontId="164" fillId="0" borderId="40" xfId="3" applyFont="1" applyBorder="1" applyAlignment="1">
      <alignment horizontal="center" vertical="center"/>
    </xf>
    <xf numFmtId="0" fontId="177" fillId="0" borderId="47" xfId="5" applyFont="1" applyBorder="1" applyAlignment="1">
      <alignment horizontal="center" vertical="center"/>
    </xf>
    <xf numFmtId="0" fontId="177" fillId="0" borderId="69" xfId="5" applyFont="1" applyBorder="1" applyAlignment="1">
      <alignment horizontal="center" vertical="center"/>
    </xf>
    <xf numFmtId="0" fontId="177" fillId="0" borderId="9" xfId="5" applyFont="1" applyBorder="1" applyAlignment="1">
      <alignment horizontal="center" vertical="center"/>
    </xf>
    <xf numFmtId="0" fontId="177" fillId="0" borderId="10" xfId="5" applyFont="1" applyBorder="1" applyAlignment="1">
      <alignment horizontal="center" vertical="center"/>
    </xf>
    <xf numFmtId="0" fontId="174" fillId="2" borderId="66" xfId="5" applyFont="1" applyFill="1" applyBorder="1" applyAlignment="1">
      <alignment horizontal="center" vertical="center"/>
    </xf>
    <xf numFmtId="0" fontId="175" fillId="0" borderId="67" xfId="5" applyFont="1" applyBorder="1" applyAlignment="1">
      <alignment horizontal="left" vertical="center"/>
    </xf>
    <xf numFmtId="0" fontId="173" fillId="0" borderId="0" xfId="5" applyFont="1" applyBorder="1" applyAlignment="1">
      <alignment vertical="center"/>
    </xf>
    <xf numFmtId="0" fontId="173" fillId="0" borderId="59" xfId="5" applyFont="1" applyBorder="1" applyAlignment="1">
      <alignment vertical="center"/>
    </xf>
    <xf numFmtId="0" fontId="173" fillId="0" borderId="70" xfId="5" applyFont="1" applyBorder="1" applyAlignment="1">
      <alignment vertical="center"/>
    </xf>
    <xf numFmtId="43" fontId="177" fillId="0" borderId="60" xfId="5" applyNumberFormat="1" applyFont="1" applyBorder="1" applyAlignment="1">
      <alignment vertical="center"/>
    </xf>
    <xf numFmtId="43" fontId="177" fillId="0" borderId="71" xfId="5" applyNumberFormat="1" applyFont="1" applyBorder="1" applyAlignment="1">
      <alignment vertical="center"/>
    </xf>
    <xf numFmtId="0" fontId="177" fillId="0" borderId="30" xfId="5" applyFont="1" applyBorder="1" applyAlignment="1">
      <alignment vertical="center"/>
    </xf>
    <xf numFmtId="0" fontId="177" fillId="0" borderId="52" xfId="5" applyFont="1" applyBorder="1" applyAlignment="1">
      <alignment horizontal="center" vertical="center"/>
    </xf>
    <xf numFmtId="43" fontId="177" fillId="0" borderId="24" xfId="5" applyNumberFormat="1" applyFont="1" applyBorder="1" applyAlignment="1">
      <alignment vertical="center"/>
    </xf>
    <xf numFmtId="0" fontId="177" fillId="0" borderId="0" xfId="5" applyFont="1" applyAlignment="1">
      <alignment horizontal="left" vertical="center"/>
    </xf>
    <xf numFmtId="0" fontId="177" fillId="0" borderId="0" xfId="5" applyFont="1" applyAlignment="1">
      <alignment vertical="center"/>
    </xf>
    <xf numFmtId="0" fontId="36" fillId="0" borderId="28" xfId="0" applyFont="1" applyFill="1" applyBorder="1" applyAlignment="1">
      <alignment horizontal="left" vertical="center"/>
    </xf>
    <xf numFmtId="0" fontId="36" fillId="0" borderId="0" xfId="5" applyFont="1" applyBorder="1" applyAlignment="1">
      <alignment horizontal="center" vertical="center"/>
    </xf>
    <xf numFmtId="0" fontId="36" fillId="0" borderId="47" xfId="5" applyFont="1" applyBorder="1" applyAlignment="1">
      <alignment horizontal="center" vertical="center"/>
    </xf>
    <xf numFmtId="0" fontId="36" fillId="0" borderId="69" xfId="5" applyFont="1" applyBorder="1" applyAlignment="1">
      <alignment horizontal="center" vertical="center"/>
    </xf>
    <xf numFmtId="0" fontId="36" fillId="0" borderId="9" xfId="5" applyFont="1" applyBorder="1" applyAlignment="1">
      <alignment horizontal="center" vertical="center"/>
    </xf>
    <xf numFmtId="0" fontId="36" fillId="0" borderId="10" xfId="5" applyFont="1" applyBorder="1" applyAlignment="1">
      <alignment horizontal="center" vertical="center"/>
    </xf>
    <xf numFmtId="0" fontId="36" fillId="2" borderId="66" xfId="5" applyFont="1" applyFill="1" applyBorder="1" applyAlignment="1">
      <alignment horizontal="center" vertical="center"/>
    </xf>
    <xf numFmtId="0" fontId="36" fillId="0" borderId="0" xfId="5" applyFont="1" applyBorder="1" applyAlignment="1">
      <alignment vertical="center"/>
    </xf>
    <xf numFmtId="43" fontId="36" fillId="0" borderId="59" xfId="8" applyFont="1" applyBorder="1" applyAlignment="1">
      <alignment vertical="center"/>
    </xf>
    <xf numFmtId="0" fontId="36" fillId="0" borderId="59" xfId="5" applyFont="1" applyBorder="1" applyAlignment="1">
      <alignment vertical="center"/>
    </xf>
    <xf numFmtId="0" fontId="36" fillId="0" borderId="70" xfId="5" applyFont="1" applyBorder="1" applyAlignment="1">
      <alignment vertical="center"/>
    </xf>
    <xf numFmtId="0" fontId="36" fillId="2" borderId="58" xfId="5" applyFont="1" applyFill="1" applyBorder="1" applyAlignment="1">
      <alignment horizontal="center" vertical="center"/>
    </xf>
    <xf numFmtId="43" fontId="36" fillId="0" borderId="60" xfId="8" applyFont="1" applyBorder="1" applyAlignment="1">
      <alignment vertical="center"/>
    </xf>
    <xf numFmtId="43" fontId="36" fillId="0" borderId="60" xfId="5" applyNumberFormat="1" applyFont="1" applyBorder="1" applyAlignment="1">
      <alignment vertical="center"/>
    </xf>
    <xf numFmtId="43" fontId="36" fillId="0" borderId="71" xfId="5" applyNumberFormat="1" applyFont="1" applyBorder="1" applyAlignment="1">
      <alignment vertical="center"/>
    </xf>
    <xf numFmtId="43" fontId="37" fillId="0" borderId="60" xfId="8" applyFont="1" applyBorder="1" applyAlignment="1">
      <alignment vertical="center"/>
    </xf>
    <xf numFmtId="43" fontId="37" fillId="0" borderId="71" xfId="5" applyNumberFormat="1" applyFont="1" applyBorder="1" applyAlignment="1">
      <alignment vertical="center"/>
    </xf>
    <xf numFmtId="0" fontId="36" fillId="0" borderId="61" xfId="5" applyFont="1" applyBorder="1" applyAlignment="1">
      <alignment vertical="center"/>
    </xf>
    <xf numFmtId="0" fontId="36" fillId="0" borderId="62" xfId="5" applyFont="1" applyBorder="1" applyAlignment="1">
      <alignment vertical="center"/>
    </xf>
    <xf numFmtId="43" fontId="37" fillId="0" borderId="60" xfId="5" applyNumberFormat="1" applyFont="1" applyBorder="1" applyAlignment="1">
      <alignment vertical="center"/>
    </xf>
    <xf numFmtId="0" fontId="36" fillId="0" borderId="30" xfId="5" applyFont="1" applyBorder="1" applyAlignment="1">
      <alignment vertical="center"/>
    </xf>
    <xf numFmtId="0" fontId="36" fillId="0" borderId="52" xfId="5" applyFont="1" applyBorder="1" applyAlignment="1">
      <alignment horizontal="center" vertical="center"/>
    </xf>
    <xf numFmtId="0" fontId="36" fillId="0" borderId="51" xfId="5" applyFont="1" applyBorder="1" applyAlignment="1">
      <alignment vertical="center"/>
    </xf>
    <xf numFmtId="43" fontId="37" fillId="0" borderId="24" xfId="5" applyNumberFormat="1" applyFont="1" applyBorder="1" applyAlignment="1">
      <alignment vertical="center"/>
    </xf>
    <xf numFmtId="43" fontId="37" fillId="0" borderId="25" xfId="8" applyFont="1" applyBorder="1" applyAlignment="1">
      <alignment vertical="center"/>
    </xf>
    <xf numFmtId="0" fontId="36" fillId="0" borderId="0" xfId="5" applyFont="1" applyAlignment="1">
      <alignment horizontal="left" vertical="center"/>
    </xf>
    <xf numFmtId="0" fontId="80" fillId="0" borderId="0" xfId="5" applyFont="1" applyAlignment="1">
      <alignment horizontal="left" vertical="center"/>
    </xf>
    <xf numFmtId="0" fontId="181" fillId="0" borderId="0" xfId="0" applyFont="1" applyFill="1" applyBorder="1" applyAlignment="1">
      <alignment vertical="center"/>
    </xf>
    <xf numFmtId="0" fontId="182" fillId="0" borderId="0" xfId="0" applyFont="1" applyFill="1" applyBorder="1" applyAlignment="1">
      <alignment horizontal="left" vertical="center"/>
    </xf>
    <xf numFmtId="4" fontId="183" fillId="0" borderId="9" xfId="3" applyNumberFormat="1" applyFont="1" applyBorder="1" applyAlignment="1">
      <alignment horizontal="center" vertical="center"/>
    </xf>
    <xf numFmtId="4" fontId="183" fillId="0" borderId="10" xfId="3" applyNumberFormat="1" applyFont="1" applyBorder="1" applyAlignment="1">
      <alignment horizontal="center" vertical="center"/>
    </xf>
    <xf numFmtId="4" fontId="184" fillId="0" borderId="66" xfId="3" applyNumberFormat="1" applyFont="1" applyBorder="1" applyAlignment="1">
      <alignment horizontal="center" vertical="center"/>
    </xf>
    <xf numFmtId="4" fontId="185" fillId="0" borderId="59" xfId="3" applyNumberFormat="1" applyFont="1" applyBorder="1" applyAlignment="1">
      <alignment vertical="center"/>
    </xf>
    <xf numFmtId="4" fontId="184" fillId="0" borderId="59" xfId="3" applyNumberFormat="1" applyFont="1" applyBorder="1" applyAlignment="1">
      <alignment horizontal="center" vertical="center"/>
    </xf>
    <xf numFmtId="4" fontId="184" fillId="0" borderId="59" xfId="2" applyNumberFormat="1" applyFont="1" applyBorder="1" applyAlignment="1">
      <alignment horizontal="center" vertical="center"/>
    </xf>
    <xf numFmtId="4" fontId="184" fillId="0" borderId="70" xfId="2" applyNumberFormat="1" applyFont="1" applyBorder="1" applyAlignment="1">
      <alignment horizontal="center" vertical="center"/>
    </xf>
    <xf numFmtId="4" fontId="184" fillId="0" borderId="58" xfId="3" applyNumberFormat="1" applyFont="1" applyBorder="1" applyAlignment="1">
      <alignment horizontal="center" vertical="center"/>
    </xf>
    <xf numFmtId="4" fontId="185" fillId="0" borderId="60" xfId="3" applyNumberFormat="1" applyFont="1" applyBorder="1" applyAlignment="1">
      <alignment vertical="center"/>
    </xf>
    <xf numFmtId="4" fontId="184" fillId="0" borderId="60" xfId="3" applyNumberFormat="1" applyFont="1" applyBorder="1" applyAlignment="1">
      <alignment horizontal="center" vertical="center"/>
    </xf>
    <xf numFmtId="4" fontId="184" fillId="0" borderId="60" xfId="2" applyNumberFormat="1" applyFont="1" applyBorder="1" applyAlignment="1">
      <alignment horizontal="center" vertical="center"/>
    </xf>
    <xf numFmtId="4" fontId="184" fillId="0" borderId="71" xfId="2" applyNumberFormat="1" applyFont="1" applyBorder="1" applyAlignment="1">
      <alignment horizontal="center" vertical="center"/>
    </xf>
    <xf numFmtId="166" fontId="184" fillId="0" borderId="58" xfId="3" applyNumberFormat="1" applyFont="1" applyFill="1" applyBorder="1" applyAlignment="1">
      <alignment horizontal="center" vertical="center"/>
    </xf>
    <xf numFmtId="4" fontId="184" fillId="0" borderId="60" xfId="3" applyNumberFormat="1" applyFont="1" applyFill="1" applyBorder="1" applyAlignment="1">
      <alignment vertical="center"/>
    </xf>
    <xf numFmtId="4" fontId="184" fillId="0" borderId="60" xfId="3" applyNumberFormat="1" applyFont="1" applyFill="1" applyBorder="1" applyAlignment="1">
      <alignment horizontal="center" vertical="center"/>
    </xf>
    <xf numFmtId="4" fontId="184" fillId="0" borderId="60" xfId="2" applyNumberFormat="1" applyFont="1" applyFill="1" applyBorder="1" applyAlignment="1">
      <alignment horizontal="center" vertical="center"/>
    </xf>
    <xf numFmtId="4" fontId="184" fillId="0" borderId="71" xfId="2" applyNumberFormat="1" applyFont="1" applyFill="1" applyBorder="1" applyAlignment="1">
      <alignment horizontal="center" vertical="center"/>
    </xf>
    <xf numFmtId="166" fontId="184" fillId="0" borderId="58" xfId="5" applyNumberFormat="1" applyFont="1" applyFill="1" applyBorder="1" applyAlignment="1">
      <alignment horizontal="center" vertical="center"/>
    </xf>
    <xf numFmtId="4" fontId="184" fillId="0" borderId="60" xfId="5" applyNumberFormat="1" applyFont="1" applyFill="1" applyBorder="1" applyAlignment="1">
      <alignment vertical="center"/>
    </xf>
    <xf numFmtId="4" fontId="183" fillId="0" borderId="30" xfId="3" applyNumberFormat="1" applyFont="1" applyFill="1" applyBorder="1" applyAlignment="1">
      <alignment horizontal="center" vertical="center"/>
    </xf>
    <xf numFmtId="4" fontId="183" fillId="0" borderId="24" xfId="3" applyNumberFormat="1" applyFont="1" applyFill="1" applyBorder="1" applyAlignment="1">
      <alignment vertical="center"/>
    </xf>
    <xf numFmtId="4" fontId="183" fillId="0" borderId="24" xfId="3" applyNumberFormat="1" applyFont="1" applyFill="1" applyBorder="1" applyAlignment="1">
      <alignment horizontal="center" vertical="center"/>
    </xf>
    <xf numFmtId="4" fontId="183" fillId="0" borderId="24" xfId="2" applyNumberFormat="1" applyFont="1" applyFill="1" applyBorder="1" applyAlignment="1">
      <alignment horizontal="center" vertical="center"/>
    </xf>
    <xf numFmtId="4" fontId="183" fillId="0" borderId="25" xfId="2" applyNumberFormat="1" applyFont="1" applyFill="1" applyBorder="1" applyAlignment="1">
      <alignment horizontal="center" vertical="center"/>
    </xf>
    <xf numFmtId="4" fontId="184" fillId="0" borderId="58" xfId="3" applyNumberFormat="1" applyFont="1" applyFill="1" applyBorder="1" applyAlignment="1">
      <alignment horizontal="center" vertical="center"/>
    </xf>
    <xf numFmtId="4" fontId="185" fillId="0" borderId="60" xfId="3" applyNumberFormat="1" applyFont="1" applyFill="1" applyBorder="1" applyAlignment="1">
      <alignment vertical="center"/>
    </xf>
    <xf numFmtId="4" fontId="184" fillId="0" borderId="60" xfId="5" applyNumberFormat="1" applyFont="1" applyFill="1" applyBorder="1" applyAlignment="1">
      <alignment horizontal="center" vertical="center"/>
    </xf>
    <xf numFmtId="4" fontId="184" fillId="0" borderId="58" xfId="5" applyNumberFormat="1" applyFont="1" applyFill="1" applyBorder="1" applyAlignment="1">
      <alignment horizontal="center" vertical="center"/>
    </xf>
    <xf numFmtId="166" fontId="184" fillId="0" borderId="72" xfId="3" applyNumberFormat="1" applyFont="1" applyFill="1" applyBorder="1" applyAlignment="1">
      <alignment horizontal="center" vertical="center"/>
    </xf>
    <xf numFmtId="4" fontId="184" fillId="0" borderId="41" xfId="3" applyNumberFormat="1" applyFont="1" applyFill="1" applyBorder="1" applyAlignment="1">
      <alignment vertical="center" wrapText="1"/>
    </xf>
    <xf numFmtId="4" fontId="184" fillId="0" borderId="41" xfId="3" applyNumberFormat="1" applyFont="1" applyFill="1" applyBorder="1" applyAlignment="1">
      <alignment horizontal="center" vertical="center"/>
    </xf>
    <xf numFmtId="4" fontId="184" fillId="0" borderId="41" xfId="2" applyNumberFormat="1" applyFont="1" applyFill="1" applyBorder="1" applyAlignment="1">
      <alignment horizontal="center" vertical="center"/>
    </xf>
    <xf numFmtId="4" fontId="184" fillId="0" borderId="87" xfId="2" applyNumberFormat="1" applyFont="1" applyFill="1" applyBorder="1" applyAlignment="1">
      <alignment horizontal="center" vertical="center"/>
    </xf>
    <xf numFmtId="4" fontId="184" fillId="0" borderId="66" xfId="3" applyNumberFormat="1" applyFont="1" applyFill="1" applyBorder="1" applyAlignment="1">
      <alignment horizontal="center" vertical="center"/>
    </xf>
    <xf numFmtId="4" fontId="60" fillId="0" borderId="59" xfId="3" applyNumberFormat="1" applyFont="1" applyFill="1" applyBorder="1" applyAlignment="1">
      <alignment vertical="center"/>
    </xf>
    <xf numFmtId="4" fontId="184" fillId="0" borderId="59" xfId="3" applyNumberFormat="1" applyFont="1" applyFill="1" applyBorder="1" applyAlignment="1">
      <alignment horizontal="center" vertical="center"/>
    </xf>
    <xf numFmtId="4" fontId="184" fillId="0" borderId="59" xfId="2" applyNumberFormat="1" applyFont="1" applyFill="1" applyBorder="1" applyAlignment="1">
      <alignment horizontal="center" vertical="center"/>
    </xf>
    <xf numFmtId="4" fontId="184" fillId="0" borderId="70" xfId="2" applyNumberFormat="1" applyFont="1" applyFill="1" applyBorder="1" applyAlignment="1">
      <alignment horizontal="center" vertical="center"/>
    </xf>
    <xf numFmtId="4" fontId="185" fillId="0" borderId="60" xfId="3" applyNumberFormat="1" applyFont="1" applyFill="1" applyBorder="1" applyAlignment="1">
      <alignment horizontal="left" vertical="center"/>
    </xf>
    <xf numFmtId="4" fontId="184" fillId="0" borderId="60" xfId="5" applyNumberFormat="1" applyFont="1" applyFill="1" applyBorder="1" applyAlignment="1">
      <alignment horizontal="justify" vertical="center" wrapText="1"/>
    </xf>
    <xf numFmtId="4" fontId="184" fillId="0" borderId="60" xfId="5" applyNumberFormat="1" applyFont="1" applyFill="1" applyBorder="1" applyAlignment="1" applyProtection="1">
      <alignment horizontal="justify" vertical="center" wrapText="1"/>
    </xf>
    <xf numFmtId="4" fontId="185" fillId="0" borderId="59" xfId="3" applyNumberFormat="1" applyFont="1" applyFill="1" applyBorder="1" applyAlignment="1">
      <alignment vertical="center"/>
    </xf>
    <xf numFmtId="4" fontId="184" fillId="0" borderId="60" xfId="3" applyNumberFormat="1" applyFont="1" applyFill="1" applyBorder="1" applyAlignment="1">
      <alignment vertical="center" wrapText="1"/>
    </xf>
    <xf numFmtId="4" fontId="184" fillId="0" borderId="60" xfId="8" applyNumberFormat="1" applyFont="1" applyFill="1" applyBorder="1" applyAlignment="1">
      <alignment vertical="center"/>
    </xf>
    <xf numFmtId="4" fontId="184" fillId="0" borderId="60" xfId="5" applyNumberFormat="1" applyFont="1" applyFill="1" applyBorder="1" applyAlignment="1">
      <alignment vertical="center" wrapText="1"/>
    </xf>
    <xf numFmtId="4" fontId="184" fillId="0" borderId="90" xfId="3" applyNumberFormat="1" applyFont="1" applyFill="1" applyBorder="1" applyAlignment="1">
      <alignment horizontal="center" vertical="center"/>
    </xf>
    <xf numFmtId="4" fontId="185" fillId="0" borderId="83" xfId="3" applyNumberFormat="1" applyFont="1" applyFill="1" applyBorder="1" applyAlignment="1">
      <alignment vertical="center"/>
    </xf>
    <xf numFmtId="4" fontId="184" fillId="0" borderId="83" xfId="3" applyNumberFormat="1" applyFont="1" applyFill="1" applyBorder="1" applyAlignment="1">
      <alignment horizontal="center" vertical="center"/>
    </xf>
    <xf numFmtId="4" fontId="184" fillId="0" borderId="91" xfId="2" applyNumberFormat="1" applyFont="1" applyFill="1" applyBorder="1" applyAlignment="1">
      <alignment horizontal="center" vertical="center"/>
    </xf>
    <xf numFmtId="4" fontId="188" fillId="0" borderId="60" xfId="5" applyNumberFormat="1" applyFont="1" applyFill="1" applyBorder="1" applyAlignment="1">
      <alignment vertical="center"/>
    </xf>
    <xf numFmtId="0" fontId="184" fillId="0" borderId="58" xfId="5" applyFont="1" applyFill="1" applyBorder="1" applyAlignment="1">
      <alignment vertical="center"/>
    </xf>
    <xf numFmtId="0" fontId="184" fillId="0" borderId="60" xfId="5" applyFont="1" applyFill="1" applyBorder="1" applyAlignment="1">
      <alignment horizontal="center" vertical="center"/>
    </xf>
    <xf numFmtId="0" fontId="184" fillId="0" borderId="58" xfId="5" applyFont="1" applyFill="1" applyBorder="1" applyAlignment="1">
      <alignment horizontal="center" vertical="center"/>
    </xf>
    <xf numFmtId="0" fontId="184" fillId="0" borderId="60" xfId="5" applyFont="1" applyFill="1" applyBorder="1" applyAlignment="1">
      <alignment horizontal="center" vertical="center" wrapText="1"/>
    </xf>
    <xf numFmtId="4" fontId="184" fillId="0" borderId="60" xfId="3" applyNumberFormat="1" applyFont="1" applyFill="1" applyBorder="1" applyAlignment="1">
      <alignment horizontal="center" vertical="center" wrapText="1"/>
    </xf>
    <xf numFmtId="4" fontId="188" fillId="0" borderId="60" xfId="3" applyNumberFormat="1" applyFont="1" applyFill="1" applyBorder="1" applyAlignment="1">
      <alignment vertical="center"/>
    </xf>
    <xf numFmtId="0" fontId="184" fillId="0" borderId="0" xfId="5" applyFont="1" applyFill="1" applyBorder="1" applyAlignment="1">
      <alignment vertical="center"/>
    </xf>
    <xf numFmtId="0" fontId="184" fillId="0" borderId="0" xfId="5" applyFont="1" applyFill="1" applyBorder="1" applyAlignment="1">
      <alignment horizontal="center" vertical="center"/>
    </xf>
    <xf numFmtId="0" fontId="184" fillId="0" borderId="12" xfId="5" applyFont="1" applyFill="1" applyBorder="1" applyAlignment="1">
      <alignment horizontal="center" vertical="center"/>
    </xf>
    <xf numFmtId="0" fontId="184" fillId="0" borderId="81" xfId="5" applyFont="1" applyFill="1" applyBorder="1" applyAlignment="1">
      <alignment horizontal="center" vertical="center"/>
    </xf>
    <xf numFmtId="0" fontId="184" fillId="0" borderId="0" xfId="5" applyFont="1" applyBorder="1" applyAlignment="1">
      <alignment vertical="center"/>
    </xf>
    <xf numFmtId="0" fontId="184" fillId="0" borderId="0" xfId="5" applyFont="1" applyBorder="1" applyAlignment="1">
      <alignment horizontal="center" vertical="center"/>
    </xf>
    <xf numFmtId="0" fontId="184" fillId="0" borderId="81" xfId="5" applyFont="1" applyBorder="1" applyAlignment="1">
      <alignment horizontal="center" vertical="center"/>
    </xf>
    <xf numFmtId="4" fontId="36" fillId="0" borderId="0" xfId="915" applyNumberFormat="1" applyFont="1" applyBorder="1" applyAlignment="1">
      <alignment horizontal="center" vertical="center"/>
    </xf>
    <xf numFmtId="0" fontId="0" fillId="0" borderId="115" xfId="0" applyBorder="1"/>
    <xf numFmtId="0" fontId="0" fillId="0" borderId="137" xfId="0" applyBorder="1"/>
    <xf numFmtId="43" fontId="0" fillId="0" borderId="6" xfId="0" applyNumberFormat="1" applyBorder="1"/>
    <xf numFmtId="0" fontId="0" fillId="0" borderId="103" xfId="0" applyBorder="1"/>
    <xf numFmtId="0" fontId="4" fillId="0" borderId="10" xfId="0" applyFont="1" applyBorder="1" applyAlignment="1">
      <alignment horizontal="right"/>
    </xf>
    <xf numFmtId="43" fontId="0" fillId="0" borderId="103" xfId="1" applyFont="1" applyBorder="1"/>
    <xf numFmtId="0" fontId="4" fillId="0" borderId="103" xfId="0" applyFont="1" applyBorder="1" applyAlignment="1">
      <alignment horizontal="right"/>
    </xf>
    <xf numFmtId="43" fontId="22" fillId="2" borderId="6" xfId="1" applyFont="1" applyFill="1" applyBorder="1"/>
    <xf numFmtId="0" fontId="22" fillId="2" borderId="6" xfId="0" applyFont="1" applyFill="1" applyBorder="1"/>
    <xf numFmtId="43" fontId="18" fillId="2" borderId="103" xfId="1" applyFont="1" applyFill="1" applyBorder="1"/>
    <xf numFmtId="43" fontId="1" fillId="0" borderId="6" xfId="1" applyFont="1" applyBorder="1"/>
    <xf numFmtId="0" fontId="0" fillId="0" borderId="8" xfId="0" applyFont="1" applyBorder="1"/>
    <xf numFmtId="0" fontId="1" fillId="0" borderId="6" xfId="0" applyFont="1" applyBorder="1"/>
    <xf numFmtId="0" fontId="22" fillId="2" borderId="116" xfId="0" applyFont="1" applyFill="1" applyBorder="1"/>
    <xf numFmtId="0" fontId="22" fillId="2" borderId="115" xfId="0" applyFont="1" applyFill="1" applyBorder="1"/>
    <xf numFmtId="173" fontId="189" fillId="2" borderId="115" xfId="0" applyNumberFormat="1" applyFont="1" applyFill="1" applyBorder="1"/>
    <xf numFmtId="0" fontId="189" fillId="0" borderId="137" xfId="0" applyFont="1" applyBorder="1" applyAlignment="1">
      <alignment horizontal="left"/>
    </xf>
    <xf numFmtId="0" fontId="22" fillId="2" borderId="5" xfId="0" applyFont="1" applyFill="1" applyBorder="1"/>
    <xf numFmtId="0" fontId="18" fillId="0" borderId="6" xfId="0" applyFont="1" applyBorder="1"/>
    <xf numFmtId="173" fontId="18" fillId="0" borderId="6" xfId="0" applyNumberFormat="1" applyFont="1" applyBorder="1"/>
    <xf numFmtId="43" fontId="19" fillId="2" borderId="6" xfId="1" applyFont="1" applyFill="1" applyBorder="1"/>
    <xf numFmtId="0" fontId="18" fillId="0" borderId="7" xfId="0" applyFont="1" applyBorder="1" applyAlignment="1">
      <alignment horizontal="center" vertical="center"/>
    </xf>
    <xf numFmtId="43" fontId="18" fillId="0" borderId="6" xfId="1" applyFont="1" applyBorder="1"/>
    <xf numFmtId="0" fontId="18" fillId="2" borderId="7" xfId="0" applyFont="1" applyFill="1" applyBorder="1" applyAlignment="1">
      <alignment horizontal="center" vertical="center"/>
    </xf>
    <xf numFmtId="43" fontId="7" fillId="2" borderId="6" xfId="1" applyFont="1" applyFill="1" applyBorder="1"/>
    <xf numFmtId="43" fontId="14" fillId="2" borderId="6" xfId="0" applyNumberFormat="1" applyFont="1" applyFill="1" applyBorder="1" applyAlignment="1">
      <alignment horizontal="right"/>
    </xf>
    <xf numFmtId="0" fontId="22" fillId="2" borderId="8" xfId="0" applyFont="1" applyFill="1" applyBorder="1"/>
    <xf numFmtId="43" fontId="22" fillId="2" borderId="103" xfId="1" applyFont="1" applyFill="1" applyBorder="1"/>
    <xf numFmtId="0" fontId="17" fillId="2" borderId="103" xfId="0" applyFont="1" applyFill="1" applyBorder="1" applyAlignment="1">
      <alignment horizontal="right"/>
    </xf>
    <xf numFmtId="0" fontId="10" fillId="0" borderId="7" xfId="0" applyFont="1" applyBorder="1"/>
    <xf numFmtId="43" fontId="22" fillId="2" borderId="6" xfId="0" applyNumberFormat="1" applyFont="1" applyFill="1" applyBorder="1"/>
    <xf numFmtId="43" fontId="7" fillId="2" borderId="6" xfId="0" applyNumberFormat="1" applyFont="1" applyFill="1" applyBorder="1" applyAlignment="1">
      <alignment horizontal="right"/>
    </xf>
    <xf numFmtId="173" fontId="190" fillId="2" borderId="6" xfId="0" applyNumberFormat="1" applyFont="1" applyFill="1" applyBorder="1" applyAlignment="1">
      <alignment horizontal="right"/>
    </xf>
    <xf numFmtId="43" fontId="189" fillId="0" borderId="7" xfId="0" applyNumberFormat="1" applyFont="1" applyBorder="1" applyAlignment="1">
      <alignment horizontal="left"/>
    </xf>
    <xf numFmtId="0" fontId="18" fillId="0" borderId="103" xfId="0" applyFont="1" applyBorder="1"/>
    <xf numFmtId="43" fontId="18" fillId="0" borderId="103" xfId="1" applyFont="1" applyBorder="1"/>
    <xf numFmtId="0" fontId="189" fillId="0" borderId="10" xfId="0" applyFont="1" applyBorder="1" applyAlignment="1">
      <alignment horizontal="right" vertical="center"/>
    </xf>
    <xf numFmtId="0" fontId="0" fillId="0" borderId="103" xfId="0" applyFont="1" applyBorder="1"/>
    <xf numFmtId="0" fontId="0" fillId="2" borderId="5" xfId="0" applyFill="1" applyBorder="1"/>
    <xf numFmtId="0" fontId="0" fillId="2" borderId="6" xfId="0" applyFill="1" applyBorder="1"/>
    <xf numFmtId="43" fontId="0" fillId="2" borderId="6" xfId="1" applyFont="1" applyFill="1" applyBorder="1"/>
    <xf numFmtId="43" fontId="0" fillId="2" borderId="6" xfId="0" applyNumberFormat="1" applyFill="1" applyBorder="1"/>
    <xf numFmtId="0" fontId="0" fillId="2" borderId="8" xfId="0" applyFont="1" applyFill="1" applyBorder="1"/>
    <xf numFmtId="43" fontId="0" fillId="2" borderId="103" xfId="1" applyFont="1" applyFill="1" applyBorder="1"/>
    <xf numFmtId="0" fontId="4" fillId="2" borderId="103" xfId="0" applyFont="1" applyFill="1" applyBorder="1" applyAlignment="1">
      <alignment horizontal="right"/>
    </xf>
    <xf numFmtId="166" fontId="89" fillId="3" borderId="77" xfId="3602" applyNumberFormat="1" applyFont="1" applyFill="1" applyBorder="1" applyAlignment="1">
      <alignment horizontal="center" vertical="center"/>
    </xf>
    <xf numFmtId="0" fontId="73" fillId="0" borderId="0" xfId="5" applyFont="1" applyBorder="1" applyAlignment="1">
      <alignment horizontal="center" vertical="center"/>
    </xf>
    <xf numFmtId="0" fontId="75" fillId="0" borderId="0" xfId="5" applyFont="1" applyAlignment="1">
      <alignment horizontal="center" vertical="center"/>
    </xf>
    <xf numFmtId="0" fontId="72" fillId="0" borderId="0" xfId="5" applyFont="1" applyAlignment="1">
      <alignment horizontal="center" vertical="center"/>
    </xf>
    <xf numFmtId="0" fontId="72" fillId="0" borderId="0" xfId="5" applyFont="1" applyAlignment="1">
      <alignment horizontal="left" vertical="center"/>
    </xf>
    <xf numFmtId="0" fontId="76" fillId="0" borderId="60" xfId="5" applyFont="1" applyFill="1" applyBorder="1" applyAlignment="1">
      <alignment horizontal="left" vertical="center"/>
    </xf>
    <xf numFmtId="0" fontId="76" fillId="0" borderId="67" xfId="5" applyFont="1" applyFill="1" applyBorder="1" applyAlignment="1">
      <alignment horizontal="left" vertical="center"/>
    </xf>
    <xf numFmtId="0" fontId="76" fillId="0" borderId="65" xfId="5" applyFont="1" applyFill="1" applyBorder="1" applyAlignment="1">
      <alignment horizontal="left" vertical="center"/>
    </xf>
    <xf numFmtId="0" fontId="70" fillId="0" borderId="60" xfId="5" applyFont="1" applyFill="1" applyBorder="1" applyAlignment="1">
      <alignment horizontal="left" vertical="center"/>
    </xf>
    <xf numFmtId="0" fontId="70" fillId="0" borderId="61" xfId="5" applyFont="1" applyFill="1" applyBorder="1" applyAlignment="1">
      <alignment horizontal="center" vertical="center"/>
    </xf>
    <xf numFmtId="0" fontId="70" fillId="0" borderId="63" xfId="5" applyFont="1" applyFill="1" applyBorder="1" applyAlignment="1">
      <alignment horizontal="center" vertical="center"/>
    </xf>
    <xf numFmtId="0" fontId="70" fillId="0" borderId="62" xfId="5" applyFont="1" applyFill="1" applyBorder="1" applyAlignment="1">
      <alignment horizontal="center" vertical="center"/>
    </xf>
    <xf numFmtId="0" fontId="70" fillId="0" borderId="0" xfId="5" applyFont="1" applyFill="1" applyAlignment="1">
      <alignment horizontal="left" vertical="center"/>
    </xf>
    <xf numFmtId="0" fontId="54" fillId="0" borderId="0" xfId="5" applyFont="1" applyFill="1" applyAlignment="1">
      <alignment horizontal="center" vertical="center"/>
    </xf>
    <xf numFmtId="0" fontId="70" fillId="0" borderId="61" xfId="5" applyFont="1" applyFill="1" applyBorder="1" applyAlignment="1">
      <alignment horizontal="left" vertical="center"/>
    </xf>
    <xf numFmtId="0" fontId="70" fillId="0" borderId="63" xfId="5" applyFont="1" applyFill="1" applyBorder="1" applyAlignment="1">
      <alignment horizontal="left" vertical="center"/>
    </xf>
    <xf numFmtId="0" fontId="72" fillId="0" borderId="0" xfId="5" applyFont="1" applyFill="1" applyAlignment="1">
      <alignment horizontal="center" vertical="center"/>
    </xf>
    <xf numFmtId="0" fontId="72" fillId="0" borderId="0" xfId="5" applyFont="1" applyFill="1" applyBorder="1" applyAlignment="1">
      <alignment horizontal="center" vertical="center"/>
    </xf>
    <xf numFmtId="0" fontId="70" fillId="0" borderId="2" xfId="5" applyFont="1" applyFill="1" applyBorder="1" applyAlignment="1">
      <alignment horizontal="center" vertical="center" wrapText="1"/>
    </xf>
    <xf numFmtId="0" fontId="70" fillId="0" borderId="5" xfId="5" applyFont="1" applyFill="1" applyBorder="1" applyAlignment="1">
      <alignment horizontal="center" vertical="center" wrapText="1"/>
    </xf>
    <xf numFmtId="0" fontId="70" fillId="0" borderId="8" xfId="5" applyFont="1" applyFill="1" applyBorder="1" applyAlignment="1">
      <alignment horizontal="center" vertical="center" wrapText="1"/>
    </xf>
    <xf numFmtId="0" fontId="70" fillId="0" borderId="21" xfId="5" applyFont="1" applyFill="1" applyBorder="1" applyAlignment="1">
      <alignment horizontal="center" vertical="center"/>
    </xf>
    <xf numFmtId="0" fontId="70" fillId="0" borderId="28" xfId="5" applyFont="1" applyFill="1" applyBorder="1" applyAlignment="1">
      <alignment horizontal="center" vertical="center"/>
    </xf>
    <xf numFmtId="0" fontId="70" fillId="0" borderId="24" xfId="5" applyFont="1" applyFill="1" applyBorder="1" applyAlignment="1">
      <alignment horizontal="center" vertical="center"/>
    </xf>
    <xf numFmtId="0" fontId="70" fillId="0" borderId="3" xfId="5" applyFont="1" applyFill="1" applyBorder="1" applyAlignment="1">
      <alignment horizontal="center" vertical="center"/>
    </xf>
    <xf numFmtId="0" fontId="70" fillId="0" borderId="4" xfId="5" applyFont="1" applyFill="1" applyBorder="1" applyAlignment="1">
      <alignment horizontal="center" vertical="center"/>
    </xf>
    <xf numFmtId="0" fontId="79" fillId="0" borderId="0" xfId="5" applyFont="1" applyFill="1" applyAlignment="1">
      <alignment horizontal="left" vertical="center"/>
    </xf>
    <xf numFmtId="0" fontId="36" fillId="0" borderId="0" xfId="0" applyFont="1" applyFill="1" applyBorder="1" applyAlignment="1">
      <alignment horizontal="left" vertical="center" wrapText="1"/>
    </xf>
    <xf numFmtId="0" fontId="35" fillId="0" borderId="0" xfId="0" applyFont="1" applyFill="1" applyBorder="1" applyAlignment="1">
      <alignment horizontal="left" vertical="center"/>
    </xf>
    <xf numFmtId="4" fontId="37" fillId="0" borderId="28" xfId="5" applyNumberFormat="1" applyFont="1" applyBorder="1" applyAlignment="1">
      <alignment horizontal="center" vertical="center" wrapText="1"/>
    </xf>
    <xf numFmtId="0" fontId="36" fillId="0" borderId="28" xfId="5" applyFont="1" applyBorder="1" applyAlignment="1">
      <alignment horizontal="center" vertical="center" wrapText="1"/>
    </xf>
    <xf numFmtId="4" fontId="37" fillId="0" borderId="28" xfId="3" applyNumberFormat="1" applyFont="1" applyBorder="1" applyAlignment="1">
      <alignment horizontal="center" vertical="center" wrapText="1"/>
    </xf>
    <xf numFmtId="4" fontId="37" fillId="3" borderId="28" xfId="5" applyNumberFormat="1" applyFont="1" applyFill="1" applyBorder="1" applyAlignment="1">
      <alignment horizontal="center" vertical="center"/>
    </xf>
    <xf numFmtId="3" fontId="126" fillId="0" borderId="0" xfId="0" applyNumberFormat="1" applyFont="1" applyFill="1" applyBorder="1" applyAlignment="1">
      <alignment horizontal="left" vertical="center"/>
    </xf>
    <xf numFmtId="4" fontId="36" fillId="0" borderId="0" xfId="7" applyNumberFormat="1" applyFont="1" applyFill="1" applyBorder="1" applyAlignment="1">
      <alignment horizontal="left" vertical="center"/>
    </xf>
    <xf numFmtId="4" fontId="36" fillId="0" borderId="0" xfId="7" applyNumberFormat="1" applyFont="1" applyFill="1" applyBorder="1" applyAlignment="1">
      <alignment horizontal="center" vertical="center"/>
    </xf>
    <xf numFmtId="3" fontId="7" fillId="0" borderId="6" xfId="915" applyNumberFormat="1" applyFont="1" applyFill="1" applyBorder="1" applyAlignment="1">
      <alignment horizontal="center" vertical="center"/>
    </xf>
    <xf numFmtId="168" fontId="36" fillId="0" borderId="0" xfId="7" applyNumberFormat="1" applyFont="1" applyFill="1" applyBorder="1" applyAlignment="1">
      <alignment horizontal="left" vertical="center"/>
    </xf>
    <xf numFmtId="0" fontId="36" fillId="0" borderId="28" xfId="0" applyFont="1" applyBorder="1" applyAlignment="1">
      <alignment horizontal="center" vertical="center"/>
    </xf>
    <xf numFmtId="0" fontId="36" fillId="0" borderId="48" xfId="0" applyFont="1" applyBorder="1" applyAlignment="1">
      <alignment horizontal="right" vertical="center"/>
    </xf>
    <xf numFmtId="0" fontId="36" fillId="0" borderId="49" xfId="0" applyFont="1" applyBorder="1" applyAlignment="1">
      <alignment horizontal="right" vertical="center"/>
    </xf>
    <xf numFmtId="0" fontId="36" fillId="0" borderId="57" xfId="0" applyFont="1" applyBorder="1" applyAlignment="1">
      <alignment horizontal="right" vertical="center"/>
    </xf>
    <xf numFmtId="0" fontId="36" fillId="0" borderId="0" xfId="0" applyFont="1" applyBorder="1" applyAlignment="1">
      <alignment horizontal="left" vertical="center"/>
    </xf>
    <xf numFmtId="0" fontId="165" fillId="0" borderId="61" xfId="3" applyFont="1" applyBorder="1" applyAlignment="1">
      <alignment horizontal="center" vertical="center"/>
    </xf>
    <xf numFmtId="0" fontId="165" fillId="0" borderId="63" xfId="3" applyFont="1" applyBorder="1" applyAlignment="1">
      <alignment horizontal="center" vertical="center"/>
    </xf>
    <xf numFmtId="0" fontId="165" fillId="0" borderId="52" xfId="3" applyFont="1" applyBorder="1" applyAlignment="1">
      <alignment horizontal="center" vertical="center"/>
    </xf>
    <xf numFmtId="0" fontId="165" fillId="0" borderId="51" xfId="3" applyFont="1" applyBorder="1" applyAlignment="1">
      <alignment horizontal="center" vertical="center"/>
    </xf>
    <xf numFmtId="0" fontId="165" fillId="0" borderId="0" xfId="3" applyFont="1" applyAlignment="1">
      <alignment horizontal="left" vertical="center"/>
    </xf>
    <xf numFmtId="0" fontId="165" fillId="0" borderId="0" xfId="3" applyFont="1" applyAlignment="1">
      <alignment horizontal="center" vertical="center"/>
    </xf>
    <xf numFmtId="0" fontId="165" fillId="0" borderId="60" xfId="3" applyFont="1" applyBorder="1" applyAlignment="1">
      <alignment vertical="center"/>
    </xf>
    <xf numFmtId="0" fontId="165" fillId="0" borderId="73" xfId="3" applyFont="1" applyBorder="1" applyAlignment="1">
      <alignment horizontal="left" vertical="center"/>
    </xf>
    <xf numFmtId="0" fontId="165" fillId="0" borderId="74" xfId="3" applyFont="1" applyBorder="1" applyAlignment="1">
      <alignment horizontal="left" vertical="center"/>
    </xf>
    <xf numFmtId="0" fontId="165" fillId="0" borderId="61" xfId="3" applyFont="1" applyBorder="1" applyAlignment="1">
      <alignment horizontal="left" vertical="center"/>
    </xf>
    <xf numFmtId="0" fontId="165" fillId="0" borderId="63" xfId="3" applyFont="1" applyBorder="1" applyAlignment="1">
      <alignment horizontal="left" vertical="center"/>
    </xf>
    <xf numFmtId="0" fontId="164" fillId="0" borderId="0" xfId="3" applyFont="1" applyAlignment="1">
      <alignment horizontal="center" vertical="center"/>
    </xf>
    <xf numFmtId="0" fontId="165" fillId="0" borderId="56" xfId="3" applyFont="1" applyBorder="1" applyAlignment="1">
      <alignment horizontal="center" vertical="center" wrapText="1"/>
    </xf>
    <xf numFmtId="0" fontId="165" fillId="0" borderId="5" xfId="3" applyFont="1" applyBorder="1" applyAlignment="1">
      <alignment horizontal="center" vertical="center" wrapText="1"/>
    </xf>
    <xf numFmtId="0" fontId="165" fillId="0" borderId="36" xfId="3" applyFont="1" applyBorder="1" applyAlignment="1">
      <alignment horizontal="center" vertical="center" wrapText="1"/>
    </xf>
    <xf numFmtId="0" fontId="165" fillId="0" borderId="28" xfId="3" applyFont="1" applyBorder="1" applyAlignment="1">
      <alignment horizontal="center" vertical="center"/>
    </xf>
    <xf numFmtId="0" fontId="165" fillId="0" borderId="47" xfId="3" applyFont="1" applyBorder="1" applyAlignment="1">
      <alignment horizontal="center" vertical="center"/>
    </xf>
    <xf numFmtId="0" fontId="165" fillId="0" borderId="69" xfId="3" applyFont="1" applyBorder="1" applyAlignment="1">
      <alignment horizontal="center" vertical="center"/>
    </xf>
    <xf numFmtId="0" fontId="164" fillId="0" borderId="0" xfId="3" applyFont="1" applyBorder="1" applyAlignment="1">
      <alignment horizontal="center" vertical="center"/>
    </xf>
    <xf numFmtId="4" fontId="36" fillId="3" borderId="28" xfId="3" applyNumberFormat="1" applyFont="1" applyFill="1" applyBorder="1" applyAlignment="1">
      <alignment horizontal="center" vertical="center"/>
    </xf>
    <xf numFmtId="4" fontId="80" fillId="0" borderId="0" xfId="7" applyNumberFormat="1" applyFont="1" applyFill="1" applyBorder="1" applyAlignment="1">
      <alignment horizontal="left" vertical="center"/>
    </xf>
    <xf numFmtId="0" fontId="165" fillId="0" borderId="61" xfId="5" applyFont="1" applyBorder="1" applyAlignment="1">
      <alignment horizontal="center" vertical="center"/>
    </xf>
    <xf numFmtId="0" fontId="165" fillId="0" borderId="63" xfId="5" applyFont="1" applyBorder="1" applyAlignment="1">
      <alignment horizontal="center" vertical="center"/>
    </xf>
    <xf numFmtId="0" fontId="165" fillId="0" borderId="52" xfId="5" applyFont="1" applyBorder="1" applyAlignment="1">
      <alignment horizontal="center" vertical="center"/>
    </xf>
    <xf numFmtId="0" fontId="165" fillId="0" borderId="51" xfId="5" applyFont="1" applyBorder="1" applyAlignment="1">
      <alignment horizontal="center" vertical="center"/>
    </xf>
    <xf numFmtId="0" fontId="165" fillId="0" borderId="0" xfId="5" applyFont="1" applyAlignment="1">
      <alignment horizontal="left" vertical="center"/>
    </xf>
    <xf numFmtId="0" fontId="54" fillId="0" borderId="0" xfId="5" applyFont="1" applyAlignment="1">
      <alignment horizontal="center" vertical="center"/>
    </xf>
    <xf numFmtId="0" fontId="165" fillId="0" borderId="60" xfId="5" applyFont="1" applyBorder="1" applyAlignment="1">
      <alignment vertical="center"/>
    </xf>
    <xf numFmtId="0" fontId="169" fillId="0" borderId="67" xfId="5" applyFont="1" applyBorder="1" applyAlignment="1">
      <alignment horizontal="left" vertical="center"/>
    </xf>
    <xf numFmtId="0" fontId="169" fillId="0" borderId="65" xfId="5" applyFont="1" applyBorder="1" applyAlignment="1">
      <alignment horizontal="left" vertical="center"/>
    </xf>
    <xf numFmtId="0" fontId="169" fillId="0" borderId="60" xfId="5" applyFont="1" applyBorder="1" applyAlignment="1">
      <alignment vertical="center"/>
    </xf>
    <xf numFmtId="0" fontId="165" fillId="0" borderId="61" xfId="5" applyFont="1" applyBorder="1" applyAlignment="1">
      <alignment horizontal="left" vertical="center"/>
    </xf>
    <xf numFmtId="0" fontId="165" fillId="0" borderId="63" xfId="5" applyFont="1" applyBorder="1" applyAlignment="1">
      <alignment horizontal="left" vertical="center"/>
    </xf>
    <xf numFmtId="0" fontId="165" fillId="0" borderId="2" xfId="5" applyFont="1" applyBorder="1" applyAlignment="1">
      <alignment horizontal="center" vertical="center" wrapText="1"/>
    </xf>
    <xf numFmtId="0" fontId="165" fillId="0" borderId="5" xfId="5" applyFont="1" applyBorder="1" applyAlignment="1">
      <alignment horizontal="center" vertical="center" wrapText="1"/>
    </xf>
    <xf numFmtId="0" fontId="165" fillId="0" borderId="8" xfId="5" applyFont="1" applyBorder="1" applyAlignment="1">
      <alignment horizontal="center" vertical="center" wrapText="1"/>
    </xf>
    <xf numFmtId="0" fontId="165" fillId="0" borderId="21" xfId="5" applyFont="1" applyBorder="1" applyAlignment="1">
      <alignment horizontal="center" vertical="center"/>
    </xf>
    <xf numFmtId="0" fontId="165" fillId="0" borderId="28" xfId="5" applyFont="1" applyBorder="1" applyAlignment="1">
      <alignment horizontal="center" vertical="center"/>
    </xf>
    <xf numFmtId="0" fontId="165" fillId="0" borderId="24" xfId="5" applyFont="1" applyBorder="1" applyAlignment="1">
      <alignment horizontal="center" vertical="center"/>
    </xf>
    <xf numFmtId="0" fontId="165" fillId="0" borderId="3" xfId="5" applyFont="1" applyBorder="1" applyAlignment="1">
      <alignment horizontal="center" vertical="center"/>
    </xf>
    <xf numFmtId="0" fontId="165" fillId="0" borderId="4" xfId="5" applyFont="1" applyBorder="1" applyAlignment="1">
      <alignment horizontal="center" vertical="center"/>
    </xf>
    <xf numFmtId="0" fontId="164" fillId="0" borderId="0" xfId="3" applyFont="1" applyAlignment="1">
      <alignment horizontal="left" vertical="center"/>
    </xf>
    <xf numFmtId="4" fontId="36" fillId="0" borderId="28" xfId="3" applyNumberFormat="1" applyFont="1" applyBorder="1" applyAlignment="1">
      <alignment horizontal="center" vertical="center" wrapText="1"/>
    </xf>
    <xf numFmtId="0" fontId="36" fillId="0" borderId="28" xfId="950" applyFont="1" applyBorder="1" applyAlignment="1">
      <alignment horizontal="center" vertical="center" wrapText="1"/>
    </xf>
    <xf numFmtId="4" fontId="36" fillId="0" borderId="28" xfId="950" applyNumberFormat="1" applyFont="1" applyBorder="1" applyAlignment="1">
      <alignment horizontal="center" vertical="center" wrapText="1"/>
    </xf>
    <xf numFmtId="4" fontId="37" fillId="3" borderId="28" xfId="3" applyNumberFormat="1" applyFont="1" applyFill="1" applyBorder="1" applyAlignment="1">
      <alignment horizontal="center" vertical="center"/>
    </xf>
    <xf numFmtId="0" fontId="44" fillId="0" borderId="49" xfId="0" applyFont="1" applyBorder="1" applyAlignment="1">
      <alignment horizontal="right" vertical="center"/>
    </xf>
    <xf numFmtId="0" fontId="44" fillId="0" borderId="46" xfId="0" applyFont="1" applyBorder="1" applyAlignment="1">
      <alignment horizontal="right" vertical="center"/>
    </xf>
    <xf numFmtId="0" fontId="44" fillId="0" borderId="51" xfId="0" applyFont="1" applyBorder="1" applyAlignment="1">
      <alignment horizontal="right" vertical="center"/>
    </xf>
    <xf numFmtId="0" fontId="44" fillId="0" borderId="50" xfId="0" applyFont="1" applyBorder="1" applyAlignment="1">
      <alignment horizontal="right" vertical="center"/>
    </xf>
    <xf numFmtId="0" fontId="40" fillId="0" borderId="0" xfId="0" applyFont="1" applyAlignment="1">
      <alignment horizontal="left" vertical="center"/>
    </xf>
    <xf numFmtId="0" fontId="40" fillId="0" borderId="0" xfId="0" applyFont="1" applyAlignment="1">
      <alignment horizontal="center" vertical="center"/>
    </xf>
    <xf numFmtId="0" fontId="38" fillId="0" borderId="0" xfId="0" applyFont="1" applyAlignment="1">
      <alignment horizontal="left" vertical="center"/>
    </xf>
    <xf numFmtId="0" fontId="41" fillId="0" borderId="0" xfId="0" applyFont="1" applyBorder="1" applyAlignment="1">
      <alignment horizontal="center" vertical="center"/>
    </xf>
    <xf numFmtId="0" fontId="44" fillId="0" borderId="32" xfId="0" applyFont="1" applyBorder="1" applyAlignment="1">
      <alignment horizontal="center" vertical="center"/>
    </xf>
    <xf numFmtId="0" fontId="44" fillId="0" borderId="33" xfId="0" applyFont="1" applyBorder="1" applyAlignment="1">
      <alignment horizontal="center" vertical="center"/>
    </xf>
    <xf numFmtId="0" fontId="44" fillId="0" borderId="34" xfId="0" applyFont="1" applyBorder="1" applyAlignment="1">
      <alignment horizontal="center" vertical="center"/>
    </xf>
    <xf numFmtId="0" fontId="44" fillId="0" borderId="48" xfId="0" applyFont="1" applyBorder="1" applyAlignment="1">
      <alignment horizontal="center" vertical="center"/>
    </xf>
    <xf numFmtId="0" fontId="44" fillId="0" borderId="57" xfId="0" applyFont="1" applyBorder="1" applyAlignment="1">
      <alignment horizontal="center" vertical="center"/>
    </xf>
    <xf numFmtId="0" fontId="44" fillId="0" borderId="20" xfId="0" applyFont="1" applyBorder="1" applyAlignment="1">
      <alignment horizontal="center" vertical="center"/>
    </xf>
    <xf numFmtId="0" fontId="44" fillId="0" borderId="33" xfId="0" applyFont="1" applyBorder="1" applyAlignment="1">
      <alignment horizontal="right" vertical="center"/>
    </xf>
    <xf numFmtId="0" fontId="44" fillId="0" borderId="34" xfId="0" applyFont="1" applyBorder="1" applyAlignment="1">
      <alignment horizontal="right" vertical="center"/>
    </xf>
    <xf numFmtId="0" fontId="44" fillId="0" borderId="26" xfId="0" applyFont="1" applyBorder="1" applyAlignment="1">
      <alignment horizontal="center" vertical="center"/>
    </xf>
    <xf numFmtId="0" fontId="44" fillId="0" borderId="30" xfId="0" applyFont="1" applyBorder="1" applyAlignment="1">
      <alignment horizontal="center" vertical="center"/>
    </xf>
    <xf numFmtId="0" fontId="44" fillId="0" borderId="3" xfId="0" applyFont="1" applyBorder="1" applyAlignment="1">
      <alignment horizontal="center" vertical="center"/>
    </xf>
    <xf numFmtId="0" fontId="44" fillId="0" borderId="9" xfId="0" applyFont="1" applyBorder="1" applyAlignment="1">
      <alignment horizontal="center" vertical="center"/>
    </xf>
    <xf numFmtId="0" fontId="47" fillId="0" borderId="0" xfId="0" applyFont="1" applyAlignment="1">
      <alignment horizontal="center" vertical="center"/>
    </xf>
    <xf numFmtId="0" fontId="45" fillId="0" borderId="0" xfId="0" applyFont="1" applyAlignment="1">
      <alignment horizontal="center" vertical="center"/>
    </xf>
    <xf numFmtId="0" fontId="165" fillId="0" borderId="47" xfId="5" applyFont="1" applyBorder="1" applyAlignment="1">
      <alignment horizontal="center" vertical="center"/>
    </xf>
    <xf numFmtId="0" fontId="169" fillId="0" borderId="73" xfId="5" applyFont="1" applyBorder="1" applyAlignment="1">
      <alignment horizontal="left" vertical="center"/>
    </xf>
    <xf numFmtId="0" fontId="169" fillId="0" borderId="74" xfId="5" applyFont="1" applyBorder="1" applyAlignment="1">
      <alignment horizontal="left" vertical="center"/>
    </xf>
    <xf numFmtId="0" fontId="165" fillId="0" borderId="56" xfId="5" applyFont="1" applyBorder="1" applyAlignment="1">
      <alignment horizontal="center" vertical="center" wrapText="1"/>
    </xf>
    <xf numFmtId="0" fontId="165" fillId="0" borderId="36" xfId="5" applyFont="1" applyBorder="1" applyAlignment="1">
      <alignment horizontal="center" vertical="center" wrapText="1"/>
    </xf>
    <xf numFmtId="0" fontId="167" fillId="0" borderId="0" xfId="5" applyFont="1" applyAlignment="1">
      <alignment horizontal="center" vertical="center"/>
    </xf>
    <xf numFmtId="0" fontId="165" fillId="0" borderId="48" xfId="5" applyFont="1" applyBorder="1" applyAlignment="1">
      <alignment horizontal="center" vertical="center"/>
    </xf>
    <xf numFmtId="0" fontId="165" fillId="0" borderId="46" xfId="5" applyFont="1" applyBorder="1" applyAlignment="1">
      <alignment horizontal="center" vertical="center"/>
    </xf>
    <xf numFmtId="0" fontId="167" fillId="0" borderId="0" xfId="5" applyFont="1" applyAlignment="1">
      <alignment horizontal="left" vertical="center"/>
    </xf>
    <xf numFmtId="0" fontId="37" fillId="0" borderId="28" xfId="5" applyFont="1" applyBorder="1" applyAlignment="1">
      <alignment horizontal="center" vertical="center" wrapText="1"/>
    </xf>
    <xf numFmtId="0" fontId="35" fillId="0" borderId="0" xfId="0" applyFont="1" applyFill="1" applyBorder="1" applyAlignment="1">
      <alignment horizontal="center" vertical="center"/>
    </xf>
    <xf numFmtId="4" fontId="37" fillId="3" borderId="48" xfId="5" applyNumberFormat="1" applyFont="1" applyFill="1" applyBorder="1" applyAlignment="1">
      <alignment horizontal="center" vertical="center"/>
    </xf>
    <xf numFmtId="4" fontId="37" fillId="3" borderId="49" xfId="5" applyNumberFormat="1" applyFont="1" applyFill="1" applyBorder="1" applyAlignment="1">
      <alignment horizontal="center" vertical="center"/>
    </xf>
    <xf numFmtId="4" fontId="37" fillId="3" borderId="57" xfId="5" applyNumberFormat="1" applyFont="1" applyFill="1" applyBorder="1" applyAlignment="1">
      <alignment horizontal="center" vertical="center"/>
    </xf>
    <xf numFmtId="0" fontId="28" fillId="5" borderId="2" xfId="0" applyFont="1" applyFill="1" applyBorder="1" applyAlignment="1">
      <alignment horizontal="center" vertical="center"/>
    </xf>
    <xf numFmtId="0" fontId="28" fillId="5" borderId="5" xfId="0" applyFont="1" applyFill="1" applyBorder="1" applyAlignment="1">
      <alignment horizontal="center" vertical="center"/>
    </xf>
    <xf numFmtId="0" fontId="33" fillId="0" borderId="6" xfId="0" applyFont="1" applyBorder="1" applyAlignment="1">
      <alignment horizontal="center" vertical="center"/>
    </xf>
    <xf numFmtId="0" fontId="22" fillId="0" borderId="49" xfId="0" applyFont="1" applyBorder="1" applyAlignment="1">
      <alignment horizontal="right" vertical="center"/>
    </xf>
    <xf numFmtId="0" fontId="22" fillId="0" borderId="46" xfId="0" applyFont="1" applyBorder="1" applyAlignment="1">
      <alignment horizontal="right" vertical="center"/>
    </xf>
    <xf numFmtId="0" fontId="22" fillId="0" borderId="51" xfId="0" applyFont="1" applyBorder="1" applyAlignment="1">
      <alignment horizontal="right" vertical="center"/>
    </xf>
    <xf numFmtId="0" fontId="22" fillId="0" borderId="50" xfId="0" applyFont="1" applyBorder="1" applyAlignment="1">
      <alignment horizontal="right" vertical="center"/>
    </xf>
    <xf numFmtId="0" fontId="22" fillId="0" borderId="33" xfId="0" applyFont="1" applyBorder="1" applyAlignment="1">
      <alignment horizontal="right" vertical="center"/>
    </xf>
    <xf numFmtId="0" fontId="22" fillId="0" borderId="34" xfId="0" applyFont="1" applyBorder="1" applyAlignment="1">
      <alignment horizontal="right" vertical="center"/>
    </xf>
    <xf numFmtId="0" fontId="172" fillId="0" borderId="0" xfId="0" applyFont="1" applyBorder="1" applyAlignment="1">
      <alignment horizontal="left" vertical="center"/>
    </xf>
    <xf numFmtId="0" fontId="22" fillId="0" borderId="26" xfId="0" applyFont="1" applyBorder="1" applyAlignment="1">
      <alignment horizontal="center" vertical="center"/>
    </xf>
    <xf numFmtId="0" fontId="22" fillId="0" borderId="30" xfId="0" applyFont="1" applyBorder="1" applyAlignment="1">
      <alignment horizontal="center" vertical="center"/>
    </xf>
    <xf numFmtId="0" fontId="22" fillId="0" borderId="3" xfId="0" applyFont="1" applyBorder="1" applyAlignment="1">
      <alignment horizontal="center" vertical="center"/>
    </xf>
    <xf numFmtId="0" fontId="22" fillId="0" borderId="9" xfId="0" applyFont="1" applyBorder="1" applyAlignment="1">
      <alignment horizontal="center" vertical="center"/>
    </xf>
    <xf numFmtId="0" fontId="22" fillId="0" borderId="21" xfId="0" applyFont="1" applyBorder="1" applyAlignment="1">
      <alignment horizontal="center" vertical="center"/>
    </xf>
    <xf numFmtId="0" fontId="174" fillId="0" borderId="0" xfId="5" applyFont="1" applyAlignment="1">
      <alignment horizontal="center" vertical="center"/>
    </xf>
    <xf numFmtId="0" fontId="174" fillId="0" borderId="56" xfId="5" applyFont="1" applyBorder="1" applyAlignment="1">
      <alignment horizontal="center" vertical="center" wrapText="1"/>
    </xf>
    <xf numFmtId="0" fontId="174" fillId="0" borderId="5" xfId="5" applyFont="1" applyBorder="1" applyAlignment="1">
      <alignment horizontal="center" vertical="center" wrapText="1"/>
    </xf>
    <xf numFmtId="0" fontId="174" fillId="0" borderId="36" xfId="5" applyFont="1" applyBorder="1" applyAlignment="1">
      <alignment horizontal="center" vertical="center" wrapText="1"/>
    </xf>
    <xf numFmtId="0" fontId="174" fillId="0" borderId="28" xfId="5" applyFont="1" applyBorder="1" applyAlignment="1">
      <alignment horizontal="center" vertical="center"/>
    </xf>
    <xf numFmtId="0" fontId="174" fillId="0" borderId="47" xfId="5" applyFont="1" applyBorder="1" applyAlignment="1">
      <alignment horizontal="center" vertical="center"/>
    </xf>
    <xf numFmtId="0" fontId="174" fillId="0" borderId="69" xfId="5" applyFont="1" applyBorder="1" applyAlignment="1">
      <alignment horizontal="center" vertical="center"/>
    </xf>
    <xf numFmtId="0" fontId="174" fillId="0" borderId="0" xfId="5" applyFont="1" applyAlignment="1">
      <alignment horizontal="left" vertical="center"/>
    </xf>
    <xf numFmtId="4" fontId="36" fillId="3" borderId="28" xfId="5" applyNumberFormat="1" applyFont="1" applyFill="1" applyBorder="1" applyAlignment="1">
      <alignment horizontal="center" vertical="center"/>
    </xf>
    <xf numFmtId="4" fontId="37" fillId="0" borderId="28" xfId="5" applyNumberFormat="1" applyFont="1" applyFill="1" applyBorder="1" applyAlignment="1">
      <alignment horizontal="center" vertical="center"/>
    </xf>
    <xf numFmtId="0" fontId="48" fillId="0" borderId="0" xfId="0" applyFont="1" applyBorder="1" applyAlignment="1">
      <alignment horizontal="left" vertical="center"/>
    </xf>
    <xf numFmtId="0" fontId="48" fillId="0" borderId="0" xfId="0" applyFont="1" applyBorder="1" applyAlignment="1">
      <alignment horizontal="left" vertical="center" wrapText="1"/>
    </xf>
    <xf numFmtId="0" fontId="28" fillId="0" borderId="0" xfId="0" applyFont="1" applyBorder="1" applyAlignment="1">
      <alignment horizontal="left" vertical="center" wrapText="1"/>
    </xf>
    <xf numFmtId="0" fontId="22" fillId="0" borderId="32" xfId="0" applyFont="1" applyBorder="1" applyAlignment="1">
      <alignment horizontal="center" vertical="center"/>
    </xf>
    <xf numFmtId="0" fontId="22" fillId="0" borderId="33" xfId="0" applyFont="1" applyBorder="1" applyAlignment="1">
      <alignment horizontal="center" vertical="center"/>
    </xf>
    <xf numFmtId="0" fontId="22" fillId="0" borderId="20" xfId="0" applyFont="1" applyBorder="1" applyAlignment="1">
      <alignment horizontal="center" vertical="center"/>
    </xf>
    <xf numFmtId="0" fontId="22" fillId="0" borderId="33" xfId="0" applyFont="1" applyBorder="1" applyAlignment="1">
      <alignment horizontal="left" vertical="center"/>
    </xf>
    <xf numFmtId="0" fontId="22" fillId="0" borderId="34" xfId="0" applyFont="1" applyBorder="1" applyAlignment="1">
      <alignment horizontal="left" vertical="center"/>
    </xf>
    <xf numFmtId="0" fontId="28" fillId="0" borderId="0" xfId="0" applyFont="1" applyBorder="1" applyAlignment="1">
      <alignment horizontal="left" vertical="center"/>
    </xf>
    <xf numFmtId="0" fontId="57" fillId="0" borderId="33" xfId="0" applyFont="1" applyBorder="1" applyAlignment="1">
      <alignment horizontal="right" vertical="center"/>
    </xf>
    <xf numFmtId="0" fontId="57" fillId="0" borderId="20" xfId="0" applyFont="1" applyBorder="1" applyAlignment="1">
      <alignment horizontal="right" vertical="center"/>
    </xf>
    <xf numFmtId="0" fontId="57" fillId="0" borderId="26" xfId="0" applyFont="1" applyBorder="1" applyAlignment="1">
      <alignment horizontal="center" vertical="center"/>
    </xf>
    <xf numFmtId="0" fontId="57" fillId="0" borderId="30" xfId="0" applyFont="1" applyBorder="1" applyAlignment="1">
      <alignment horizontal="center" vertical="center"/>
    </xf>
    <xf numFmtId="0" fontId="57" fillId="0" borderId="3" xfId="0" applyFont="1" applyBorder="1" applyAlignment="1">
      <alignment horizontal="center" vertical="center"/>
    </xf>
    <xf numFmtId="0" fontId="57" fillId="0" borderId="9" xfId="0" applyFont="1" applyBorder="1" applyAlignment="1">
      <alignment horizontal="center" vertical="center"/>
    </xf>
    <xf numFmtId="0" fontId="57" fillId="0" borderId="32" xfId="0" applyFont="1" applyBorder="1" applyAlignment="1">
      <alignment horizontal="center" vertical="center"/>
    </xf>
    <xf numFmtId="0" fontId="57" fillId="0" borderId="33" xfId="0" applyFont="1" applyBorder="1" applyAlignment="1">
      <alignment horizontal="center" vertical="center"/>
    </xf>
    <xf numFmtId="0" fontId="57" fillId="0" borderId="20" xfId="0" applyFont="1" applyBorder="1" applyAlignment="1">
      <alignment horizontal="center" vertical="center"/>
    </xf>
    <xf numFmtId="0" fontId="57" fillId="0" borderId="33" xfId="0" applyFont="1" applyBorder="1" applyAlignment="1">
      <alignment horizontal="left" vertical="center"/>
    </xf>
    <xf numFmtId="0" fontId="57" fillId="0" borderId="34" xfId="0" applyFont="1" applyBorder="1" applyAlignment="1">
      <alignment horizontal="left" vertical="center"/>
    </xf>
    <xf numFmtId="0" fontId="57" fillId="0" borderId="21" xfId="0" applyFont="1" applyBorder="1" applyAlignment="1">
      <alignment horizontal="center" vertical="center"/>
    </xf>
    <xf numFmtId="0" fontId="57" fillId="0" borderId="24" xfId="0" applyFont="1" applyBorder="1" applyAlignment="1">
      <alignment horizontal="center" vertical="center"/>
    </xf>
    <xf numFmtId="0" fontId="57" fillId="0" borderId="2" xfId="0" applyFont="1" applyBorder="1" applyAlignment="1">
      <alignment horizontal="center" vertical="center"/>
    </xf>
    <xf numFmtId="0" fontId="57" fillId="0" borderId="8" xfId="0" applyFont="1" applyBorder="1" applyAlignment="1">
      <alignment horizontal="center" vertical="center"/>
    </xf>
    <xf numFmtId="0" fontId="60" fillId="0" borderId="0" xfId="0" applyFont="1" applyAlignment="1">
      <alignment horizontal="center" vertical="center"/>
    </xf>
    <xf numFmtId="0" fontId="57" fillId="0" borderId="49" xfId="0" applyFont="1" applyBorder="1" applyAlignment="1">
      <alignment horizontal="right" vertical="center"/>
    </xf>
    <xf numFmtId="0" fontId="57" fillId="0" borderId="57" xfId="0" applyFont="1" applyBorder="1" applyAlignment="1">
      <alignment horizontal="right" vertical="center"/>
    </xf>
    <xf numFmtId="0" fontId="57" fillId="0" borderId="51" xfId="0" applyFont="1" applyBorder="1" applyAlignment="1">
      <alignment horizontal="right" vertical="center"/>
    </xf>
    <xf numFmtId="0" fontId="57" fillId="0" borderId="23" xfId="0" applyFont="1" applyBorder="1" applyAlignment="1">
      <alignment horizontal="right" vertical="center"/>
    </xf>
    <xf numFmtId="0" fontId="57" fillId="0" borderId="46" xfId="0" applyFont="1" applyBorder="1" applyAlignment="1">
      <alignment horizontal="right" vertical="center"/>
    </xf>
    <xf numFmtId="0" fontId="57" fillId="0" borderId="34" xfId="0" applyFont="1" applyBorder="1" applyAlignment="1">
      <alignment horizontal="right" vertical="center"/>
    </xf>
    <xf numFmtId="0" fontId="161" fillId="0" borderId="0" xfId="0" applyFont="1" applyFill="1" applyBorder="1" applyAlignment="1">
      <alignment horizontal="left" vertical="center" wrapText="1"/>
    </xf>
    <xf numFmtId="4" fontId="122" fillId="0" borderId="0" xfId="8" applyNumberFormat="1" applyFont="1" applyBorder="1" applyAlignment="1">
      <alignment horizontal="center" vertical="center" wrapText="1"/>
    </xf>
    <xf numFmtId="0" fontId="30" fillId="0" borderId="0" xfId="5" applyFont="1" applyBorder="1" applyAlignment="1">
      <alignment horizontal="center" vertical="center" wrapText="1"/>
    </xf>
    <xf numFmtId="0" fontId="36" fillId="0" borderId="73" xfId="0" applyFont="1" applyBorder="1" applyAlignment="1">
      <alignment horizontal="right" vertical="center"/>
    </xf>
    <xf numFmtId="0" fontId="36" fillId="0" borderId="74" xfId="0" applyFont="1" applyBorder="1" applyAlignment="1">
      <alignment horizontal="right" vertical="center"/>
    </xf>
    <xf numFmtId="0" fontId="36" fillId="0" borderId="133" xfId="0" applyFont="1" applyBorder="1" applyAlignment="1">
      <alignment horizontal="right" vertical="center"/>
    </xf>
    <xf numFmtId="0" fontId="36" fillId="0" borderId="61" xfId="0" applyFont="1" applyBorder="1" applyAlignment="1">
      <alignment horizontal="right" vertical="center"/>
    </xf>
    <xf numFmtId="0" fontId="36" fillId="0" borderId="63" xfId="0" applyFont="1" applyBorder="1" applyAlignment="1">
      <alignment horizontal="right" vertical="center"/>
    </xf>
    <xf numFmtId="0" fontId="36" fillId="0" borderId="134" xfId="0" applyFont="1" applyBorder="1" applyAlignment="1">
      <alignment horizontal="right" vertical="center"/>
    </xf>
    <xf numFmtId="0" fontId="36" fillId="0" borderId="85" xfId="0" applyFont="1" applyBorder="1" applyAlignment="1">
      <alignment horizontal="right" vertical="center"/>
    </xf>
    <xf numFmtId="0" fontId="36" fillId="0" borderId="135" xfId="0" applyFont="1" applyBorder="1" applyAlignment="1">
      <alignment horizontal="right" vertical="center"/>
    </xf>
    <xf numFmtId="0" fontId="36" fillId="0" borderId="136" xfId="0" applyFont="1" applyBorder="1" applyAlignment="1">
      <alignment horizontal="right" vertical="center"/>
    </xf>
    <xf numFmtId="0" fontId="36" fillId="0" borderId="105" xfId="0" applyFont="1" applyBorder="1" applyAlignment="1">
      <alignment horizontal="center" vertical="center"/>
    </xf>
    <xf numFmtId="0" fontId="36" fillId="0" borderId="131" xfId="0" applyFont="1" applyBorder="1" applyAlignment="1">
      <alignment horizontal="center" vertical="center"/>
    </xf>
    <xf numFmtId="0" fontId="29" fillId="0" borderId="0" xfId="0" applyFont="1" applyAlignment="1">
      <alignment horizontal="left" vertical="center"/>
    </xf>
    <xf numFmtId="0" fontId="36" fillId="0" borderId="104" xfId="0" applyFont="1" applyBorder="1" applyAlignment="1">
      <alignment horizontal="center" vertical="center"/>
    </xf>
    <xf numFmtId="0" fontId="36" fillId="0" borderId="127" xfId="0" applyFont="1" applyBorder="1" applyAlignment="1">
      <alignment horizontal="center" vertical="center"/>
    </xf>
    <xf numFmtId="0" fontId="36" fillId="0" borderId="128" xfId="0" applyFont="1" applyBorder="1" applyAlignment="1">
      <alignment horizontal="center" vertical="center"/>
    </xf>
    <xf numFmtId="0" fontId="173" fillId="0" borderId="0" xfId="5" applyFont="1" applyAlignment="1">
      <alignment horizontal="center" vertical="center"/>
    </xf>
    <xf numFmtId="0" fontId="177" fillId="0" borderId="2" xfId="5" applyFont="1" applyBorder="1" applyAlignment="1">
      <alignment horizontal="center" vertical="center" wrapText="1"/>
    </xf>
    <xf numFmtId="0" fontId="177" fillId="0" borderId="5" xfId="5" applyFont="1" applyBorder="1" applyAlignment="1">
      <alignment horizontal="center" vertical="center" wrapText="1"/>
    </xf>
    <xf numFmtId="0" fontId="177" fillId="0" borderId="8" xfId="5" applyFont="1" applyBorder="1" applyAlignment="1">
      <alignment horizontal="center" vertical="center" wrapText="1"/>
    </xf>
    <xf numFmtId="0" fontId="177" fillId="0" borderId="21" xfId="5" applyFont="1" applyBorder="1" applyAlignment="1">
      <alignment horizontal="center" vertical="center"/>
    </xf>
    <xf numFmtId="0" fontId="177" fillId="0" borderId="28" xfId="5" applyFont="1" applyBorder="1" applyAlignment="1">
      <alignment horizontal="center" vertical="center"/>
    </xf>
    <xf numFmtId="0" fontId="177" fillId="0" borderId="24" xfId="5" applyFont="1" applyBorder="1" applyAlignment="1">
      <alignment horizontal="center" vertical="center"/>
    </xf>
    <xf numFmtId="0" fontId="177" fillId="0" borderId="3" xfId="5" applyFont="1" applyBorder="1" applyAlignment="1">
      <alignment horizontal="center" vertical="center"/>
    </xf>
    <xf numFmtId="0" fontId="177" fillId="0" borderId="4" xfId="5" applyFont="1" applyBorder="1" applyAlignment="1">
      <alignment horizontal="center" vertical="center"/>
    </xf>
    <xf numFmtId="0" fontId="179" fillId="0" borderId="0" xfId="0" applyFont="1" applyBorder="1" applyAlignment="1">
      <alignment horizontal="left" vertical="center"/>
    </xf>
    <xf numFmtId="0" fontId="179" fillId="0" borderId="0" xfId="0" applyFont="1" applyBorder="1" applyAlignment="1">
      <alignment vertical="center"/>
    </xf>
    <xf numFmtId="0" fontId="37" fillId="2" borderId="21" xfId="0" applyFont="1" applyFill="1" applyBorder="1" applyAlignment="1">
      <alignment horizontal="center" vertical="center"/>
    </xf>
    <xf numFmtId="0" fontId="37" fillId="2" borderId="24" xfId="0" applyFont="1" applyFill="1" applyBorder="1" applyAlignment="1">
      <alignment horizontal="center" vertical="center"/>
    </xf>
    <xf numFmtId="0" fontId="37" fillId="2" borderId="21" xfId="0" applyFont="1" applyFill="1" applyBorder="1" applyAlignment="1">
      <alignment horizontal="left" vertical="center"/>
    </xf>
    <xf numFmtId="0" fontId="37" fillId="2" borderId="22" xfId="0" applyFont="1" applyFill="1" applyBorder="1" applyAlignment="1">
      <alignment horizontal="left" vertical="center"/>
    </xf>
    <xf numFmtId="0" fontId="37" fillId="2" borderId="16" xfId="0" applyFont="1" applyFill="1" applyBorder="1" applyAlignment="1">
      <alignment horizontal="center" vertical="center"/>
    </xf>
    <xf numFmtId="0" fontId="37" fillId="2" borderId="17" xfId="0" applyFont="1" applyFill="1" applyBorder="1" applyAlignment="1">
      <alignment horizontal="center" vertical="center"/>
    </xf>
    <xf numFmtId="0" fontId="37" fillId="2" borderId="18" xfId="0" applyFont="1" applyFill="1" applyBorder="1" applyAlignment="1">
      <alignment horizontal="center" vertical="center"/>
    </xf>
    <xf numFmtId="0" fontId="36" fillId="0" borderId="2" xfId="0" applyFont="1" applyBorder="1" applyAlignment="1">
      <alignment horizontal="center" vertical="center"/>
    </xf>
    <xf numFmtId="0" fontId="36" fillId="0" borderId="8" xfId="0" applyFont="1" applyBorder="1" applyAlignment="1">
      <alignment horizontal="center" vertical="center"/>
    </xf>
    <xf numFmtId="0" fontId="36" fillId="0" borderId="3" xfId="0" applyFont="1" applyBorder="1" applyAlignment="1">
      <alignment horizontal="center" vertical="center"/>
    </xf>
    <xf numFmtId="0" fontId="36" fillId="0" borderId="9" xfId="0" applyFont="1" applyBorder="1" applyAlignment="1">
      <alignment horizontal="center" vertical="center"/>
    </xf>
    <xf numFmtId="0" fontId="36" fillId="0" borderId="26" xfId="0" applyFont="1" applyBorder="1" applyAlignment="1">
      <alignment horizontal="center" vertical="center"/>
    </xf>
    <xf numFmtId="0" fontId="36" fillId="0" borderId="30" xfId="0" applyFont="1" applyBorder="1" applyAlignment="1">
      <alignment horizontal="center" vertical="center"/>
    </xf>
    <xf numFmtId="0" fontId="36" fillId="0" borderId="32" xfId="0" applyFont="1" applyBorder="1" applyAlignment="1">
      <alignment horizontal="center" vertical="center"/>
    </xf>
    <xf numFmtId="0" fontId="36" fillId="0" borderId="33" xfId="0" applyFont="1" applyBorder="1" applyAlignment="1">
      <alignment horizontal="center" vertical="center"/>
    </xf>
    <xf numFmtId="0" fontId="36" fillId="0" borderId="20" xfId="0" applyFont="1" applyBorder="1" applyAlignment="1">
      <alignment horizontal="center" vertical="center"/>
    </xf>
    <xf numFmtId="0" fontId="36" fillId="0" borderId="33" xfId="0" applyFont="1" applyBorder="1" applyAlignment="1">
      <alignment horizontal="left" vertical="center"/>
    </xf>
    <xf numFmtId="0" fontId="36" fillId="0" borderId="34" xfId="0" applyFont="1" applyBorder="1" applyAlignment="1">
      <alignment horizontal="left" vertical="center"/>
    </xf>
    <xf numFmtId="0" fontId="37" fillId="2" borderId="3" xfId="0" applyFont="1" applyFill="1" applyBorder="1" applyAlignment="1">
      <alignment horizontal="center" vertical="center" wrapText="1"/>
    </xf>
    <xf numFmtId="0" fontId="37" fillId="2" borderId="103" xfId="0" applyFont="1" applyFill="1" applyBorder="1" applyAlignment="1">
      <alignment horizontal="center" vertical="center" wrapText="1"/>
    </xf>
    <xf numFmtId="0" fontId="37" fillId="2" borderId="32" xfId="0" applyFont="1" applyFill="1" applyBorder="1" applyAlignment="1">
      <alignment horizontal="center" vertical="center"/>
    </xf>
    <xf numFmtId="0" fontId="37" fillId="2" borderId="33" xfId="0" applyFont="1" applyFill="1" applyBorder="1" applyAlignment="1">
      <alignment horizontal="center" vertical="center"/>
    </xf>
    <xf numFmtId="0" fontId="37" fillId="2" borderId="34" xfId="0" applyFont="1" applyFill="1" applyBorder="1" applyAlignment="1">
      <alignment horizontal="center" vertical="center"/>
    </xf>
    <xf numFmtId="0" fontId="36" fillId="0" borderId="61" xfId="5" applyFont="1" applyBorder="1" applyAlignment="1">
      <alignment horizontal="center" vertical="center"/>
    </xf>
    <xf numFmtId="0" fontId="36" fillId="0" borderId="62" xfId="5" applyFont="1" applyBorder="1" applyAlignment="1">
      <alignment horizontal="center" vertical="center"/>
    </xf>
    <xf numFmtId="0" fontId="36" fillId="0" borderId="0" xfId="5" applyFont="1" applyAlignment="1">
      <alignment horizontal="left" vertical="center"/>
    </xf>
    <xf numFmtId="0" fontId="36" fillId="0" borderId="0" xfId="5" applyFont="1" applyAlignment="1">
      <alignment horizontal="center" vertical="center"/>
    </xf>
    <xf numFmtId="0" fontId="36" fillId="0" borderId="60" xfId="5" applyFont="1" applyBorder="1" applyAlignment="1">
      <alignment vertical="center"/>
    </xf>
    <xf numFmtId="0" fontId="36" fillId="0" borderId="2" xfId="5" applyFont="1" applyBorder="1" applyAlignment="1">
      <alignment horizontal="center" vertical="center" wrapText="1"/>
    </xf>
    <xf numFmtId="0" fontId="36" fillId="0" borderId="5" xfId="5" applyFont="1" applyBorder="1" applyAlignment="1">
      <alignment horizontal="center" vertical="center" wrapText="1"/>
    </xf>
    <xf numFmtId="0" fontId="36" fillId="0" borderId="8" xfId="5" applyFont="1" applyBorder="1" applyAlignment="1">
      <alignment horizontal="center" vertical="center" wrapText="1"/>
    </xf>
    <xf numFmtId="0" fontId="36" fillId="0" borderId="21" xfId="5" applyFont="1" applyBorder="1" applyAlignment="1">
      <alignment horizontal="center" vertical="center"/>
    </xf>
    <xf numFmtId="0" fontId="36" fillId="0" borderId="28" xfId="5" applyFont="1" applyBorder="1" applyAlignment="1">
      <alignment horizontal="center" vertical="center"/>
    </xf>
    <xf numFmtId="0" fontId="36" fillId="0" borderId="48" xfId="5" applyFont="1" applyBorder="1" applyAlignment="1">
      <alignment horizontal="center" vertical="center"/>
    </xf>
    <xf numFmtId="0" fontId="36" fillId="0" borderId="24" xfId="5" applyFont="1" applyBorder="1" applyAlignment="1">
      <alignment horizontal="center" vertical="center"/>
    </xf>
    <xf numFmtId="0" fontId="36" fillId="0" borderId="52" xfId="5" applyFont="1" applyBorder="1" applyAlignment="1">
      <alignment horizontal="center" vertical="center"/>
    </xf>
    <xf numFmtId="0" fontId="36" fillId="0" borderId="3" xfId="5" applyFont="1" applyBorder="1" applyAlignment="1">
      <alignment horizontal="center" vertical="center"/>
    </xf>
    <xf numFmtId="0" fontId="36" fillId="0" borderId="4" xfId="5" applyFont="1" applyBorder="1" applyAlignment="1">
      <alignment horizontal="center" vertical="center"/>
    </xf>
    <xf numFmtId="0" fontId="49" fillId="0" borderId="60" xfId="5" applyFont="1" applyBorder="1" applyAlignment="1">
      <alignment vertical="center"/>
    </xf>
    <xf numFmtId="0" fontId="36" fillId="0" borderId="61" xfId="5" applyFont="1" applyBorder="1" applyAlignment="1">
      <alignment horizontal="left" vertical="center"/>
    </xf>
    <xf numFmtId="0" fontId="36" fillId="0" borderId="62" xfId="5" applyFont="1" applyBorder="1" applyAlignment="1">
      <alignment horizontal="left" vertical="center"/>
    </xf>
    <xf numFmtId="0" fontId="49" fillId="0" borderId="67" xfId="5" applyFont="1" applyBorder="1" applyAlignment="1">
      <alignment horizontal="left" vertical="center"/>
    </xf>
    <xf numFmtId="0" fontId="49" fillId="0" borderId="68" xfId="5" applyFont="1" applyBorder="1" applyAlignment="1">
      <alignment horizontal="left" vertical="center"/>
    </xf>
    <xf numFmtId="0" fontId="182" fillId="0" borderId="0" xfId="0" applyFont="1" applyFill="1" applyBorder="1" applyAlignment="1">
      <alignment horizontal="left" vertical="center" wrapText="1"/>
    </xf>
    <xf numFmtId="0" fontId="181" fillId="0" borderId="0" xfId="0" applyFont="1" applyFill="1" applyBorder="1" applyAlignment="1">
      <alignment horizontal="left" vertical="center"/>
    </xf>
    <xf numFmtId="4" fontId="187" fillId="0" borderId="88" xfId="3" applyNumberFormat="1" applyFont="1" applyFill="1" applyBorder="1" applyAlignment="1">
      <alignment horizontal="left" vertical="center" wrapText="1"/>
    </xf>
    <xf numFmtId="0" fontId="183" fillId="0" borderId="82" xfId="5" applyFont="1" applyBorder="1" applyAlignment="1">
      <alignment horizontal="left" vertical="center" wrapText="1"/>
    </xf>
    <xf numFmtId="0" fontId="183" fillId="0" borderId="89" xfId="5" applyFont="1" applyBorder="1" applyAlignment="1">
      <alignment horizontal="left" vertical="center" wrapText="1"/>
    </xf>
    <xf numFmtId="4" fontId="183" fillId="0" borderId="2" xfId="5" applyNumberFormat="1" applyFont="1" applyBorder="1" applyAlignment="1">
      <alignment horizontal="center" vertical="center" wrapText="1"/>
    </xf>
    <xf numFmtId="0" fontId="183" fillId="0" borderId="8" xfId="5" applyFont="1" applyBorder="1" applyAlignment="1">
      <alignment horizontal="center" vertical="center" wrapText="1"/>
    </xf>
    <xf numFmtId="4" fontId="183" fillId="0" borderId="3" xfId="5" applyNumberFormat="1" applyFont="1" applyBorder="1" applyAlignment="1">
      <alignment horizontal="center" vertical="center" wrapText="1"/>
    </xf>
    <xf numFmtId="0" fontId="183" fillId="0" borderId="9" xfId="5" applyFont="1" applyBorder="1" applyAlignment="1">
      <alignment horizontal="center" vertical="center" wrapText="1"/>
    </xf>
    <xf numFmtId="4" fontId="183" fillId="0" borderId="32" xfId="5" applyNumberFormat="1" applyFont="1" applyBorder="1" applyAlignment="1">
      <alignment horizontal="center" vertical="center" wrapText="1"/>
    </xf>
    <xf numFmtId="4" fontId="183" fillId="0" borderId="33" xfId="5" applyNumberFormat="1" applyFont="1" applyBorder="1" applyAlignment="1">
      <alignment horizontal="center" vertical="center" wrapText="1"/>
    </xf>
    <xf numFmtId="4" fontId="183" fillId="0" borderId="34" xfId="5" applyNumberFormat="1" applyFont="1" applyBorder="1" applyAlignment="1">
      <alignment horizontal="center" vertical="center" wrapText="1"/>
    </xf>
    <xf numFmtId="4" fontId="183" fillId="0" borderId="45" xfId="3" applyNumberFormat="1" applyFont="1" applyFill="1" applyBorder="1" applyAlignment="1">
      <alignment horizontal="center" vertical="center"/>
    </xf>
    <xf numFmtId="4" fontId="183" fillId="0" borderId="51" xfId="3" applyNumberFormat="1" applyFont="1" applyFill="1" applyBorder="1" applyAlignment="1">
      <alignment horizontal="center" vertical="center"/>
    </xf>
    <xf numFmtId="4" fontId="183" fillId="0" borderId="23" xfId="3" applyNumberFormat="1" applyFont="1" applyFill="1" applyBorder="1" applyAlignment="1">
      <alignment horizontal="center" vertical="center"/>
    </xf>
    <xf numFmtId="0" fontId="36" fillId="0" borderId="12" xfId="0" applyFont="1" applyBorder="1" applyAlignment="1">
      <alignment horizontal="center" vertical="center"/>
    </xf>
    <xf numFmtId="0" fontId="36" fillId="0" borderId="19" xfId="0" applyFont="1" applyBorder="1" applyAlignment="1">
      <alignment horizontal="center" vertical="center"/>
    </xf>
    <xf numFmtId="0" fontId="36" fillId="0" borderId="0" xfId="0" applyFont="1" applyAlignment="1">
      <alignment horizontal="right" vertical="center"/>
    </xf>
    <xf numFmtId="0" fontId="36" fillId="0" borderId="15" xfId="0" applyFont="1" applyBorder="1" applyAlignment="1">
      <alignment horizontal="right" vertical="center"/>
    </xf>
    <xf numFmtId="0" fontId="36" fillId="0" borderId="12" xfId="0" applyFont="1" applyBorder="1" applyAlignment="1">
      <alignment horizontal="right" vertical="center"/>
    </xf>
    <xf numFmtId="0" fontId="36" fillId="0" borderId="19" xfId="0" applyFont="1" applyBorder="1" applyAlignment="1">
      <alignment horizontal="right" vertical="center"/>
    </xf>
    <xf numFmtId="0" fontId="72" fillId="0" borderId="0" xfId="3" applyFont="1" applyAlignment="1">
      <alignment horizontal="left" vertical="center"/>
    </xf>
    <xf numFmtId="0" fontId="72" fillId="0" borderId="0" xfId="3" applyFont="1" applyAlignment="1">
      <alignment horizontal="center" vertical="center"/>
    </xf>
    <xf numFmtId="0" fontId="72" fillId="0" borderId="0" xfId="3" applyFont="1" applyBorder="1" applyAlignment="1">
      <alignment horizontal="center" vertical="center"/>
    </xf>
    <xf numFmtId="0" fontId="31" fillId="0" borderId="0" xfId="5" applyFont="1" applyAlignment="1">
      <alignment horizontal="left" vertical="center"/>
    </xf>
    <xf numFmtId="0" fontId="31" fillId="0" borderId="0" xfId="5" applyFont="1" applyAlignment="1">
      <alignment horizontal="center" vertical="center"/>
    </xf>
    <xf numFmtId="0" fontId="31" fillId="0" borderId="2" xfId="5" applyFont="1" applyBorder="1" applyAlignment="1">
      <alignment horizontal="center" vertical="center" wrapText="1"/>
    </xf>
    <xf numFmtId="0" fontId="31" fillId="0" borderId="5" xfId="5" applyFont="1" applyBorder="1" applyAlignment="1">
      <alignment horizontal="center" vertical="center" wrapText="1"/>
    </xf>
    <xf numFmtId="0" fontId="31" fillId="0" borderId="8" xfId="5" applyFont="1" applyBorder="1" applyAlignment="1">
      <alignment horizontal="center" vertical="center" wrapText="1"/>
    </xf>
    <xf numFmtId="0" fontId="31" fillId="0" borderId="21" xfId="5" applyFont="1" applyBorder="1" applyAlignment="1">
      <alignment horizontal="center" vertical="center"/>
    </xf>
    <xf numFmtId="0" fontId="31" fillId="0" borderId="28" xfId="5" applyFont="1" applyBorder="1" applyAlignment="1">
      <alignment horizontal="center" vertical="center"/>
    </xf>
    <xf numFmtId="0" fontId="31" fillId="0" borderId="24" xfId="5" applyFont="1" applyBorder="1" applyAlignment="1">
      <alignment horizontal="center" vertical="center"/>
    </xf>
    <xf numFmtId="0" fontId="31" fillId="0" borderId="3" xfId="5" applyFont="1" applyBorder="1" applyAlignment="1">
      <alignment horizontal="center" vertical="center"/>
    </xf>
    <xf numFmtId="0" fontId="31" fillId="0" borderId="4" xfId="5" applyFont="1" applyBorder="1" applyAlignment="1">
      <alignment horizontal="center" vertical="center"/>
    </xf>
    <xf numFmtId="0" fontId="84" fillId="0" borderId="0" xfId="0" applyFont="1" applyFill="1" applyBorder="1" applyAlignment="1">
      <alignment horizontal="center" vertical="center"/>
    </xf>
    <xf numFmtId="0" fontId="81" fillId="0" borderId="0" xfId="0" applyFont="1" applyAlignment="1">
      <alignment horizontal="center" vertical="center"/>
    </xf>
    <xf numFmtId="0" fontId="36" fillId="0" borderId="34" xfId="0" applyFont="1" applyBorder="1" applyAlignment="1">
      <alignment horizontal="center" vertical="center"/>
    </xf>
    <xf numFmtId="0" fontId="64" fillId="0" borderId="0" xfId="5" applyFont="1" applyAlignment="1">
      <alignment horizontal="center"/>
    </xf>
    <xf numFmtId="0" fontId="15" fillId="0" borderId="0" xfId="5" applyFont="1" applyBorder="1" applyAlignment="1">
      <alignment horizontal="center"/>
    </xf>
    <xf numFmtId="0" fontId="15" fillId="0" borderId="56" xfId="5" applyFont="1" applyBorder="1" applyAlignment="1">
      <alignment horizontal="center" wrapText="1"/>
    </xf>
    <xf numFmtId="0" fontId="15" fillId="0" borderId="5" xfId="5" applyFont="1" applyBorder="1" applyAlignment="1">
      <alignment horizontal="center" wrapText="1"/>
    </xf>
    <xf numFmtId="0" fontId="15" fillId="0" borderId="36" xfId="5" applyFont="1" applyBorder="1" applyAlignment="1">
      <alignment horizontal="center" wrapText="1"/>
    </xf>
    <xf numFmtId="0" fontId="15" fillId="0" borderId="28" xfId="5" applyFont="1" applyBorder="1" applyAlignment="1">
      <alignment horizontal="center"/>
    </xf>
    <xf numFmtId="0" fontId="15" fillId="0" borderId="48" xfId="5" applyFont="1" applyBorder="1" applyAlignment="1">
      <alignment horizontal="center"/>
    </xf>
    <xf numFmtId="0" fontId="15" fillId="0" borderId="47" xfId="5" applyFont="1" applyBorder="1" applyAlignment="1">
      <alignment horizontal="center"/>
    </xf>
    <xf numFmtId="0" fontId="15" fillId="0" borderId="69" xfId="5" applyFont="1" applyBorder="1" applyAlignment="1">
      <alignment horizontal="center"/>
    </xf>
    <xf numFmtId="0" fontId="15" fillId="0" borderId="60" xfId="5" applyFont="1" applyBorder="1" applyAlignment="1"/>
    <xf numFmtId="0" fontId="24" fillId="0" borderId="73" xfId="5" applyFont="1" applyBorder="1" applyAlignment="1">
      <alignment horizontal="left"/>
    </xf>
    <xf numFmtId="0" fontId="24" fillId="0" borderId="74" xfId="5" applyFont="1" applyBorder="1" applyAlignment="1">
      <alignment horizontal="left"/>
    </xf>
    <xf numFmtId="0" fontId="24" fillId="0" borderId="75" xfId="5" applyFont="1" applyBorder="1" applyAlignment="1">
      <alignment horizontal="left"/>
    </xf>
    <xf numFmtId="0" fontId="15" fillId="0" borderId="61" xfId="5" applyFont="1" applyBorder="1" applyAlignment="1">
      <alignment horizontal="center"/>
    </xf>
    <xf numFmtId="0" fontId="15" fillId="0" borderId="63" xfId="5" applyFont="1" applyBorder="1" applyAlignment="1">
      <alignment horizontal="center"/>
    </xf>
    <xf numFmtId="0" fontId="15" fillId="0" borderId="62" xfId="5" applyFont="1" applyBorder="1" applyAlignment="1">
      <alignment horizontal="center"/>
    </xf>
    <xf numFmtId="0" fontId="24" fillId="0" borderId="60" xfId="5" applyFont="1" applyBorder="1" applyAlignment="1"/>
    <xf numFmtId="0" fontId="15" fillId="0" borderId="61" xfId="5" applyFont="1" applyBorder="1" applyAlignment="1">
      <alignment horizontal="left"/>
    </xf>
    <xf numFmtId="0" fontId="15" fillId="0" borderId="63" xfId="5" applyFont="1" applyBorder="1" applyAlignment="1">
      <alignment horizontal="left"/>
    </xf>
    <xf numFmtId="0" fontId="15" fillId="0" borderId="62" xfId="5" applyFont="1" applyBorder="1" applyAlignment="1">
      <alignment horizontal="left"/>
    </xf>
    <xf numFmtId="0" fontId="15" fillId="0" borderId="52" xfId="5" applyFont="1" applyBorder="1" applyAlignment="1">
      <alignment horizontal="center"/>
    </xf>
    <xf numFmtId="0" fontId="15" fillId="0" borderId="51" xfId="5" applyFont="1" applyBorder="1" applyAlignment="1">
      <alignment horizontal="center"/>
    </xf>
    <xf numFmtId="0" fontId="15" fillId="0" borderId="0" xfId="5" applyFont="1" applyAlignment="1">
      <alignment horizontal="left"/>
    </xf>
    <xf numFmtId="0" fontId="15" fillId="0" borderId="0" xfId="5" applyFont="1" applyAlignment="1">
      <alignment horizontal="center"/>
    </xf>
    <xf numFmtId="4" fontId="37" fillId="0" borderId="2" xfId="5" applyNumberFormat="1" applyFont="1" applyBorder="1" applyAlignment="1">
      <alignment horizontal="center" vertical="center" wrapText="1"/>
    </xf>
    <xf numFmtId="4" fontId="37" fillId="0" borderId="3" xfId="5" applyNumberFormat="1" applyFont="1" applyBorder="1" applyAlignment="1">
      <alignment horizontal="center" vertical="center" wrapText="1"/>
    </xf>
    <xf numFmtId="0" fontId="36" fillId="0" borderId="9" xfId="5" applyFont="1" applyBorder="1" applyAlignment="1">
      <alignment horizontal="center" vertical="center" wrapText="1"/>
    </xf>
    <xf numFmtId="4" fontId="37" fillId="0" borderId="32" xfId="5" applyNumberFormat="1" applyFont="1" applyBorder="1" applyAlignment="1">
      <alignment horizontal="center" vertical="center" wrapText="1"/>
    </xf>
    <xf numFmtId="4" fontId="37" fillId="0" borderId="33" xfId="5" applyNumberFormat="1" applyFont="1" applyBorder="1" applyAlignment="1">
      <alignment horizontal="center" vertical="center" wrapText="1"/>
    </xf>
    <xf numFmtId="4" fontId="37" fillId="0" borderId="20" xfId="5" applyNumberFormat="1" applyFont="1" applyBorder="1" applyAlignment="1">
      <alignment horizontal="center" vertical="center" wrapText="1"/>
    </xf>
    <xf numFmtId="4" fontId="37" fillId="0" borderId="34" xfId="5" applyNumberFormat="1" applyFont="1" applyBorder="1" applyAlignment="1">
      <alignment horizontal="center" vertical="center" wrapText="1"/>
    </xf>
    <xf numFmtId="4" fontId="51" fillId="0" borderId="32" xfId="5" applyNumberFormat="1" applyFont="1" applyFill="1" applyBorder="1" applyAlignment="1">
      <alignment horizontal="center" vertical="center" wrapText="1"/>
    </xf>
    <xf numFmtId="4" fontId="51" fillId="0" borderId="33" xfId="5" applyNumberFormat="1" applyFont="1" applyFill="1" applyBorder="1" applyAlignment="1">
      <alignment horizontal="center" vertical="center" wrapText="1"/>
    </xf>
    <xf numFmtId="4" fontId="51" fillId="0" borderId="20" xfId="5" applyNumberFormat="1" applyFont="1" applyFill="1" applyBorder="1" applyAlignment="1">
      <alignment horizontal="center" vertical="center" wrapText="1"/>
    </xf>
    <xf numFmtId="4" fontId="51" fillId="0" borderId="34" xfId="5" applyNumberFormat="1" applyFont="1" applyFill="1" applyBorder="1" applyAlignment="1">
      <alignment horizontal="center" vertical="center" wrapText="1"/>
    </xf>
    <xf numFmtId="4" fontId="115" fillId="0" borderId="44" xfId="0" applyNumberFormat="1" applyFont="1" applyFill="1" applyBorder="1" applyAlignment="1">
      <alignment horizontal="center" vertical="center"/>
    </xf>
    <xf numFmtId="4" fontId="115" fillId="0" borderId="49" xfId="0" applyNumberFormat="1" applyFont="1" applyFill="1" applyBorder="1" applyAlignment="1">
      <alignment horizontal="center" vertical="center"/>
    </xf>
    <xf numFmtId="4" fontId="115" fillId="0" borderId="57" xfId="0" applyNumberFormat="1" applyFont="1" applyFill="1" applyBorder="1" applyAlignment="1">
      <alignment horizontal="center" vertical="center"/>
    </xf>
    <xf numFmtId="4" fontId="115" fillId="0" borderId="16" xfId="0" applyNumberFormat="1" applyFont="1" applyFill="1" applyBorder="1" applyAlignment="1">
      <alignment horizontal="center" vertical="center"/>
    </xf>
    <xf numFmtId="4" fontId="115" fillId="0" borderId="17" xfId="0" applyNumberFormat="1" applyFont="1" applyFill="1" applyBorder="1" applyAlignment="1">
      <alignment horizontal="center" vertical="center"/>
    </xf>
    <xf numFmtId="4" fontId="115" fillId="0" borderId="18" xfId="0" applyNumberFormat="1" applyFont="1" applyFill="1" applyBorder="1" applyAlignment="1">
      <alignment horizontal="center" vertical="center"/>
    </xf>
    <xf numFmtId="4" fontId="51" fillId="0" borderId="2" xfId="5" applyNumberFormat="1" applyFont="1" applyFill="1" applyBorder="1" applyAlignment="1">
      <alignment horizontal="center" vertical="center" wrapText="1"/>
    </xf>
    <xf numFmtId="0" fontId="51" fillId="0" borderId="8" xfId="5" applyFont="1" applyFill="1" applyBorder="1" applyAlignment="1">
      <alignment horizontal="center" vertical="center" wrapText="1"/>
    </xf>
    <xf numFmtId="4" fontId="51" fillId="0" borderId="3" xfId="5" applyNumberFormat="1" applyFont="1" applyFill="1" applyBorder="1" applyAlignment="1">
      <alignment horizontal="center" vertical="center" wrapText="1"/>
    </xf>
    <xf numFmtId="0" fontId="51" fillId="0" borderId="9" xfId="5" applyFont="1" applyFill="1" applyBorder="1" applyAlignment="1">
      <alignment horizontal="center" vertical="center" wrapText="1"/>
    </xf>
    <xf numFmtId="0" fontId="36" fillId="0" borderId="0" xfId="0" applyFont="1" applyBorder="1" applyAlignment="1">
      <alignment horizontal="center" vertical="center"/>
    </xf>
    <xf numFmtId="0" fontId="36" fillId="0" borderId="15" xfId="0" applyFont="1" applyBorder="1" applyAlignment="1">
      <alignment horizontal="center" vertical="center"/>
    </xf>
    <xf numFmtId="0" fontId="15" fillId="0" borderId="2" xfId="5" applyFont="1" applyBorder="1" applyAlignment="1">
      <alignment horizontal="center" wrapText="1"/>
    </xf>
    <xf numFmtId="0" fontId="15" fillId="0" borderId="8" xfId="5" applyFont="1" applyBorder="1" applyAlignment="1">
      <alignment horizontal="center" wrapText="1"/>
    </xf>
    <xf numFmtId="0" fontId="15" fillId="0" borderId="21" xfId="5" applyFont="1" applyBorder="1" applyAlignment="1">
      <alignment horizontal="center"/>
    </xf>
    <xf numFmtId="0" fontId="15" fillId="0" borderId="24" xfId="5" applyFont="1" applyBorder="1" applyAlignment="1">
      <alignment horizontal="center"/>
    </xf>
    <xf numFmtId="0" fontId="15" fillId="0" borderId="3" xfId="5" applyFont="1" applyBorder="1" applyAlignment="1">
      <alignment horizontal="center"/>
    </xf>
    <xf numFmtId="0" fontId="15" fillId="0" borderId="4" xfId="5" applyFont="1" applyBorder="1" applyAlignment="1">
      <alignment horizontal="center"/>
    </xf>
    <xf numFmtId="4" fontId="58" fillId="0" borderId="47" xfId="5" applyNumberFormat="1" applyFont="1" applyBorder="1" applyAlignment="1">
      <alignment horizontal="center" vertical="center" wrapText="1"/>
    </xf>
    <xf numFmtId="4" fontId="58" fillId="0" borderId="37" xfId="5" applyNumberFormat="1" applyFont="1" applyBorder="1" applyAlignment="1">
      <alignment horizontal="center" vertical="center" wrapText="1"/>
    </xf>
    <xf numFmtId="4" fontId="58" fillId="0" borderId="47" xfId="5" applyNumberFormat="1" applyFont="1" applyBorder="1" applyAlignment="1">
      <alignment vertical="center" wrapText="1"/>
    </xf>
    <xf numFmtId="4" fontId="58" fillId="0" borderId="37" xfId="5" applyNumberFormat="1" applyFont="1" applyBorder="1" applyAlignment="1">
      <alignment vertical="center" wrapText="1"/>
    </xf>
    <xf numFmtId="4" fontId="58" fillId="0" borderId="48" xfId="5" applyNumberFormat="1" applyFont="1" applyBorder="1" applyAlignment="1">
      <alignment horizontal="center" vertical="center" wrapText="1"/>
    </xf>
    <xf numFmtId="4" fontId="58" fillId="0" borderId="49" xfId="5" applyNumberFormat="1" applyFont="1" applyBorder="1" applyAlignment="1">
      <alignment horizontal="center" vertical="center" wrapText="1"/>
    </xf>
    <xf numFmtId="4" fontId="58" fillId="0" borderId="57" xfId="5" applyNumberFormat="1" applyFont="1" applyBorder="1" applyAlignment="1">
      <alignment horizontal="center" vertical="center" wrapText="1"/>
    </xf>
    <xf numFmtId="0" fontId="136" fillId="0" borderId="0" xfId="0" applyFont="1" applyAlignment="1">
      <alignment horizontal="center" vertical="center"/>
    </xf>
    <xf numFmtId="3" fontId="146" fillId="0" borderId="0" xfId="0" applyNumberFormat="1" applyFont="1" applyAlignment="1">
      <alignment horizontal="right" vertical="center"/>
    </xf>
    <xf numFmtId="4" fontId="134" fillId="0" borderId="0" xfId="0" applyNumberFormat="1" applyFont="1" applyAlignment="1">
      <alignment horizontal="center" vertical="center"/>
    </xf>
    <xf numFmtId="3" fontId="139" fillId="0" borderId="119" xfId="0" applyNumberFormat="1" applyFont="1" applyBorder="1" applyAlignment="1">
      <alignment horizontal="center" vertical="center" wrapText="1"/>
    </xf>
    <xf numFmtId="3" fontId="89" fillId="0" borderId="27" xfId="0" applyNumberFormat="1" applyFont="1" applyBorder="1" applyAlignment="1">
      <alignment horizontal="center" vertical="center" wrapText="1"/>
    </xf>
    <xf numFmtId="3" fontId="89" fillId="0" borderId="30" xfId="0" applyNumberFormat="1" applyFont="1" applyBorder="1" applyAlignment="1">
      <alignment horizontal="center" vertical="center" wrapText="1"/>
    </xf>
    <xf numFmtId="4" fontId="139" fillId="0" borderId="117" xfId="0" applyNumberFormat="1" applyFont="1" applyBorder="1" applyAlignment="1">
      <alignment horizontal="center" vertical="center" wrapText="1"/>
    </xf>
    <xf numFmtId="4" fontId="89" fillId="0" borderId="28" xfId="0" applyNumberFormat="1" applyFont="1" applyBorder="1" applyAlignment="1">
      <alignment horizontal="center" vertical="center" wrapText="1"/>
    </xf>
    <xf numFmtId="4" fontId="89" fillId="0" borderId="24" xfId="0" applyNumberFormat="1" applyFont="1" applyBorder="1" applyAlignment="1">
      <alignment horizontal="center" vertical="center" wrapText="1"/>
    </xf>
    <xf numFmtId="4" fontId="139" fillId="0" borderId="117" xfId="6" applyNumberFormat="1" applyFont="1" applyBorder="1" applyAlignment="1">
      <alignment horizontal="center" vertical="center"/>
    </xf>
    <xf numFmtId="4" fontId="140" fillId="0" borderId="117" xfId="6" applyNumberFormat="1" applyFont="1" applyBorder="1" applyAlignment="1">
      <alignment horizontal="center" vertical="center"/>
    </xf>
    <xf numFmtId="4" fontId="139" fillId="0" borderId="117" xfId="0" applyNumberFormat="1" applyFont="1" applyBorder="1" applyAlignment="1">
      <alignment horizontal="center" vertical="center"/>
    </xf>
    <xf numFmtId="4" fontId="140" fillId="0" borderId="118" xfId="0" applyNumberFormat="1" applyFont="1" applyBorder="1" applyAlignment="1">
      <alignment horizontal="center" vertical="center"/>
    </xf>
    <xf numFmtId="4" fontId="140" fillId="0" borderId="28" xfId="6" applyNumberFormat="1" applyFont="1" applyBorder="1" applyAlignment="1">
      <alignment horizontal="center" vertical="center"/>
    </xf>
    <xf numFmtId="4" fontId="140" fillId="0" borderId="28" xfId="0" applyNumberFormat="1" applyFont="1" applyBorder="1" applyAlignment="1">
      <alignment horizontal="center" vertical="center"/>
    </xf>
    <xf numFmtId="4" fontId="140" fillId="0" borderId="29" xfId="0" applyNumberFormat="1" applyFont="1" applyBorder="1" applyAlignment="1">
      <alignment horizontal="center" vertical="center"/>
    </xf>
    <xf numFmtId="4" fontId="143" fillId="3" borderId="124" xfId="0" applyNumberFormat="1" applyFont="1" applyFill="1" applyBorder="1" applyAlignment="1">
      <alignment horizontal="right" vertical="center"/>
    </xf>
    <xf numFmtId="4" fontId="143" fillId="3" borderId="126" xfId="0" applyNumberFormat="1" applyFont="1" applyFill="1" applyBorder="1" applyAlignment="1">
      <alignment horizontal="right" vertical="center"/>
    </xf>
    <xf numFmtId="0" fontId="139" fillId="0" borderId="0" xfId="0" applyFont="1" applyAlignment="1">
      <alignment horizontal="center" vertical="center"/>
    </xf>
    <xf numFmtId="3" fontId="139" fillId="0" borderId="0" xfId="0" applyNumberFormat="1" applyFont="1" applyAlignment="1">
      <alignment horizontal="right" vertical="center"/>
    </xf>
    <xf numFmtId="43" fontId="139" fillId="0" borderId="0" xfId="6" applyFont="1" applyAlignment="1">
      <alignment horizontal="left" vertical="center"/>
    </xf>
    <xf numFmtId="3" fontId="146" fillId="0" borderId="0" xfId="0" applyNumberFormat="1" applyFont="1" applyAlignment="1">
      <alignment horizontal="center" vertical="center"/>
    </xf>
    <xf numFmtId="4" fontId="137" fillId="0" borderId="0" xfId="0" applyNumberFormat="1" applyFont="1" applyAlignment="1">
      <alignment horizontal="center" vertical="center"/>
    </xf>
    <xf numFmtId="4" fontId="132" fillId="0" borderId="0" xfId="0" applyNumberFormat="1" applyFont="1" applyAlignment="1">
      <alignment horizontal="center" vertical="center"/>
    </xf>
    <xf numFmtId="4" fontId="134" fillId="0" borderId="0" xfId="0" applyNumberFormat="1" applyFont="1" applyAlignment="1">
      <alignment horizontal="left" vertical="center"/>
    </xf>
    <xf numFmtId="4" fontId="115" fillId="3" borderId="28" xfId="0" applyNumberFormat="1" applyFont="1" applyFill="1" applyBorder="1" applyAlignment="1">
      <alignment horizontal="center" vertical="center" wrapText="1"/>
    </xf>
    <xf numFmtId="4" fontId="92" fillId="7" borderId="28" xfId="3602" applyNumberFormat="1" applyFont="1" applyFill="1" applyBorder="1" applyAlignment="1">
      <alignment horizontal="center" vertical="center" wrapText="1"/>
    </xf>
    <xf numFmtId="4" fontId="92" fillId="7" borderId="28" xfId="0" applyNumberFormat="1" applyFont="1" applyFill="1" applyBorder="1" applyAlignment="1">
      <alignment horizontal="center" vertical="center"/>
    </xf>
    <xf numFmtId="4" fontId="92" fillId="7" borderId="28" xfId="3602" applyNumberFormat="1" applyFont="1" applyFill="1" applyBorder="1" applyAlignment="1">
      <alignment horizontal="center" vertical="center"/>
    </xf>
    <xf numFmtId="166" fontId="92" fillId="7" borderId="28" xfId="3602" applyNumberFormat="1" applyFont="1" applyFill="1" applyBorder="1" applyAlignment="1">
      <alignment horizontal="center" vertical="center"/>
    </xf>
    <xf numFmtId="4" fontId="90" fillId="0" borderId="0" xfId="0" applyNumberFormat="1" applyFont="1" applyFill="1" applyBorder="1" applyAlignment="1">
      <alignment horizontal="left" vertical="center"/>
    </xf>
    <xf numFmtId="4" fontId="90" fillId="0" borderId="0" xfId="0" applyNumberFormat="1" applyFont="1" applyFill="1" applyBorder="1" applyAlignment="1">
      <alignment horizontal="left" vertical="center" wrapText="1"/>
    </xf>
    <xf numFmtId="4" fontId="90" fillId="0" borderId="0" xfId="0" applyNumberFormat="1" applyFont="1" applyFill="1" applyBorder="1" applyAlignment="1">
      <alignment horizontal="center" vertical="center"/>
    </xf>
    <xf numFmtId="4" fontId="93" fillId="0" borderId="119" xfId="753" applyNumberFormat="1" applyFont="1" applyFill="1" applyBorder="1" applyAlignment="1">
      <alignment horizontal="right" vertical="center"/>
    </xf>
    <xf numFmtId="4" fontId="93" fillId="0" borderId="117" xfId="753" applyNumberFormat="1" applyFont="1" applyFill="1" applyBorder="1" applyAlignment="1">
      <alignment horizontal="right" vertical="center"/>
    </xf>
    <xf numFmtId="171" fontId="93" fillId="0" borderId="27" xfId="753" applyNumberFormat="1" applyFont="1" applyFill="1" applyBorder="1" applyAlignment="1">
      <alignment horizontal="right" vertical="center"/>
    </xf>
    <xf numFmtId="171" fontId="93" fillId="0" borderId="28" xfId="753" applyNumberFormat="1" applyFont="1" applyFill="1" applyBorder="1" applyAlignment="1">
      <alignment horizontal="right" vertical="center"/>
    </xf>
    <xf numFmtId="4" fontId="91" fillId="0" borderId="30" xfId="753" applyNumberFormat="1" applyFont="1" applyFill="1" applyBorder="1" applyAlignment="1">
      <alignment horizontal="right" vertical="center"/>
    </xf>
    <xf numFmtId="4" fontId="91" fillId="0" borderId="24" xfId="753" applyNumberFormat="1" applyFont="1" applyFill="1" applyBorder="1" applyAlignment="1">
      <alignment horizontal="right" vertical="center"/>
    </xf>
    <xf numFmtId="4" fontId="91" fillId="33" borderId="121" xfId="753" applyNumberFormat="1" applyFont="1" applyFill="1" applyBorder="1" applyAlignment="1">
      <alignment horizontal="center" vertical="center" shrinkToFit="1"/>
    </xf>
    <xf numFmtId="4" fontId="91" fillId="33" borderId="122" xfId="753" applyNumberFormat="1" applyFont="1" applyFill="1" applyBorder="1" applyAlignment="1">
      <alignment horizontal="center" vertical="center" shrinkToFit="1"/>
    </xf>
    <xf numFmtId="4" fontId="91" fillId="33" borderId="123" xfId="753" applyNumberFormat="1" applyFont="1" applyFill="1" applyBorder="1" applyAlignment="1">
      <alignment horizontal="center" vertical="center" shrinkToFit="1"/>
    </xf>
    <xf numFmtId="4" fontId="91" fillId="33" borderId="119" xfId="753" applyNumberFormat="1" applyFont="1" applyFill="1" applyBorder="1" applyAlignment="1">
      <alignment horizontal="center" vertical="center" shrinkToFit="1"/>
    </xf>
    <xf numFmtId="4" fontId="91" fillId="33" borderId="30" xfId="753" applyNumberFormat="1" applyFont="1" applyFill="1" applyBorder="1" applyAlignment="1">
      <alignment horizontal="center" vertical="center" shrinkToFit="1"/>
    </xf>
    <xf numFmtId="4" fontId="91" fillId="33" borderId="117" xfId="753" applyNumberFormat="1" applyFont="1" applyFill="1" applyBorder="1" applyAlignment="1">
      <alignment horizontal="center" vertical="center" wrapText="1" shrinkToFit="1"/>
    </xf>
    <xf numFmtId="4" fontId="91" fillId="33" borderId="24" xfId="753" applyNumberFormat="1" applyFont="1" applyFill="1" applyBorder="1" applyAlignment="1">
      <alignment horizontal="center" vertical="center" wrapText="1" shrinkToFit="1"/>
    </xf>
    <xf numFmtId="166" fontId="91" fillId="33" borderId="117" xfId="753" applyNumberFormat="1" applyFont="1" applyFill="1" applyBorder="1" applyAlignment="1">
      <alignment horizontal="center" vertical="center" wrapText="1" shrinkToFit="1"/>
    </xf>
    <xf numFmtId="166" fontId="91" fillId="33" borderId="24" xfId="753" applyNumberFormat="1" applyFont="1" applyFill="1" applyBorder="1" applyAlignment="1">
      <alignment horizontal="center" vertical="center" wrapText="1" shrinkToFit="1"/>
    </xf>
    <xf numFmtId="4" fontId="91" fillId="33" borderId="117" xfId="753" applyNumberFormat="1" applyFont="1" applyFill="1" applyBorder="1" applyAlignment="1">
      <alignment horizontal="center" vertical="center" shrinkToFit="1"/>
    </xf>
    <xf numFmtId="4" fontId="91" fillId="33" borderId="24" xfId="753" applyNumberFormat="1" applyFont="1" applyFill="1" applyBorder="1" applyAlignment="1">
      <alignment horizontal="center" vertical="center" shrinkToFit="1"/>
    </xf>
    <xf numFmtId="1" fontId="90" fillId="0" borderId="0" xfId="0" applyNumberFormat="1" applyFont="1" applyBorder="1" applyAlignment="1">
      <alignment horizontal="left" vertical="center"/>
    </xf>
    <xf numFmtId="2" fontId="92" fillId="0" borderId="0" xfId="0" applyNumberFormat="1" applyFont="1" applyFill="1" applyBorder="1" applyAlignment="1">
      <alignment horizontal="left" vertical="center" wrapText="1"/>
    </xf>
    <xf numFmtId="2" fontId="92" fillId="0" borderId="0" xfId="0" applyNumberFormat="1" applyFont="1" applyFill="1" applyBorder="1" applyAlignment="1">
      <alignment horizontal="left" vertical="center"/>
    </xf>
    <xf numFmtId="2" fontId="92" fillId="0" borderId="0" xfId="7" applyNumberFormat="1" applyFont="1" applyFill="1" applyBorder="1" applyAlignment="1">
      <alignment horizontal="right" vertical="center"/>
    </xf>
  </cellXfs>
  <cellStyles count="4633">
    <cellStyle name="20% - Accent1 10" xfId="10"/>
    <cellStyle name="20% - Accent1 10 10" xfId="956"/>
    <cellStyle name="20% - Accent1 10 11" xfId="957"/>
    <cellStyle name="20% - Accent1 10 12" xfId="958"/>
    <cellStyle name="20% - Accent1 10 2" xfId="959"/>
    <cellStyle name="20% - Accent1 10 3" xfId="960"/>
    <cellStyle name="20% - Accent1 10 4" xfId="961"/>
    <cellStyle name="20% - Accent1 10 5" xfId="962"/>
    <cellStyle name="20% - Accent1 10 6" xfId="963"/>
    <cellStyle name="20% - Accent1 10 7" xfId="964"/>
    <cellStyle name="20% - Accent1 10 8" xfId="965"/>
    <cellStyle name="20% - Accent1 10 9" xfId="966"/>
    <cellStyle name="20% - Accent1 11" xfId="11"/>
    <cellStyle name="20% - Accent1 11 10" xfId="967"/>
    <cellStyle name="20% - Accent1 11 11" xfId="968"/>
    <cellStyle name="20% - Accent1 11 12" xfId="969"/>
    <cellStyle name="20% - Accent1 11 2" xfId="970"/>
    <cellStyle name="20% - Accent1 11 3" xfId="971"/>
    <cellStyle name="20% - Accent1 11 4" xfId="972"/>
    <cellStyle name="20% - Accent1 11 5" xfId="973"/>
    <cellStyle name="20% - Accent1 11 6" xfId="974"/>
    <cellStyle name="20% - Accent1 11 7" xfId="975"/>
    <cellStyle name="20% - Accent1 11 8" xfId="976"/>
    <cellStyle name="20% - Accent1 11 9" xfId="977"/>
    <cellStyle name="20% - Accent1 12" xfId="12"/>
    <cellStyle name="20% - Accent1 12 10" xfId="978"/>
    <cellStyle name="20% - Accent1 12 11" xfId="979"/>
    <cellStyle name="20% - Accent1 12 12" xfId="980"/>
    <cellStyle name="20% - Accent1 12 2" xfId="981"/>
    <cellStyle name="20% - Accent1 12 3" xfId="982"/>
    <cellStyle name="20% - Accent1 12 4" xfId="983"/>
    <cellStyle name="20% - Accent1 12 5" xfId="984"/>
    <cellStyle name="20% - Accent1 12 6" xfId="985"/>
    <cellStyle name="20% - Accent1 12 7" xfId="986"/>
    <cellStyle name="20% - Accent1 12 8" xfId="987"/>
    <cellStyle name="20% - Accent1 12 9" xfId="988"/>
    <cellStyle name="20% - Accent1 13" xfId="13"/>
    <cellStyle name="20% - Accent1 13 10" xfId="989"/>
    <cellStyle name="20% - Accent1 13 11" xfId="990"/>
    <cellStyle name="20% - Accent1 13 12" xfId="991"/>
    <cellStyle name="20% - Accent1 13 2" xfId="992"/>
    <cellStyle name="20% - Accent1 13 3" xfId="993"/>
    <cellStyle name="20% - Accent1 13 4" xfId="994"/>
    <cellStyle name="20% - Accent1 13 5" xfId="995"/>
    <cellStyle name="20% - Accent1 13 6" xfId="996"/>
    <cellStyle name="20% - Accent1 13 7" xfId="997"/>
    <cellStyle name="20% - Accent1 13 8" xfId="998"/>
    <cellStyle name="20% - Accent1 13 9" xfId="999"/>
    <cellStyle name="20% - Accent1 14" xfId="14"/>
    <cellStyle name="20% - Accent1 14 10" xfId="1000"/>
    <cellStyle name="20% - Accent1 14 11" xfId="1001"/>
    <cellStyle name="20% - Accent1 14 12" xfId="1002"/>
    <cellStyle name="20% - Accent1 14 2" xfId="1003"/>
    <cellStyle name="20% - Accent1 14 3" xfId="1004"/>
    <cellStyle name="20% - Accent1 14 4" xfId="1005"/>
    <cellStyle name="20% - Accent1 14 5" xfId="1006"/>
    <cellStyle name="20% - Accent1 14 6" xfId="1007"/>
    <cellStyle name="20% - Accent1 14 7" xfId="1008"/>
    <cellStyle name="20% - Accent1 14 8" xfId="1009"/>
    <cellStyle name="20% - Accent1 14 9" xfId="1010"/>
    <cellStyle name="20% - Accent1 15" xfId="15"/>
    <cellStyle name="20% - Accent1 15 10" xfId="1011"/>
    <cellStyle name="20% - Accent1 15 11" xfId="1012"/>
    <cellStyle name="20% - Accent1 15 12" xfId="1013"/>
    <cellStyle name="20% - Accent1 15 2" xfId="1014"/>
    <cellStyle name="20% - Accent1 15 3" xfId="1015"/>
    <cellStyle name="20% - Accent1 15 4" xfId="1016"/>
    <cellStyle name="20% - Accent1 15 5" xfId="1017"/>
    <cellStyle name="20% - Accent1 15 6" xfId="1018"/>
    <cellStyle name="20% - Accent1 15 7" xfId="1019"/>
    <cellStyle name="20% - Accent1 15 8" xfId="1020"/>
    <cellStyle name="20% - Accent1 15 9" xfId="1021"/>
    <cellStyle name="20% - Accent1 16" xfId="16"/>
    <cellStyle name="20% - Accent1 16 10" xfId="1022"/>
    <cellStyle name="20% - Accent1 16 11" xfId="1023"/>
    <cellStyle name="20% - Accent1 16 12" xfId="1024"/>
    <cellStyle name="20% - Accent1 16 2" xfId="1025"/>
    <cellStyle name="20% - Accent1 16 3" xfId="1026"/>
    <cellStyle name="20% - Accent1 16 4" xfId="1027"/>
    <cellStyle name="20% - Accent1 16 5" xfId="1028"/>
    <cellStyle name="20% - Accent1 16 6" xfId="1029"/>
    <cellStyle name="20% - Accent1 16 7" xfId="1030"/>
    <cellStyle name="20% - Accent1 16 8" xfId="1031"/>
    <cellStyle name="20% - Accent1 16 9" xfId="1032"/>
    <cellStyle name="20% - Accent1 17" xfId="17"/>
    <cellStyle name="20% - Accent1 17 10" xfId="1033"/>
    <cellStyle name="20% - Accent1 17 11" xfId="1034"/>
    <cellStyle name="20% - Accent1 17 12" xfId="1035"/>
    <cellStyle name="20% - Accent1 17 2" xfId="1036"/>
    <cellStyle name="20% - Accent1 17 3" xfId="1037"/>
    <cellStyle name="20% - Accent1 17 4" xfId="1038"/>
    <cellStyle name="20% - Accent1 17 5" xfId="1039"/>
    <cellStyle name="20% - Accent1 17 6" xfId="1040"/>
    <cellStyle name="20% - Accent1 17 7" xfId="1041"/>
    <cellStyle name="20% - Accent1 17 8" xfId="1042"/>
    <cellStyle name="20% - Accent1 17 9" xfId="1043"/>
    <cellStyle name="20% - Accent1 18" xfId="18"/>
    <cellStyle name="20% - Accent1 18 10" xfId="1044"/>
    <cellStyle name="20% - Accent1 18 11" xfId="1045"/>
    <cellStyle name="20% - Accent1 18 12" xfId="1046"/>
    <cellStyle name="20% - Accent1 18 2" xfId="1047"/>
    <cellStyle name="20% - Accent1 18 3" xfId="1048"/>
    <cellStyle name="20% - Accent1 18 4" xfId="1049"/>
    <cellStyle name="20% - Accent1 18 5" xfId="1050"/>
    <cellStyle name="20% - Accent1 18 6" xfId="1051"/>
    <cellStyle name="20% - Accent1 18 7" xfId="1052"/>
    <cellStyle name="20% - Accent1 18 8" xfId="1053"/>
    <cellStyle name="20% - Accent1 18 9" xfId="1054"/>
    <cellStyle name="20% - Accent1 19" xfId="19"/>
    <cellStyle name="20% - Accent1 19 10" xfId="1055"/>
    <cellStyle name="20% - Accent1 19 11" xfId="1056"/>
    <cellStyle name="20% - Accent1 19 12" xfId="1057"/>
    <cellStyle name="20% - Accent1 19 2" xfId="1058"/>
    <cellStyle name="20% - Accent1 19 3" xfId="1059"/>
    <cellStyle name="20% - Accent1 19 4" xfId="1060"/>
    <cellStyle name="20% - Accent1 19 5" xfId="1061"/>
    <cellStyle name="20% - Accent1 19 6" xfId="1062"/>
    <cellStyle name="20% - Accent1 19 7" xfId="1063"/>
    <cellStyle name="20% - Accent1 19 8" xfId="1064"/>
    <cellStyle name="20% - Accent1 19 9" xfId="1065"/>
    <cellStyle name="20% - Accent1 2" xfId="20"/>
    <cellStyle name="20% - Accent1 2 10" xfId="1066"/>
    <cellStyle name="20% - Accent1 2 11" xfId="1067"/>
    <cellStyle name="20% - Accent1 2 12" xfId="1068"/>
    <cellStyle name="20% - Accent1 2 2" xfId="1069"/>
    <cellStyle name="20% - Accent1 2 3" xfId="1070"/>
    <cellStyle name="20% - Accent1 2 4" xfId="1071"/>
    <cellStyle name="20% - Accent1 2 5" xfId="1072"/>
    <cellStyle name="20% - Accent1 2 6" xfId="1073"/>
    <cellStyle name="20% - Accent1 2 7" xfId="1074"/>
    <cellStyle name="20% - Accent1 2 8" xfId="1075"/>
    <cellStyle name="20% - Accent1 2 9" xfId="1076"/>
    <cellStyle name="20% - Accent1 3" xfId="21"/>
    <cellStyle name="20% - Accent1 3 10" xfId="1077"/>
    <cellStyle name="20% - Accent1 3 11" xfId="1078"/>
    <cellStyle name="20% - Accent1 3 12" xfId="1079"/>
    <cellStyle name="20% - Accent1 3 2" xfId="1080"/>
    <cellStyle name="20% - Accent1 3 3" xfId="1081"/>
    <cellStyle name="20% - Accent1 3 4" xfId="1082"/>
    <cellStyle name="20% - Accent1 3 5" xfId="1083"/>
    <cellStyle name="20% - Accent1 3 6" xfId="1084"/>
    <cellStyle name="20% - Accent1 3 7" xfId="1085"/>
    <cellStyle name="20% - Accent1 3 8" xfId="1086"/>
    <cellStyle name="20% - Accent1 3 9" xfId="1087"/>
    <cellStyle name="20% - Accent1 4" xfId="22"/>
    <cellStyle name="20% - Accent1 4 10" xfId="1088"/>
    <cellStyle name="20% - Accent1 4 11" xfId="1089"/>
    <cellStyle name="20% - Accent1 4 12" xfId="1090"/>
    <cellStyle name="20% - Accent1 4 2" xfId="1091"/>
    <cellStyle name="20% - Accent1 4 3" xfId="1092"/>
    <cellStyle name="20% - Accent1 4 4" xfId="1093"/>
    <cellStyle name="20% - Accent1 4 5" xfId="1094"/>
    <cellStyle name="20% - Accent1 4 6" xfId="1095"/>
    <cellStyle name="20% - Accent1 4 7" xfId="1096"/>
    <cellStyle name="20% - Accent1 4 8" xfId="1097"/>
    <cellStyle name="20% - Accent1 4 9" xfId="1098"/>
    <cellStyle name="20% - Accent1 5" xfId="23"/>
    <cellStyle name="20% - Accent1 5 10" xfId="1099"/>
    <cellStyle name="20% - Accent1 5 11" xfId="1100"/>
    <cellStyle name="20% - Accent1 5 12" xfId="1101"/>
    <cellStyle name="20% - Accent1 5 2" xfId="1102"/>
    <cellStyle name="20% - Accent1 5 3" xfId="1103"/>
    <cellStyle name="20% - Accent1 5 4" xfId="1104"/>
    <cellStyle name="20% - Accent1 5 5" xfId="1105"/>
    <cellStyle name="20% - Accent1 5 6" xfId="1106"/>
    <cellStyle name="20% - Accent1 5 7" xfId="1107"/>
    <cellStyle name="20% - Accent1 5 8" xfId="1108"/>
    <cellStyle name="20% - Accent1 5 9" xfId="1109"/>
    <cellStyle name="20% - Accent1 6" xfId="24"/>
    <cellStyle name="20% - Accent1 6 10" xfId="1110"/>
    <cellStyle name="20% - Accent1 6 11" xfId="1111"/>
    <cellStyle name="20% - Accent1 6 12" xfId="1112"/>
    <cellStyle name="20% - Accent1 6 2" xfId="1113"/>
    <cellStyle name="20% - Accent1 6 3" xfId="1114"/>
    <cellStyle name="20% - Accent1 6 4" xfId="1115"/>
    <cellStyle name="20% - Accent1 6 5" xfId="1116"/>
    <cellStyle name="20% - Accent1 6 6" xfId="1117"/>
    <cellStyle name="20% - Accent1 6 7" xfId="1118"/>
    <cellStyle name="20% - Accent1 6 8" xfId="1119"/>
    <cellStyle name="20% - Accent1 6 9" xfId="1120"/>
    <cellStyle name="20% - Accent1 7" xfId="25"/>
    <cellStyle name="20% - Accent1 7 10" xfId="1121"/>
    <cellStyle name="20% - Accent1 7 11" xfId="1122"/>
    <cellStyle name="20% - Accent1 7 12" xfId="1123"/>
    <cellStyle name="20% - Accent1 7 2" xfId="1124"/>
    <cellStyle name="20% - Accent1 7 3" xfId="1125"/>
    <cellStyle name="20% - Accent1 7 4" xfId="1126"/>
    <cellStyle name="20% - Accent1 7 5" xfId="1127"/>
    <cellStyle name="20% - Accent1 7 6" xfId="1128"/>
    <cellStyle name="20% - Accent1 7 7" xfId="1129"/>
    <cellStyle name="20% - Accent1 7 8" xfId="1130"/>
    <cellStyle name="20% - Accent1 7 9" xfId="1131"/>
    <cellStyle name="20% - Accent1 8" xfId="26"/>
    <cellStyle name="20% - Accent1 8 10" xfId="1132"/>
    <cellStyle name="20% - Accent1 8 11" xfId="1133"/>
    <cellStyle name="20% - Accent1 8 12" xfId="1134"/>
    <cellStyle name="20% - Accent1 8 2" xfId="1135"/>
    <cellStyle name="20% - Accent1 8 3" xfId="1136"/>
    <cellStyle name="20% - Accent1 8 4" xfId="1137"/>
    <cellStyle name="20% - Accent1 8 5" xfId="1138"/>
    <cellStyle name="20% - Accent1 8 6" xfId="1139"/>
    <cellStyle name="20% - Accent1 8 7" xfId="1140"/>
    <cellStyle name="20% - Accent1 8 8" xfId="1141"/>
    <cellStyle name="20% - Accent1 8 9" xfId="1142"/>
    <cellStyle name="20% - Accent1 9" xfId="27"/>
    <cellStyle name="20% - Accent1 9 10" xfId="1143"/>
    <cellStyle name="20% - Accent1 9 11" xfId="1144"/>
    <cellStyle name="20% - Accent1 9 12" xfId="1145"/>
    <cellStyle name="20% - Accent1 9 2" xfId="1146"/>
    <cellStyle name="20% - Accent1 9 3" xfId="1147"/>
    <cellStyle name="20% - Accent1 9 4" xfId="1148"/>
    <cellStyle name="20% - Accent1 9 5" xfId="1149"/>
    <cellStyle name="20% - Accent1 9 6" xfId="1150"/>
    <cellStyle name="20% - Accent1 9 7" xfId="1151"/>
    <cellStyle name="20% - Accent1 9 8" xfId="1152"/>
    <cellStyle name="20% - Accent1 9 9" xfId="1153"/>
    <cellStyle name="20% - Accent2 10" xfId="28"/>
    <cellStyle name="20% - Accent2 10 10" xfId="1154"/>
    <cellStyle name="20% - Accent2 10 11" xfId="1155"/>
    <cellStyle name="20% - Accent2 10 12" xfId="1156"/>
    <cellStyle name="20% - Accent2 10 2" xfId="1157"/>
    <cellStyle name="20% - Accent2 10 3" xfId="1158"/>
    <cellStyle name="20% - Accent2 10 4" xfId="1159"/>
    <cellStyle name="20% - Accent2 10 5" xfId="1160"/>
    <cellStyle name="20% - Accent2 10 6" xfId="1161"/>
    <cellStyle name="20% - Accent2 10 7" xfId="1162"/>
    <cellStyle name="20% - Accent2 10 8" xfId="1163"/>
    <cellStyle name="20% - Accent2 10 9" xfId="1164"/>
    <cellStyle name="20% - Accent2 11" xfId="29"/>
    <cellStyle name="20% - Accent2 11 10" xfId="1165"/>
    <cellStyle name="20% - Accent2 11 11" xfId="1166"/>
    <cellStyle name="20% - Accent2 11 12" xfId="1167"/>
    <cellStyle name="20% - Accent2 11 2" xfId="1168"/>
    <cellStyle name="20% - Accent2 11 3" xfId="1169"/>
    <cellStyle name="20% - Accent2 11 4" xfId="1170"/>
    <cellStyle name="20% - Accent2 11 5" xfId="1171"/>
    <cellStyle name="20% - Accent2 11 6" xfId="1172"/>
    <cellStyle name="20% - Accent2 11 7" xfId="1173"/>
    <cellStyle name="20% - Accent2 11 8" xfId="1174"/>
    <cellStyle name="20% - Accent2 11 9" xfId="1175"/>
    <cellStyle name="20% - Accent2 12" xfId="30"/>
    <cellStyle name="20% - Accent2 12 10" xfId="1176"/>
    <cellStyle name="20% - Accent2 12 11" xfId="1177"/>
    <cellStyle name="20% - Accent2 12 12" xfId="1178"/>
    <cellStyle name="20% - Accent2 12 2" xfId="1179"/>
    <cellStyle name="20% - Accent2 12 3" xfId="1180"/>
    <cellStyle name="20% - Accent2 12 4" xfId="1181"/>
    <cellStyle name="20% - Accent2 12 5" xfId="1182"/>
    <cellStyle name="20% - Accent2 12 6" xfId="1183"/>
    <cellStyle name="20% - Accent2 12 7" xfId="1184"/>
    <cellStyle name="20% - Accent2 12 8" xfId="1185"/>
    <cellStyle name="20% - Accent2 12 9" xfId="1186"/>
    <cellStyle name="20% - Accent2 13" xfId="31"/>
    <cellStyle name="20% - Accent2 13 10" xfId="1187"/>
    <cellStyle name="20% - Accent2 13 11" xfId="1188"/>
    <cellStyle name="20% - Accent2 13 12" xfId="1189"/>
    <cellStyle name="20% - Accent2 13 2" xfId="1190"/>
    <cellStyle name="20% - Accent2 13 3" xfId="1191"/>
    <cellStyle name="20% - Accent2 13 4" xfId="1192"/>
    <cellStyle name="20% - Accent2 13 5" xfId="1193"/>
    <cellStyle name="20% - Accent2 13 6" xfId="1194"/>
    <cellStyle name="20% - Accent2 13 7" xfId="1195"/>
    <cellStyle name="20% - Accent2 13 8" xfId="1196"/>
    <cellStyle name="20% - Accent2 13 9" xfId="1197"/>
    <cellStyle name="20% - Accent2 14" xfId="32"/>
    <cellStyle name="20% - Accent2 14 10" xfId="1198"/>
    <cellStyle name="20% - Accent2 14 11" xfId="1199"/>
    <cellStyle name="20% - Accent2 14 12" xfId="1200"/>
    <cellStyle name="20% - Accent2 14 2" xfId="1201"/>
    <cellStyle name="20% - Accent2 14 3" xfId="1202"/>
    <cellStyle name="20% - Accent2 14 4" xfId="1203"/>
    <cellStyle name="20% - Accent2 14 5" xfId="1204"/>
    <cellStyle name="20% - Accent2 14 6" xfId="1205"/>
    <cellStyle name="20% - Accent2 14 7" xfId="1206"/>
    <cellStyle name="20% - Accent2 14 8" xfId="1207"/>
    <cellStyle name="20% - Accent2 14 9" xfId="1208"/>
    <cellStyle name="20% - Accent2 15" xfId="33"/>
    <cellStyle name="20% - Accent2 15 10" xfId="1209"/>
    <cellStyle name="20% - Accent2 15 11" xfId="1210"/>
    <cellStyle name="20% - Accent2 15 12" xfId="1211"/>
    <cellStyle name="20% - Accent2 15 2" xfId="1212"/>
    <cellStyle name="20% - Accent2 15 3" xfId="1213"/>
    <cellStyle name="20% - Accent2 15 4" xfId="1214"/>
    <cellStyle name="20% - Accent2 15 5" xfId="1215"/>
    <cellStyle name="20% - Accent2 15 6" xfId="1216"/>
    <cellStyle name="20% - Accent2 15 7" xfId="1217"/>
    <cellStyle name="20% - Accent2 15 8" xfId="1218"/>
    <cellStyle name="20% - Accent2 15 9" xfId="1219"/>
    <cellStyle name="20% - Accent2 16" xfId="34"/>
    <cellStyle name="20% - Accent2 16 10" xfId="1220"/>
    <cellStyle name="20% - Accent2 16 11" xfId="1221"/>
    <cellStyle name="20% - Accent2 16 12" xfId="1222"/>
    <cellStyle name="20% - Accent2 16 2" xfId="1223"/>
    <cellStyle name="20% - Accent2 16 3" xfId="1224"/>
    <cellStyle name="20% - Accent2 16 4" xfId="1225"/>
    <cellStyle name="20% - Accent2 16 5" xfId="1226"/>
    <cellStyle name="20% - Accent2 16 6" xfId="1227"/>
    <cellStyle name="20% - Accent2 16 7" xfId="1228"/>
    <cellStyle name="20% - Accent2 16 8" xfId="1229"/>
    <cellStyle name="20% - Accent2 16 9" xfId="1230"/>
    <cellStyle name="20% - Accent2 17" xfId="35"/>
    <cellStyle name="20% - Accent2 17 10" xfId="1231"/>
    <cellStyle name="20% - Accent2 17 11" xfId="1232"/>
    <cellStyle name="20% - Accent2 17 12" xfId="1233"/>
    <cellStyle name="20% - Accent2 17 2" xfId="1234"/>
    <cellStyle name="20% - Accent2 17 3" xfId="1235"/>
    <cellStyle name="20% - Accent2 17 4" xfId="1236"/>
    <cellStyle name="20% - Accent2 17 5" xfId="1237"/>
    <cellStyle name="20% - Accent2 17 6" xfId="1238"/>
    <cellStyle name="20% - Accent2 17 7" xfId="1239"/>
    <cellStyle name="20% - Accent2 17 8" xfId="1240"/>
    <cellStyle name="20% - Accent2 17 9" xfId="1241"/>
    <cellStyle name="20% - Accent2 18" xfId="36"/>
    <cellStyle name="20% - Accent2 18 10" xfId="1242"/>
    <cellStyle name="20% - Accent2 18 11" xfId="1243"/>
    <cellStyle name="20% - Accent2 18 12" xfId="1244"/>
    <cellStyle name="20% - Accent2 18 2" xfId="1245"/>
    <cellStyle name="20% - Accent2 18 3" xfId="1246"/>
    <cellStyle name="20% - Accent2 18 4" xfId="1247"/>
    <cellStyle name="20% - Accent2 18 5" xfId="1248"/>
    <cellStyle name="20% - Accent2 18 6" xfId="1249"/>
    <cellStyle name="20% - Accent2 18 7" xfId="1250"/>
    <cellStyle name="20% - Accent2 18 8" xfId="1251"/>
    <cellStyle name="20% - Accent2 18 9" xfId="1252"/>
    <cellStyle name="20% - Accent2 19" xfId="37"/>
    <cellStyle name="20% - Accent2 19 10" xfId="1253"/>
    <cellStyle name="20% - Accent2 19 11" xfId="1254"/>
    <cellStyle name="20% - Accent2 19 12" xfId="1255"/>
    <cellStyle name="20% - Accent2 19 2" xfId="1256"/>
    <cellStyle name="20% - Accent2 19 3" xfId="1257"/>
    <cellStyle name="20% - Accent2 19 4" xfId="1258"/>
    <cellStyle name="20% - Accent2 19 5" xfId="1259"/>
    <cellStyle name="20% - Accent2 19 6" xfId="1260"/>
    <cellStyle name="20% - Accent2 19 7" xfId="1261"/>
    <cellStyle name="20% - Accent2 19 8" xfId="1262"/>
    <cellStyle name="20% - Accent2 19 9" xfId="1263"/>
    <cellStyle name="20% - Accent2 2" xfId="38"/>
    <cellStyle name="20% - Accent2 2 10" xfId="1264"/>
    <cellStyle name="20% - Accent2 2 11" xfId="1265"/>
    <cellStyle name="20% - Accent2 2 12" xfId="1266"/>
    <cellStyle name="20% - Accent2 2 2" xfId="1267"/>
    <cellStyle name="20% - Accent2 2 3" xfId="1268"/>
    <cellStyle name="20% - Accent2 2 4" xfId="1269"/>
    <cellStyle name="20% - Accent2 2 5" xfId="1270"/>
    <cellStyle name="20% - Accent2 2 6" xfId="1271"/>
    <cellStyle name="20% - Accent2 2 7" xfId="1272"/>
    <cellStyle name="20% - Accent2 2 8" xfId="1273"/>
    <cellStyle name="20% - Accent2 2 9" xfId="1274"/>
    <cellStyle name="20% - Accent2 3" xfId="39"/>
    <cellStyle name="20% - Accent2 3 10" xfId="1275"/>
    <cellStyle name="20% - Accent2 3 11" xfId="1276"/>
    <cellStyle name="20% - Accent2 3 12" xfId="1277"/>
    <cellStyle name="20% - Accent2 3 2" xfId="1278"/>
    <cellStyle name="20% - Accent2 3 3" xfId="1279"/>
    <cellStyle name="20% - Accent2 3 4" xfId="1280"/>
    <cellStyle name="20% - Accent2 3 5" xfId="1281"/>
    <cellStyle name="20% - Accent2 3 6" xfId="1282"/>
    <cellStyle name="20% - Accent2 3 7" xfId="1283"/>
    <cellStyle name="20% - Accent2 3 8" xfId="1284"/>
    <cellStyle name="20% - Accent2 3 9" xfId="1285"/>
    <cellStyle name="20% - Accent2 4" xfId="40"/>
    <cellStyle name="20% - Accent2 4 10" xfId="1286"/>
    <cellStyle name="20% - Accent2 4 11" xfId="1287"/>
    <cellStyle name="20% - Accent2 4 12" xfId="1288"/>
    <cellStyle name="20% - Accent2 4 2" xfId="1289"/>
    <cellStyle name="20% - Accent2 4 3" xfId="1290"/>
    <cellStyle name="20% - Accent2 4 4" xfId="1291"/>
    <cellStyle name="20% - Accent2 4 5" xfId="1292"/>
    <cellStyle name="20% - Accent2 4 6" xfId="1293"/>
    <cellStyle name="20% - Accent2 4 7" xfId="1294"/>
    <cellStyle name="20% - Accent2 4 8" xfId="1295"/>
    <cellStyle name="20% - Accent2 4 9" xfId="1296"/>
    <cellStyle name="20% - Accent2 5" xfId="41"/>
    <cellStyle name="20% - Accent2 5 10" xfId="1297"/>
    <cellStyle name="20% - Accent2 5 11" xfId="1298"/>
    <cellStyle name="20% - Accent2 5 12" xfId="1299"/>
    <cellStyle name="20% - Accent2 5 2" xfId="1300"/>
    <cellStyle name="20% - Accent2 5 3" xfId="1301"/>
    <cellStyle name="20% - Accent2 5 4" xfId="1302"/>
    <cellStyle name="20% - Accent2 5 5" xfId="1303"/>
    <cellStyle name="20% - Accent2 5 6" xfId="1304"/>
    <cellStyle name="20% - Accent2 5 7" xfId="1305"/>
    <cellStyle name="20% - Accent2 5 8" xfId="1306"/>
    <cellStyle name="20% - Accent2 5 9" xfId="1307"/>
    <cellStyle name="20% - Accent2 6" xfId="42"/>
    <cellStyle name="20% - Accent2 6 10" xfId="1308"/>
    <cellStyle name="20% - Accent2 6 11" xfId="1309"/>
    <cellStyle name="20% - Accent2 6 12" xfId="1310"/>
    <cellStyle name="20% - Accent2 6 2" xfId="1311"/>
    <cellStyle name="20% - Accent2 6 3" xfId="1312"/>
    <cellStyle name="20% - Accent2 6 4" xfId="1313"/>
    <cellStyle name="20% - Accent2 6 5" xfId="1314"/>
    <cellStyle name="20% - Accent2 6 6" xfId="1315"/>
    <cellStyle name="20% - Accent2 6 7" xfId="1316"/>
    <cellStyle name="20% - Accent2 6 8" xfId="1317"/>
    <cellStyle name="20% - Accent2 6 9" xfId="1318"/>
    <cellStyle name="20% - Accent2 7" xfId="43"/>
    <cellStyle name="20% - Accent2 7 10" xfId="1319"/>
    <cellStyle name="20% - Accent2 7 11" xfId="1320"/>
    <cellStyle name="20% - Accent2 7 12" xfId="1321"/>
    <cellStyle name="20% - Accent2 7 2" xfId="1322"/>
    <cellStyle name="20% - Accent2 7 3" xfId="1323"/>
    <cellStyle name="20% - Accent2 7 4" xfId="1324"/>
    <cellStyle name="20% - Accent2 7 5" xfId="1325"/>
    <cellStyle name="20% - Accent2 7 6" xfId="1326"/>
    <cellStyle name="20% - Accent2 7 7" xfId="1327"/>
    <cellStyle name="20% - Accent2 7 8" xfId="1328"/>
    <cellStyle name="20% - Accent2 7 9" xfId="1329"/>
    <cellStyle name="20% - Accent2 8" xfId="44"/>
    <cellStyle name="20% - Accent2 8 10" xfId="1330"/>
    <cellStyle name="20% - Accent2 8 11" xfId="1331"/>
    <cellStyle name="20% - Accent2 8 12" xfId="1332"/>
    <cellStyle name="20% - Accent2 8 2" xfId="1333"/>
    <cellStyle name="20% - Accent2 8 3" xfId="1334"/>
    <cellStyle name="20% - Accent2 8 4" xfId="1335"/>
    <cellStyle name="20% - Accent2 8 5" xfId="1336"/>
    <cellStyle name="20% - Accent2 8 6" xfId="1337"/>
    <cellStyle name="20% - Accent2 8 7" xfId="1338"/>
    <cellStyle name="20% - Accent2 8 8" xfId="1339"/>
    <cellStyle name="20% - Accent2 8 9" xfId="1340"/>
    <cellStyle name="20% - Accent2 9" xfId="45"/>
    <cellStyle name="20% - Accent2 9 10" xfId="1341"/>
    <cellStyle name="20% - Accent2 9 11" xfId="1342"/>
    <cellStyle name="20% - Accent2 9 12" xfId="1343"/>
    <cellStyle name="20% - Accent2 9 2" xfId="1344"/>
    <cellStyle name="20% - Accent2 9 3" xfId="1345"/>
    <cellStyle name="20% - Accent2 9 4" xfId="1346"/>
    <cellStyle name="20% - Accent2 9 5" xfId="1347"/>
    <cellStyle name="20% - Accent2 9 6" xfId="1348"/>
    <cellStyle name="20% - Accent2 9 7" xfId="1349"/>
    <cellStyle name="20% - Accent2 9 8" xfId="1350"/>
    <cellStyle name="20% - Accent2 9 9" xfId="1351"/>
    <cellStyle name="20% - Accent3 10" xfId="46"/>
    <cellStyle name="20% - Accent3 10 10" xfId="1352"/>
    <cellStyle name="20% - Accent3 10 11" xfId="1353"/>
    <cellStyle name="20% - Accent3 10 12" xfId="1354"/>
    <cellStyle name="20% - Accent3 10 2" xfId="1355"/>
    <cellStyle name="20% - Accent3 10 3" xfId="1356"/>
    <cellStyle name="20% - Accent3 10 4" xfId="1357"/>
    <cellStyle name="20% - Accent3 10 5" xfId="1358"/>
    <cellStyle name="20% - Accent3 10 6" xfId="1359"/>
    <cellStyle name="20% - Accent3 10 7" xfId="1360"/>
    <cellStyle name="20% - Accent3 10 8" xfId="1361"/>
    <cellStyle name="20% - Accent3 10 9" xfId="1362"/>
    <cellStyle name="20% - Accent3 11" xfId="47"/>
    <cellStyle name="20% - Accent3 11 10" xfId="1363"/>
    <cellStyle name="20% - Accent3 11 11" xfId="1364"/>
    <cellStyle name="20% - Accent3 11 12" xfId="1365"/>
    <cellStyle name="20% - Accent3 11 2" xfId="1366"/>
    <cellStyle name="20% - Accent3 11 3" xfId="1367"/>
    <cellStyle name="20% - Accent3 11 4" xfId="1368"/>
    <cellStyle name="20% - Accent3 11 5" xfId="1369"/>
    <cellStyle name="20% - Accent3 11 6" xfId="1370"/>
    <cellStyle name="20% - Accent3 11 7" xfId="1371"/>
    <cellStyle name="20% - Accent3 11 8" xfId="1372"/>
    <cellStyle name="20% - Accent3 11 9" xfId="1373"/>
    <cellStyle name="20% - Accent3 12" xfId="48"/>
    <cellStyle name="20% - Accent3 12 10" xfId="1374"/>
    <cellStyle name="20% - Accent3 12 11" xfId="1375"/>
    <cellStyle name="20% - Accent3 12 12" xfId="1376"/>
    <cellStyle name="20% - Accent3 12 2" xfId="1377"/>
    <cellStyle name="20% - Accent3 12 3" xfId="1378"/>
    <cellStyle name="20% - Accent3 12 4" xfId="1379"/>
    <cellStyle name="20% - Accent3 12 5" xfId="1380"/>
    <cellStyle name="20% - Accent3 12 6" xfId="1381"/>
    <cellStyle name="20% - Accent3 12 7" xfId="1382"/>
    <cellStyle name="20% - Accent3 12 8" xfId="1383"/>
    <cellStyle name="20% - Accent3 12 9" xfId="1384"/>
    <cellStyle name="20% - Accent3 13" xfId="49"/>
    <cellStyle name="20% - Accent3 13 10" xfId="1385"/>
    <cellStyle name="20% - Accent3 13 11" xfId="1386"/>
    <cellStyle name="20% - Accent3 13 12" xfId="1387"/>
    <cellStyle name="20% - Accent3 13 2" xfId="1388"/>
    <cellStyle name="20% - Accent3 13 3" xfId="1389"/>
    <cellStyle name="20% - Accent3 13 4" xfId="1390"/>
    <cellStyle name="20% - Accent3 13 5" xfId="1391"/>
    <cellStyle name="20% - Accent3 13 6" xfId="1392"/>
    <cellStyle name="20% - Accent3 13 7" xfId="1393"/>
    <cellStyle name="20% - Accent3 13 8" xfId="1394"/>
    <cellStyle name="20% - Accent3 13 9" xfId="1395"/>
    <cellStyle name="20% - Accent3 14" xfId="50"/>
    <cellStyle name="20% - Accent3 14 10" xfId="1396"/>
    <cellStyle name="20% - Accent3 14 11" xfId="1397"/>
    <cellStyle name="20% - Accent3 14 12" xfId="1398"/>
    <cellStyle name="20% - Accent3 14 2" xfId="1399"/>
    <cellStyle name="20% - Accent3 14 3" xfId="1400"/>
    <cellStyle name="20% - Accent3 14 4" xfId="1401"/>
    <cellStyle name="20% - Accent3 14 5" xfId="1402"/>
    <cellStyle name="20% - Accent3 14 6" xfId="1403"/>
    <cellStyle name="20% - Accent3 14 7" xfId="1404"/>
    <cellStyle name="20% - Accent3 14 8" xfId="1405"/>
    <cellStyle name="20% - Accent3 14 9" xfId="1406"/>
    <cellStyle name="20% - Accent3 15" xfId="51"/>
    <cellStyle name="20% - Accent3 15 10" xfId="1407"/>
    <cellStyle name="20% - Accent3 15 11" xfId="1408"/>
    <cellStyle name="20% - Accent3 15 12" xfId="1409"/>
    <cellStyle name="20% - Accent3 15 2" xfId="1410"/>
    <cellStyle name="20% - Accent3 15 3" xfId="1411"/>
    <cellStyle name="20% - Accent3 15 4" xfId="1412"/>
    <cellStyle name="20% - Accent3 15 5" xfId="1413"/>
    <cellStyle name="20% - Accent3 15 6" xfId="1414"/>
    <cellStyle name="20% - Accent3 15 7" xfId="1415"/>
    <cellStyle name="20% - Accent3 15 8" xfId="1416"/>
    <cellStyle name="20% - Accent3 15 9" xfId="1417"/>
    <cellStyle name="20% - Accent3 16" xfId="52"/>
    <cellStyle name="20% - Accent3 16 10" xfId="1418"/>
    <cellStyle name="20% - Accent3 16 11" xfId="1419"/>
    <cellStyle name="20% - Accent3 16 12" xfId="1420"/>
    <cellStyle name="20% - Accent3 16 2" xfId="1421"/>
    <cellStyle name="20% - Accent3 16 3" xfId="1422"/>
    <cellStyle name="20% - Accent3 16 4" xfId="1423"/>
    <cellStyle name="20% - Accent3 16 5" xfId="1424"/>
    <cellStyle name="20% - Accent3 16 6" xfId="1425"/>
    <cellStyle name="20% - Accent3 16 7" xfId="1426"/>
    <cellStyle name="20% - Accent3 16 8" xfId="1427"/>
    <cellStyle name="20% - Accent3 16 9" xfId="1428"/>
    <cellStyle name="20% - Accent3 17" xfId="53"/>
    <cellStyle name="20% - Accent3 17 10" xfId="1429"/>
    <cellStyle name="20% - Accent3 17 11" xfId="1430"/>
    <cellStyle name="20% - Accent3 17 12" xfId="1431"/>
    <cellStyle name="20% - Accent3 17 2" xfId="1432"/>
    <cellStyle name="20% - Accent3 17 3" xfId="1433"/>
    <cellStyle name="20% - Accent3 17 4" xfId="1434"/>
    <cellStyle name="20% - Accent3 17 5" xfId="1435"/>
    <cellStyle name="20% - Accent3 17 6" xfId="1436"/>
    <cellStyle name="20% - Accent3 17 7" xfId="1437"/>
    <cellStyle name="20% - Accent3 17 8" xfId="1438"/>
    <cellStyle name="20% - Accent3 17 9" xfId="1439"/>
    <cellStyle name="20% - Accent3 18" xfId="54"/>
    <cellStyle name="20% - Accent3 18 10" xfId="1440"/>
    <cellStyle name="20% - Accent3 18 11" xfId="1441"/>
    <cellStyle name="20% - Accent3 18 12" xfId="1442"/>
    <cellStyle name="20% - Accent3 18 2" xfId="1443"/>
    <cellStyle name="20% - Accent3 18 3" xfId="1444"/>
    <cellStyle name="20% - Accent3 18 4" xfId="1445"/>
    <cellStyle name="20% - Accent3 18 5" xfId="1446"/>
    <cellStyle name="20% - Accent3 18 6" xfId="1447"/>
    <cellStyle name="20% - Accent3 18 7" xfId="1448"/>
    <cellStyle name="20% - Accent3 18 8" xfId="1449"/>
    <cellStyle name="20% - Accent3 18 9" xfId="1450"/>
    <cellStyle name="20% - Accent3 19" xfId="55"/>
    <cellStyle name="20% - Accent3 19 10" xfId="1451"/>
    <cellStyle name="20% - Accent3 19 11" xfId="1452"/>
    <cellStyle name="20% - Accent3 19 12" xfId="1453"/>
    <cellStyle name="20% - Accent3 19 2" xfId="1454"/>
    <cellStyle name="20% - Accent3 19 3" xfId="1455"/>
    <cellStyle name="20% - Accent3 19 4" xfId="1456"/>
    <cellStyle name="20% - Accent3 19 5" xfId="1457"/>
    <cellStyle name="20% - Accent3 19 6" xfId="1458"/>
    <cellStyle name="20% - Accent3 19 7" xfId="1459"/>
    <cellStyle name="20% - Accent3 19 8" xfId="1460"/>
    <cellStyle name="20% - Accent3 19 9" xfId="1461"/>
    <cellStyle name="20% - Accent3 2" xfId="56"/>
    <cellStyle name="20% - Accent3 2 10" xfId="1462"/>
    <cellStyle name="20% - Accent3 2 11" xfId="1463"/>
    <cellStyle name="20% - Accent3 2 12" xfId="1464"/>
    <cellStyle name="20% - Accent3 2 2" xfId="1465"/>
    <cellStyle name="20% - Accent3 2 3" xfId="1466"/>
    <cellStyle name="20% - Accent3 2 4" xfId="1467"/>
    <cellStyle name="20% - Accent3 2 5" xfId="1468"/>
    <cellStyle name="20% - Accent3 2 6" xfId="1469"/>
    <cellStyle name="20% - Accent3 2 7" xfId="1470"/>
    <cellStyle name="20% - Accent3 2 8" xfId="1471"/>
    <cellStyle name="20% - Accent3 2 9" xfId="1472"/>
    <cellStyle name="20% - Accent3 3" xfId="57"/>
    <cellStyle name="20% - Accent3 3 10" xfId="1473"/>
    <cellStyle name="20% - Accent3 3 11" xfId="1474"/>
    <cellStyle name="20% - Accent3 3 12" xfId="1475"/>
    <cellStyle name="20% - Accent3 3 2" xfId="1476"/>
    <cellStyle name="20% - Accent3 3 3" xfId="1477"/>
    <cellStyle name="20% - Accent3 3 4" xfId="1478"/>
    <cellStyle name="20% - Accent3 3 5" xfId="1479"/>
    <cellStyle name="20% - Accent3 3 6" xfId="1480"/>
    <cellStyle name="20% - Accent3 3 7" xfId="1481"/>
    <cellStyle name="20% - Accent3 3 8" xfId="1482"/>
    <cellStyle name="20% - Accent3 3 9" xfId="1483"/>
    <cellStyle name="20% - Accent3 4" xfId="58"/>
    <cellStyle name="20% - Accent3 4 10" xfId="1484"/>
    <cellStyle name="20% - Accent3 4 11" xfId="1485"/>
    <cellStyle name="20% - Accent3 4 12" xfId="1486"/>
    <cellStyle name="20% - Accent3 4 2" xfId="1487"/>
    <cellStyle name="20% - Accent3 4 3" xfId="1488"/>
    <cellStyle name="20% - Accent3 4 4" xfId="1489"/>
    <cellStyle name="20% - Accent3 4 5" xfId="1490"/>
    <cellStyle name="20% - Accent3 4 6" xfId="1491"/>
    <cellStyle name="20% - Accent3 4 7" xfId="1492"/>
    <cellStyle name="20% - Accent3 4 8" xfId="1493"/>
    <cellStyle name="20% - Accent3 4 9" xfId="1494"/>
    <cellStyle name="20% - Accent3 5" xfId="59"/>
    <cellStyle name="20% - Accent3 5 10" xfId="1495"/>
    <cellStyle name="20% - Accent3 5 11" xfId="1496"/>
    <cellStyle name="20% - Accent3 5 12" xfId="1497"/>
    <cellStyle name="20% - Accent3 5 2" xfId="1498"/>
    <cellStyle name="20% - Accent3 5 3" xfId="1499"/>
    <cellStyle name="20% - Accent3 5 4" xfId="1500"/>
    <cellStyle name="20% - Accent3 5 5" xfId="1501"/>
    <cellStyle name="20% - Accent3 5 6" xfId="1502"/>
    <cellStyle name="20% - Accent3 5 7" xfId="1503"/>
    <cellStyle name="20% - Accent3 5 8" xfId="1504"/>
    <cellStyle name="20% - Accent3 5 9" xfId="1505"/>
    <cellStyle name="20% - Accent3 6" xfId="60"/>
    <cellStyle name="20% - Accent3 6 10" xfId="1506"/>
    <cellStyle name="20% - Accent3 6 11" xfId="1507"/>
    <cellStyle name="20% - Accent3 6 12" xfId="1508"/>
    <cellStyle name="20% - Accent3 6 2" xfId="1509"/>
    <cellStyle name="20% - Accent3 6 3" xfId="1510"/>
    <cellStyle name="20% - Accent3 6 4" xfId="1511"/>
    <cellStyle name="20% - Accent3 6 5" xfId="1512"/>
    <cellStyle name="20% - Accent3 6 6" xfId="1513"/>
    <cellStyle name="20% - Accent3 6 7" xfId="1514"/>
    <cellStyle name="20% - Accent3 6 8" xfId="1515"/>
    <cellStyle name="20% - Accent3 6 9" xfId="1516"/>
    <cellStyle name="20% - Accent3 7" xfId="61"/>
    <cellStyle name="20% - Accent3 7 10" xfId="1517"/>
    <cellStyle name="20% - Accent3 7 11" xfId="1518"/>
    <cellStyle name="20% - Accent3 7 12" xfId="1519"/>
    <cellStyle name="20% - Accent3 7 2" xfId="1520"/>
    <cellStyle name="20% - Accent3 7 3" xfId="1521"/>
    <cellStyle name="20% - Accent3 7 4" xfId="1522"/>
    <cellStyle name="20% - Accent3 7 5" xfId="1523"/>
    <cellStyle name="20% - Accent3 7 6" xfId="1524"/>
    <cellStyle name="20% - Accent3 7 7" xfId="1525"/>
    <cellStyle name="20% - Accent3 7 8" xfId="1526"/>
    <cellStyle name="20% - Accent3 7 9" xfId="1527"/>
    <cellStyle name="20% - Accent3 8" xfId="62"/>
    <cellStyle name="20% - Accent3 8 10" xfId="1528"/>
    <cellStyle name="20% - Accent3 8 11" xfId="1529"/>
    <cellStyle name="20% - Accent3 8 12" xfId="1530"/>
    <cellStyle name="20% - Accent3 8 2" xfId="1531"/>
    <cellStyle name="20% - Accent3 8 3" xfId="1532"/>
    <cellStyle name="20% - Accent3 8 4" xfId="1533"/>
    <cellStyle name="20% - Accent3 8 5" xfId="1534"/>
    <cellStyle name="20% - Accent3 8 6" xfId="1535"/>
    <cellStyle name="20% - Accent3 8 7" xfId="1536"/>
    <cellStyle name="20% - Accent3 8 8" xfId="1537"/>
    <cellStyle name="20% - Accent3 8 9" xfId="1538"/>
    <cellStyle name="20% - Accent3 9" xfId="63"/>
    <cellStyle name="20% - Accent3 9 10" xfId="1539"/>
    <cellStyle name="20% - Accent3 9 11" xfId="1540"/>
    <cellStyle name="20% - Accent3 9 12" xfId="1541"/>
    <cellStyle name="20% - Accent3 9 2" xfId="1542"/>
    <cellStyle name="20% - Accent3 9 3" xfId="1543"/>
    <cellStyle name="20% - Accent3 9 4" xfId="1544"/>
    <cellStyle name="20% - Accent3 9 5" xfId="1545"/>
    <cellStyle name="20% - Accent3 9 6" xfId="1546"/>
    <cellStyle name="20% - Accent3 9 7" xfId="1547"/>
    <cellStyle name="20% - Accent3 9 8" xfId="1548"/>
    <cellStyle name="20% - Accent3 9 9" xfId="1549"/>
    <cellStyle name="20% - Accent4 10" xfId="64"/>
    <cellStyle name="20% - Accent4 10 10" xfId="1550"/>
    <cellStyle name="20% - Accent4 10 11" xfId="1551"/>
    <cellStyle name="20% - Accent4 10 12" xfId="1552"/>
    <cellStyle name="20% - Accent4 10 2" xfId="1553"/>
    <cellStyle name="20% - Accent4 10 3" xfId="1554"/>
    <cellStyle name="20% - Accent4 10 4" xfId="1555"/>
    <cellStyle name="20% - Accent4 10 5" xfId="1556"/>
    <cellStyle name="20% - Accent4 10 6" xfId="1557"/>
    <cellStyle name="20% - Accent4 10 7" xfId="1558"/>
    <cellStyle name="20% - Accent4 10 8" xfId="1559"/>
    <cellStyle name="20% - Accent4 10 9" xfId="1560"/>
    <cellStyle name="20% - Accent4 11" xfId="65"/>
    <cellStyle name="20% - Accent4 11 10" xfId="1561"/>
    <cellStyle name="20% - Accent4 11 11" xfId="1562"/>
    <cellStyle name="20% - Accent4 11 12" xfId="1563"/>
    <cellStyle name="20% - Accent4 11 2" xfId="1564"/>
    <cellStyle name="20% - Accent4 11 3" xfId="1565"/>
    <cellStyle name="20% - Accent4 11 4" xfId="1566"/>
    <cellStyle name="20% - Accent4 11 5" xfId="1567"/>
    <cellStyle name="20% - Accent4 11 6" xfId="1568"/>
    <cellStyle name="20% - Accent4 11 7" xfId="1569"/>
    <cellStyle name="20% - Accent4 11 8" xfId="1570"/>
    <cellStyle name="20% - Accent4 11 9" xfId="1571"/>
    <cellStyle name="20% - Accent4 12" xfId="66"/>
    <cellStyle name="20% - Accent4 12 10" xfId="1572"/>
    <cellStyle name="20% - Accent4 12 11" xfId="1573"/>
    <cellStyle name="20% - Accent4 12 12" xfId="1574"/>
    <cellStyle name="20% - Accent4 12 2" xfId="1575"/>
    <cellStyle name="20% - Accent4 12 3" xfId="1576"/>
    <cellStyle name="20% - Accent4 12 4" xfId="1577"/>
    <cellStyle name="20% - Accent4 12 5" xfId="1578"/>
    <cellStyle name="20% - Accent4 12 6" xfId="1579"/>
    <cellStyle name="20% - Accent4 12 7" xfId="1580"/>
    <cellStyle name="20% - Accent4 12 8" xfId="1581"/>
    <cellStyle name="20% - Accent4 12 9" xfId="1582"/>
    <cellStyle name="20% - Accent4 13" xfId="67"/>
    <cellStyle name="20% - Accent4 13 10" xfId="1583"/>
    <cellStyle name="20% - Accent4 13 11" xfId="1584"/>
    <cellStyle name="20% - Accent4 13 12" xfId="1585"/>
    <cellStyle name="20% - Accent4 13 2" xfId="1586"/>
    <cellStyle name="20% - Accent4 13 3" xfId="1587"/>
    <cellStyle name="20% - Accent4 13 4" xfId="1588"/>
    <cellStyle name="20% - Accent4 13 5" xfId="1589"/>
    <cellStyle name="20% - Accent4 13 6" xfId="1590"/>
    <cellStyle name="20% - Accent4 13 7" xfId="1591"/>
    <cellStyle name="20% - Accent4 13 8" xfId="1592"/>
    <cellStyle name="20% - Accent4 13 9" xfId="1593"/>
    <cellStyle name="20% - Accent4 14" xfId="68"/>
    <cellStyle name="20% - Accent4 14 10" xfId="1594"/>
    <cellStyle name="20% - Accent4 14 11" xfId="1595"/>
    <cellStyle name="20% - Accent4 14 12" xfId="1596"/>
    <cellStyle name="20% - Accent4 14 2" xfId="1597"/>
    <cellStyle name="20% - Accent4 14 3" xfId="1598"/>
    <cellStyle name="20% - Accent4 14 4" xfId="1599"/>
    <cellStyle name="20% - Accent4 14 5" xfId="1600"/>
    <cellStyle name="20% - Accent4 14 6" xfId="1601"/>
    <cellStyle name="20% - Accent4 14 7" xfId="1602"/>
    <cellStyle name="20% - Accent4 14 8" xfId="1603"/>
    <cellStyle name="20% - Accent4 14 9" xfId="1604"/>
    <cellStyle name="20% - Accent4 15" xfId="69"/>
    <cellStyle name="20% - Accent4 15 10" xfId="1605"/>
    <cellStyle name="20% - Accent4 15 11" xfId="1606"/>
    <cellStyle name="20% - Accent4 15 12" xfId="1607"/>
    <cellStyle name="20% - Accent4 15 2" xfId="1608"/>
    <cellStyle name="20% - Accent4 15 3" xfId="1609"/>
    <cellStyle name="20% - Accent4 15 4" xfId="1610"/>
    <cellStyle name="20% - Accent4 15 5" xfId="1611"/>
    <cellStyle name="20% - Accent4 15 6" xfId="1612"/>
    <cellStyle name="20% - Accent4 15 7" xfId="1613"/>
    <cellStyle name="20% - Accent4 15 8" xfId="1614"/>
    <cellStyle name="20% - Accent4 15 9" xfId="1615"/>
    <cellStyle name="20% - Accent4 16" xfId="70"/>
    <cellStyle name="20% - Accent4 16 10" xfId="1616"/>
    <cellStyle name="20% - Accent4 16 11" xfId="1617"/>
    <cellStyle name="20% - Accent4 16 12" xfId="1618"/>
    <cellStyle name="20% - Accent4 16 2" xfId="1619"/>
    <cellStyle name="20% - Accent4 16 3" xfId="1620"/>
    <cellStyle name="20% - Accent4 16 4" xfId="1621"/>
    <cellStyle name="20% - Accent4 16 5" xfId="1622"/>
    <cellStyle name="20% - Accent4 16 6" xfId="1623"/>
    <cellStyle name="20% - Accent4 16 7" xfId="1624"/>
    <cellStyle name="20% - Accent4 16 8" xfId="1625"/>
    <cellStyle name="20% - Accent4 16 9" xfId="1626"/>
    <cellStyle name="20% - Accent4 17" xfId="71"/>
    <cellStyle name="20% - Accent4 17 10" xfId="1627"/>
    <cellStyle name="20% - Accent4 17 11" xfId="1628"/>
    <cellStyle name="20% - Accent4 17 12" xfId="1629"/>
    <cellStyle name="20% - Accent4 17 2" xfId="1630"/>
    <cellStyle name="20% - Accent4 17 3" xfId="1631"/>
    <cellStyle name="20% - Accent4 17 4" xfId="1632"/>
    <cellStyle name="20% - Accent4 17 5" xfId="1633"/>
    <cellStyle name="20% - Accent4 17 6" xfId="1634"/>
    <cellStyle name="20% - Accent4 17 7" xfId="1635"/>
    <cellStyle name="20% - Accent4 17 8" xfId="1636"/>
    <cellStyle name="20% - Accent4 17 9" xfId="1637"/>
    <cellStyle name="20% - Accent4 18" xfId="72"/>
    <cellStyle name="20% - Accent4 18 10" xfId="1638"/>
    <cellStyle name="20% - Accent4 18 11" xfId="1639"/>
    <cellStyle name="20% - Accent4 18 12" xfId="1640"/>
    <cellStyle name="20% - Accent4 18 2" xfId="1641"/>
    <cellStyle name="20% - Accent4 18 3" xfId="1642"/>
    <cellStyle name="20% - Accent4 18 4" xfId="1643"/>
    <cellStyle name="20% - Accent4 18 5" xfId="1644"/>
    <cellStyle name="20% - Accent4 18 6" xfId="1645"/>
    <cellStyle name="20% - Accent4 18 7" xfId="1646"/>
    <cellStyle name="20% - Accent4 18 8" xfId="1647"/>
    <cellStyle name="20% - Accent4 18 9" xfId="1648"/>
    <cellStyle name="20% - Accent4 19" xfId="73"/>
    <cellStyle name="20% - Accent4 19 10" xfId="1649"/>
    <cellStyle name="20% - Accent4 19 11" xfId="1650"/>
    <cellStyle name="20% - Accent4 19 12" xfId="1651"/>
    <cellStyle name="20% - Accent4 19 2" xfId="1652"/>
    <cellStyle name="20% - Accent4 19 3" xfId="1653"/>
    <cellStyle name="20% - Accent4 19 4" xfId="1654"/>
    <cellStyle name="20% - Accent4 19 5" xfId="1655"/>
    <cellStyle name="20% - Accent4 19 6" xfId="1656"/>
    <cellStyle name="20% - Accent4 19 7" xfId="1657"/>
    <cellStyle name="20% - Accent4 19 8" xfId="1658"/>
    <cellStyle name="20% - Accent4 19 9" xfId="1659"/>
    <cellStyle name="20% - Accent4 2" xfId="74"/>
    <cellStyle name="20% - Accent4 2 10" xfId="1660"/>
    <cellStyle name="20% - Accent4 2 11" xfId="1661"/>
    <cellStyle name="20% - Accent4 2 12" xfId="1662"/>
    <cellStyle name="20% - Accent4 2 2" xfId="1663"/>
    <cellStyle name="20% - Accent4 2 3" xfId="1664"/>
    <cellStyle name="20% - Accent4 2 4" xfId="1665"/>
    <cellStyle name="20% - Accent4 2 5" xfId="1666"/>
    <cellStyle name="20% - Accent4 2 6" xfId="1667"/>
    <cellStyle name="20% - Accent4 2 7" xfId="1668"/>
    <cellStyle name="20% - Accent4 2 8" xfId="1669"/>
    <cellStyle name="20% - Accent4 2 9" xfId="1670"/>
    <cellStyle name="20% - Accent4 3" xfId="75"/>
    <cellStyle name="20% - Accent4 3 10" xfId="1671"/>
    <cellStyle name="20% - Accent4 3 11" xfId="1672"/>
    <cellStyle name="20% - Accent4 3 12" xfId="1673"/>
    <cellStyle name="20% - Accent4 3 2" xfId="1674"/>
    <cellStyle name="20% - Accent4 3 3" xfId="1675"/>
    <cellStyle name="20% - Accent4 3 4" xfId="1676"/>
    <cellStyle name="20% - Accent4 3 5" xfId="1677"/>
    <cellStyle name="20% - Accent4 3 6" xfId="1678"/>
    <cellStyle name="20% - Accent4 3 7" xfId="1679"/>
    <cellStyle name="20% - Accent4 3 8" xfId="1680"/>
    <cellStyle name="20% - Accent4 3 9" xfId="1681"/>
    <cellStyle name="20% - Accent4 4" xfId="76"/>
    <cellStyle name="20% - Accent4 4 10" xfId="1682"/>
    <cellStyle name="20% - Accent4 4 11" xfId="1683"/>
    <cellStyle name="20% - Accent4 4 12" xfId="1684"/>
    <cellStyle name="20% - Accent4 4 2" xfId="1685"/>
    <cellStyle name="20% - Accent4 4 3" xfId="1686"/>
    <cellStyle name="20% - Accent4 4 4" xfId="1687"/>
    <cellStyle name="20% - Accent4 4 5" xfId="1688"/>
    <cellStyle name="20% - Accent4 4 6" xfId="1689"/>
    <cellStyle name="20% - Accent4 4 7" xfId="1690"/>
    <cellStyle name="20% - Accent4 4 8" xfId="1691"/>
    <cellStyle name="20% - Accent4 4 9" xfId="1692"/>
    <cellStyle name="20% - Accent4 5" xfId="77"/>
    <cellStyle name="20% - Accent4 5 10" xfId="1693"/>
    <cellStyle name="20% - Accent4 5 11" xfId="1694"/>
    <cellStyle name="20% - Accent4 5 12" xfId="1695"/>
    <cellStyle name="20% - Accent4 5 2" xfId="1696"/>
    <cellStyle name="20% - Accent4 5 3" xfId="1697"/>
    <cellStyle name="20% - Accent4 5 4" xfId="1698"/>
    <cellStyle name="20% - Accent4 5 5" xfId="1699"/>
    <cellStyle name="20% - Accent4 5 6" xfId="1700"/>
    <cellStyle name="20% - Accent4 5 7" xfId="1701"/>
    <cellStyle name="20% - Accent4 5 8" xfId="1702"/>
    <cellStyle name="20% - Accent4 5 9" xfId="1703"/>
    <cellStyle name="20% - Accent4 6" xfId="78"/>
    <cellStyle name="20% - Accent4 6 10" xfId="1704"/>
    <cellStyle name="20% - Accent4 6 11" xfId="1705"/>
    <cellStyle name="20% - Accent4 6 12" xfId="1706"/>
    <cellStyle name="20% - Accent4 6 2" xfId="1707"/>
    <cellStyle name="20% - Accent4 6 3" xfId="1708"/>
    <cellStyle name="20% - Accent4 6 4" xfId="1709"/>
    <cellStyle name="20% - Accent4 6 5" xfId="1710"/>
    <cellStyle name="20% - Accent4 6 6" xfId="1711"/>
    <cellStyle name="20% - Accent4 6 7" xfId="1712"/>
    <cellStyle name="20% - Accent4 6 8" xfId="1713"/>
    <cellStyle name="20% - Accent4 6 9" xfId="1714"/>
    <cellStyle name="20% - Accent4 7" xfId="79"/>
    <cellStyle name="20% - Accent4 7 10" xfId="1715"/>
    <cellStyle name="20% - Accent4 7 11" xfId="1716"/>
    <cellStyle name="20% - Accent4 7 12" xfId="1717"/>
    <cellStyle name="20% - Accent4 7 2" xfId="1718"/>
    <cellStyle name="20% - Accent4 7 3" xfId="1719"/>
    <cellStyle name="20% - Accent4 7 4" xfId="1720"/>
    <cellStyle name="20% - Accent4 7 5" xfId="1721"/>
    <cellStyle name="20% - Accent4 7 6" xfId="1722"/>
    <cellStyle name="20% - Accent4 7 7" xfId="1723"/>
    <cellStyle name="20% - Accent4 7 8" xfId="1724"/>
    <cellStyle name="20% - Accent4 7 9" xfId="1725"/>
    <cellStyle name="20% - Accent4 8" xfId="80"/>
    <cellStyle name="20% - Accent4 8 10" xfId="1726"/>
    <cellStyle name="20% - Accent4 8 11" xfId="1727"/>
    <cellStyle name="20% - Accent4 8 12" xfId="1728"/>
    <cellStyle name="20% - Accent4 8 2" xfId="1729"/>
    <cellStyle name="20% - Accent4 8 3" xfId="1730"/>
    <cellStyle name="20% - Accent4 8 4" xfId="1731"/>
    <cellStyle name="20% - Accent4 8 5" xfId="1732"/>
    <cellStyle name="20% - Accent4 8 6" xfId="1733"/>
    <cellStyle name="20% - Accent4 8 7" xfId="1734"/>
    <cellStyle name="20% - Accent4 8 8" xfId="1735"/>
    <cellStyle name="20% - Accent4 8 9" xfId="1736"/>
    <cellStyle name="20% - Accent4 9" xfId="81"/>
    <cellStyle name="20% - Accent4 9 10" xfId="1737"/>
    <cellStyle name="20% - Accent4 9 11" xfId="1738"/>
    <cellStyle name="20% - Accent4 9 12" xfId="1739"/>
    <cellStyle name="20% - Accent4 9 2" xfId="1740"/>
    <cellStyle name="20% - Accent4 9 3" xfId="1741"/>
    <cellStyle name="20% - Accent4 9 4" xfId="1742"/>
    <cellStyle name="20% - Accent4 9 5" xfId="1743"/>
    <cellStyle name="20% - Accent4 9 6" xfId="1744"/>
    <cellStyle name="20% - Accent4 9 7" xfId="1745"/>
    <cellStyle name="20% - Accent4 9 8" xfId="1746"/>
    <cellStyle name="20% - Accent4 9 9" xfId="1747"/>
    <cellStyle name="20% - Accent5 10" xfId="82"/>
    <cellStyle name="20% - Accent5 10 10" xfId="1748"/>
    <cellStyle name="20% - Accent5 10 11" xfId="1749"/>
    <cellStyle name="20% - Accent5 10 12" xfId="1750"/>
    <cellStyle name="20% - Accent5 10 2" xfId="1751"/>
    <cellStyle name="20% - Accent5 10 3" xfId="1752"/>
    <cellStyle name="20% - Accent5 10 4" xfId="1753"/>
    <cellStyle name="20% - Accent5 10 5" xfId="1754"/>
    <cellStyle name="20% - Accent5 10 6" xfId="1755"/>
    <cellStyle name="20% - Accent5 10 7" xfId="1756"/>
    <cellStyle name="20% - Accent5 10 8" xfId="1757"/>
    <cellStyle name="20% - Accent5 10 9" xfId="1758"/>
    <cellStyle name="20% - Accent5 11" xfId="83"/>
    <cellStyle name="20% - Accent5 11 10" xfId="1759"/>
    <cellStyle name="20% - Accent5 11 11" xfId="1760"/>
    <cellStyle name="20% - Accent5 11 12" xfId="1761"/>
    <cellStyle name="20% - Accent5 11 2" xfId="1762"/>
    <cellStyle name="20% - Accent5 11 3" xfId="1763"/>
    <cellStyle name="20% - Accent5 11 4" xfId="1764"/>
    <cellStyle name="20% - Accent5 11 5" xfId="1765"/>
    <cellStyle name="20% - Accent5 11 6" xfId="1766"/>
    <cellStyle name="20% - Accent5 11 7" xfId="1767"/>
    <cellStyle name="20% - Accent5 11 8" xfId="1768"/>
    <cellStyle name="20% - Accent5 11 9" xfId="1769"/>
    <cellStyle name="20% - Accent5 12" xfId="84"/>
    <cellStyle name="20% - Accent5 12 10" xfId="1770"/>
    <cellStyle name="20% - Accent5 12 11" xfId="1771"/>
    <cellStyle name="20% - Accent5 12 12" xfId="1772"/>
    <cellStyle name="20% - Accent5 12 2" xfId="1773"/>
    <cellStyle name="20% - Accent5 12 3" xfId="1774"/>
    <cellStyle name="20% - Accent5 12 4" xfId="1775"/>
    <cellStyle name="20% - Accent5 12 5" xfId="1776"/>
    <cellStyle name="20% - Accent5 12 6" xfId="1777"/>
    <cellStyle name="20% - Accent5 12 7" xfId="1778"/>
    <cellStyle name="20% - Accent5 12 8" xfId="1779"/>
    <cellStyle name="20% - Accent5 12 9" xfId="1780"/>
    <cellStyle name="20% - Accent5 13" xfId="85"/>
    <cellStyle name="20% - Accent5 13 10" xfId="1781"/>
    <cellStyle name="20% - Accent5 13 11" xfId="1782"/>
    <cellStyle name="20% - Accent5 13 12" xfId="1783"/>
    <cellStyle name="20% - Accent5 13 2" xfId="1784"/>
    <cellStyle name="20% - Accent5 13 3" xfId="1785"/>
    <cellStyle name="20% - Accent5 13 4" xfId="1786"/>
    <cellStyle name="20% - Accent5 13 5" xfId="1787"/>
    <cellStyle name="20% - Accent5 13 6" xfId="1788"/>
    <cellStyle name="20% - Accent5 13 7" xfId="1789"/>
    <cellStyle name="20% - Accent5 13 8" xfId="1790"/>
    <cellStyle name="20% - Accent5 13 9" xfId="1791"/>
    <cellStyle name="20% - Accent5 14" xfId="86"/>
    <cellStyle name="20% - Accent5 14 10" xfId="1792"/>
    <cellStyle name="20% - Accent5 14 11" xfId="1793"/>
    <cellStyle name="20% - Accent5 14 12" xfId="1794"/>
    <cellStyle name="20% - Accent5 14 2" xfId="1795"/>
    <cellStyle name="20% - Accent5 14 3" xfId="1796"/>
    <cellStyle name="20% - Accent5 14 4" xfId="1797"/>
    <cellStyle name="20% - Accent5 14 5" xfId="1798"/>
    <cellStyle name="20% - Accent5 14 6" xfId="1799"/>
    <cellStyle name="20% - Accent5 14 7" xfId="1800"/>
    <cellStyle name="20% - Accent5 14 8" xfId="1801"/>
    <cellStyle name="20% - Accent5 14 9" xfId="1802"/>
    <cellStyle name="20% - Accent5 15" xfId="87"/>
    <cellStyle name="20% - Accent5 15 10" xfId="1803"/>
    <cellStyle name="20% - Accent5 15 11" xfId="1804"/>
    <cellStyle name="20% - Accent5 15 12" xfId="1805"/>
    <cellStyle name="20% - Accent5 15 2" xfId="1806"/>
    <cellStyle name="20% - Accent5 15 3" xfId="1807"/>
    <cellStyle name="20% - Accent5 15 4" xfId="1808"/>
    <cellStyle name="20% - Accent5 15 5" xfId="1809"/>
    <cellStyle name="20% - Accent5 15 6" xfId="1810"/>
    <cellStyle name="20% - Accent5 15 7" xfId="1811"/>
    <cellStyle name="20% - Accent5 15 8" xfId="1812"/>
    <cellStyle name="20% - Accent5 15 9" xfId="1813"/>
    <cellStyle name="20% - Accent5 16" xfId="88"/>
    <cellStyle name="20% - Accent5 16 10" xfId="1814"/>
    <cellStyle name="20% - Accent5 16 11" xfId="1815"/>
    <cellStyle name="20% - Accent5 16 12" xfId="1816"/>
    <cellStyle name="20% - Accent5 16 2" xfId="1817"/>
    <cellStyle name="20% - Accent5 16 3" xfId="1818"/>
    <cellStyle name="20% - Accent5 16 4" xfId="1819"/>
    <cellStyle name="20% - Accent5 16 5" xfId="1820"/>
    <cellStyle name="20% - Accent5 16 6" xfId="1821"/>
    <cellStyle name="20% - Accent5 16 7" xfId="1822"/>
    <cellStyle name="20% - Accent5 16 8" xfId="1823"/>
    <cellStyle name="20% - Accent5 16 9" xfId="1824"/>
    <cellStyle name="20% - Accent5 17" xfId="89"/>
    <cellStyle name="20% - Accent5 17 10" xfId="1825"/>
    <cellStyle name="20% - Accent5 17 11" xfId="1826"/>
    <cellStyle name="20% - Accent5 17 12" xfId="1827"/>
    <cellStyle name="20% - Accent5 17 2" xfId="1828"/>
    <cellStyle name="20% - Accent5 17 3" xfId="1829"/>
    <cellStyle name="20% - Accent5 17 4" xfId="1830"/>
    <cellStyle name="20% - Accent5 17 5" xfId="1831"/>
    <cellStyle name="20% - Accent5 17 6" xfId="1832"/>
    <cellStyle name="20% - Accent5 17 7" xfId="1833"/>
    <cellStyle name="20% - Accent5 17 8" xfId="1834"/>
    <cellStyle name="20% - Accent5 17 9" xfId="1835"/>
    <cellStyle name="20% - Accent5 18" xfId="90"/>
    <cellStyle name="20% - Accent5 18 10" xfId="1836"/>
    <cellStyle name="20% - Accent5 18 11" xfId="1837"/>
    <cellStyle name="20% - Accent5 18 12" xfId="1838"/>
    <cellStyle name="20% - Accent5 18 2" xfId="1839"/>
    <cellStyle name="20% - Accent5 18 3" xfId="1840"/>
    <cellStyle name="20% - Accent5 18 4" xfId="1841"/>
    <cellStyle name="20% - Accent5 18 5" xfId="1842"/>
    <cellStyle name="20% - Accent5 18 6" xfId="1843"/>
    <cellStyle name="20% - Accent5 18 7" xfId="1844"/>
    <cellStyle name="20% - Accent5 18 8" xfId="1845"/>
    <cellStyle name="20% - Accent5 18 9" xfId="1846"/>
    <cellStyle name="20% - Accent5 19" xfId="91"/>
    <cellStyle name="20% - Accent5 19 10" xfId="1847"/>
    <cellStyle name="20% - Accent5 19 11" xfId="1848"/>
    <cellStyle name="20% - Accent5 19 12" xfId="1849"/>
    <cellStyle name="20% - Accent5 19 2" xfId="1850"/>
    <cellStyle name="20% - Accent5 19 3" xfId="1851"/>
    <cellStyle name="20% - Accent5 19 4" xfId="1852"/>
    <cellStyle name="20% - Accent5 19 5" xfId="1853"/>
    <cellStyle name="20% - Accent5 19 6" xfId="1854"/>
    <cellStyle name="20% - Accent5 19 7" xfId="1855"/>
    <cellStyle name="20% - Accent5 19 8" xfId="1856"/>
    <cellStyle name="20% - Accent5 19 9" xfId="1857"/>
    <cellStyle name="20% - Accent5 2" xfId="92"/>
    <cellStyle name="20% - Accent5 2 10" xfId="1858"/>
    <cellStyle name="20% - Accent5 2 11" xfId="1859"/>
    <cellStyle name="20% - Accent5 2 12" xfId="1860"/>
    <cellStyle name="20% - Accent5 2 2" xfId="1861"/>
    <cellStyle name="20% - Accent5 2 3" xfId="1862"/>
    <cellStyle name="20% - Accent5 2 4" xfId="1863"/>
    <cellStyle name="20% - Accent5 2 5" xfId="1864"/>
    <cellStyle name="20% - Accent5 2 6" xfId="1865"/>
    <cellStyle name="20% - Accent5 2 7" xfId="1866"/>
    <cellStyle name="20% - Accent5 2 8" xfId="1867"/>
    <cellStyle name="20% - Accent5 2 9" xfId="1868"/>
    <cellStyle name="20% - Accent5 3" xfId="93"/>
    <cellStyle name="20% - Accent5 3 10" xfId="1869"/>
    <cellStyle name="20% - Accent5 3 11" xfId="1870"/>
    <cellStyle name="20% - Accent5 3 12" xfId="1871"/>
    <cellStyle name="20% - Accent5 3 2" xfId="1872"/>
    <cellStyle name="20% - Accent5 3 3" xfId="1873"/>
    <cellStyle name="20% - Accent5 3 4" xfId="1874"/>
    <cellStyle name="20% - Accent5 3 5" xfId="1875"/>
    <cellStyle name="20% - Accent5 3 6" xfId="1876"/>
    <cellStyle name="20% - Accent5 3 7" xfId="1877"/>
    <cellStyle name="20% - Accent5 3 8" xfId="1878"/>
    <cellStyle name="20% - Accent5 3 9" xfId="1879"/>
    <cellStyle name="20% - Accent5 4" xfId="94"/>
    <cellStyle name="20% - Accent5 4 10" xfId="1880"/>
    <cellStyle name="20% - Accent5 4 11" xfId="1881"/>
    <cellStyle name="20% - Accent5 4 12" xfId="1882"/>
    <cellStyle name="20% - Accent5 4 2" xfId="1883"/>
    <cellStyle name="20% - Accent5 4 3" xfId="1884"/>
    <cellStyle name="20% - Accent5 4 4" xfId="1885"/>
    <cellStyle name="20% - Accent5 4 5" xfId="1886"/>
    <cellStyle name="20% - Accent5 4 6" xfId="1887"/>
    <cellStyle name="20% - Accent5 4 7" xfId="1888"/>
    <cellStyle name="20% - Accent5 4 8" xfId="1889"/>
    <cellStyle name="20% - Accent5 4 9" xfId="1890"/>
    <cellStyle name="20% - Accent5 5" xfId="95"/>
    <cellStyle name="20% - Accent5 5 10" xfId="1891"/>
    <cellStyle name="20% - Accent5 5 11" xfId="1892"/>
    <cellStyle name="20% - Accent5 5 12" xfId="1893"/>
    <cellStyle name="20% - Accent5 5 2" xfId="1894"/>
    <cellStyle name="20% - Accent5 5 3" xfId="1895"/>
    <cellStyle name="20% - Accent5 5 4" xfId="1896"/>
    <cellStyle name="20% - Accent5 5 5" xfId="1897"/>
    <cellStyle name="20% - Accent5 5 6" xfId="1898"/>
    <cellStyle name="20% - Accent5 5 7" xfId="1899"/>
    <cellStyle name="20% - Accent5 5 8" xfId="1900"/>
    <cellStyle name="20% - Accent5 5 9" xfId="1901"/>
    <cellStyle name="20% - Accent5 6" xfId="96"/>
    <cellStyle name="20% - Accent5 6 10" xfId="1902"/>
    <cellStyle name="20% - Accent5 6 11" xfId="1903"/>
    <cellStyle name="20% - Accent5 6 12" xfId="1904"/>
    <cellStyle name="20% - Accent5 6 2" xfId="1905"/>
    <cellStyle name="20% - Accent5 6 3" xfId="1906"/>
    <cellStyle name="20% - Accent5 6 4" xfId="1907"/>
    <cellStyle name="20% - Accent5 6 5" xfId="1908"/>
    <cellStyle name="20% - Accent5 6 6" xfId="1909"/>
    <cellStyle name="20% - Accent5 6 7" xfId="1910"/>
    <cellStyle name="20% - Accent5 6 8" xfId="1911"/>
    <cellStyle name="20% - Accent5 6 9" xfId="1912"/>
    <cellStyle name="20% - Accent5 7" xfId="97"/>
    <cellStyle name="20% - Accent5 7 10" xfId="1913"/>
    <cellStyle name="20% - Accent5 7 11" xfId="1914"/>
    <cellStyle name="20% - Accent5 7 12" xfId="1915"/>
    <cellStyle name="20% - Accent5 7 2" xfId="1916"/>
    <cellStyle name="20% - Accent5 7 3" xfId="1917"/>
    <cellStyle name="20% - Accent5 7 4" xfId="1918"/>
    <cellStyle name="20% - Accent5 7 5" xfId="1919"/>
    <cellStyle name="20% - Accent5 7 6" xfId="1920"/>
    <cellStyle name="20% - Accent5 7 7" xfId="1921"/>
    <cellStyle name="20% - Accent5 7 8" xfId="1922"/>
    <cellStyle name="20% - Accent5 7 9" xfId="1923"/>
    <cellStyle name="20% - Accent5 8" xfId="98"/>
    <cellStyle name="20% - Accent5 8 10" xfId="1924"/>
    <cellStyle name="20% - Accent5 8 11" xfId="1925"/>
    <cellStyle name="20% - Accent5 8 12" xfId="1926"/>
    <cellStyle name="20% - Accent5 8 2" xfId="1927"/>
    <cellStyle name="20% - Accent5 8 3" xfId="1928"/>
    <cellStyle name="20% - Accent5 8 4" xfId="1929"/>
    <cellStyle name="20% - Accent5 8 5" xfId="1930"/>
    <cellStyle name="20% - Accent5 8 6" xfId="1931"/>
    <cellStyle name="20% - Accent5 8 7" xfId="1932"/>
    <cellStyle name="20% - Accent5 8 8" xfId="1933"/>
    <cellStyle name="20% - Accent5 8 9" xfId="1934"/>
    <cellStyle name="20% - Accent5 9" xfId="99"/>
    <cellStyle name="20% - Accent5 9 10" xfId="1935"/>
    <cellStyle name="20% - Accent5 9 11" xfId="1936"/>
    <cellStyle name="20% - Accent5 9 12" xfId="1937"/>
    <cellStyle name="20% - Accent5 9 2" xfId="1938"/>
    <cellStyle name="20% - Accent5 9 3" xfId="1939"/>
    <cellStyle name="20% - Accent5 9 4" xfId="1940"/>
    <cellStyle name="20% - Accent5 9 5" xfId="1941"/>
    <cellStyle name="20% - Accent5 9 6" xfId="1942"/>
    <cellStyle name="20% - Accent5 9 7" xfId="1943"/>
    <cellStyle name="20% - Accent5 9 8" xfId="1944"/>
    <cellStyle name="20% - Accent5 9 9" xfId="1945"/>
    <cellStyle name="20% - Accent6 10" xfId="100"/>
    <cellStyle name="20% - Accent6 10 10" xfId="1946"/>
    <cellStyle name="20% - Accent6 10 11" xfId="1947"/>
    <cellStyle name="20% - Accent6 10 12" xfId="1948"/>
    <cellStyle name="20% - Accent6 10 2" xfId="1949"/>
    <cellStyle name="20% - Accent6 10 3" xfId="1950"/>
    <cellStyle name="20% - Accent6 10 4" xfId="1951"/>
    <cellStyle name="20% - Accent6 10 5" xfId="1952"/>
    <cellStyle name="20% - Accent6 10 6" xfId="1953"/>
    <cellStyle name="20% - Accent6 10 7" xfId="1954"/>
    <cellStyle name="20% - Accent6 10 8" xfId="1955"/>
    <cellStyle name="20% - Accent6 10 9" xfId="1956"/>
    <cellStyle name="20% - Accent6 11" xfId="101"/>
    <cellStyle name="20% - Accent6 11 10" xfId="1957"/>
    <cellStyle name="20% - Accent6 11 11" xfId="1958"/>
    <cellStyle name="20% - Accent6 11 12" xfId="1959"/>
    <cellStyle name="20% - Accent6 11 2" xfId="1960"/>
    <cellStyle name="20% - Accent6 11 3" xfId="1961"/>
    <cellStyle name="20% - Accent6 11 4" xfId="1962"/>
    <cellStyle name="20% - Accent6 11 5" xfId="1963"/>
    <cellStyle name="20% - Accent6 11 6" xfId="1964"/>
    <cellStyle name="20% - Accent6 11 7" xfId="1965"/>
    <cellStyle name="20% - Accent6 11 8" xfId="1966"/>
    <cellStyle name="20% - Accent6 11 9" xfId="1967"/>
    <cellStyle name="20% - Accent6 12" xfId="102"/>
    <cellStyle name="20% - Accent6 12 10" xfId="1968"/>
    <cellStyle name="20% - Accent6 12 11" xfId="1969"/>
    <cellStyle name="20% - Accent6 12 12" xfId="1970"/>
    <cellStyle name="20% - Accent6 12 2" xfId="1971"/>
    <cellStyle name="20% - Accent6 12 3" xfId="1972"/>
    <cellStyle name="20% - Accent6 12 4" xfId="1973"/>
    <cellStyle name="20% - Accent6 12 5" xfId="1974"/>
    <cellStyle name="20% - Accent6 12 6" xfId="1975"/>
    <cellStyle name="20% - Accent6 12 7" xfId="1976"/>
    <cellStyle name="20% - Accent6 12 8" xfId="1977"/>
    <cellStyle name="20% - Accent6 12 9" xfId="1978"/>
    <cellStyle name="20% - Accent6 13" xfId="103"/>
    <cellStyle name="20% - Accent6 13 10" xfId="1979"/>
    <cellStyle name="20% - Accent6 13 11" xfId="1980"/>
    <cellStyle name="20% - Accent6 13 12" xfId="1981"/>
    <cellStyle name="20% - Accent6 13 2" xfId="1982"/>
    <cellStyle name="20% - Accent6 13 3" xfId="1983"/>
    <cellStyle name="20% - Accent6 13 4" xfId="1984"/>
    <cellStyle name="20% - Accent6 13 5" xfId="1985"/>
    <cellStyle name="20% - Accent6 13 6" xfId="1986"/>
    <cellStyle name="20% - Accent6 13 7" xfId="1987"/>
    <cellStyle name="20% - Accent6 13 8" xfId="1988"/>
    <cellStyle name="20% - Accent6 13 9" xfId="1989"/>
    <cellStyle name="20% - Accent6 14" xfId="104"/>
    <cellStyle name="20% - Accent6 14 10" xfId="1990"/>
    <cellStyle name="20% - Accent6 14 11" xfId="1991"/>
    <cellStyle name="20% - Accent6 14 12" xfId="1992"/>
    <cellStyle name="20% - Accent6 14 2" xfId="1993"/>
    <cellStyle name="20% - Accent6 14 3" xfId="1994"/>
    <cellStyle name="20% - Accent6 14 4" xfId="1995"/>
    <cellStyle name="20% - Accent6 14 5" xfId="1996"/>
    <cellStyle name="20% - Accent6 14 6" xfId="1997"/>
    <cellStyle name="20% - Accent6 14 7" xfId="1998"/>
    <cellStyle name="20% - Accent6 14 8" xfId="1999"/>
    <cellStyle name="20% - Accent6 14 9" xfId="2000"/>
    <cellStyle name="20% - Accent6 15" xfId="105"/>
    <cellStyle name="20% - Accent6 15 10" xfId="2001"/>
    <cellStyle name="20% - Accent6 15 11" xfId="2002"/>
    <cellStyle name="20% - Accent6 15 12" xfId="2003"/>
    <cellStyle name="20% - Accent6 15 2" xfId="2004"/>
    <cellStyle name="20% - Accent6 15 3" xfId="2005"/>
    <cellStyle name="20% - Accent6 15 4" xfId="2006"/>
    <cellStyle name="20% - Accent6 15 5" xfId="2007"/>
    <cellStyle name="20% - Accent6 15 6" xfId="2008"/>
    <cellStyle name="20% - Accent6 15 7" xfId="2009"/>
    <cellStyle name="20% - Accent6 15 8" xfId="2010"/>
    <cellStyle name="20% - Accent6 15 9" xfId="2011"/>
    <cellStyle name="20% - Accent6 16" xfId="106"/>
    <cellStyle name="20% - Accent6 16 10" xfId="2012"/>
    <cellStyle name="20% - Accent6 16 11" xfId="2013"/>
    <cellStyle name="20% - Accent6 16 12" xfId="2014"/>
    <cellStyle name="20% - Accent6 16 2" xfId="2015"/>
    <cellStyle name="20% - Accent6 16 3" xfId="2016"/>
    <cellStyle name="20% - Accent6 16 4" xfId="2017"/>
    <cellStyle name="20% - Accent6 16 5" xfId="2018"/>
    <cellStyle name="20% - Accent6 16 6" xfId="2019"/>
    <cellStyle name="20% - Accent6 16 7" xfId="2020"/>
    <cellStyle name="20% - Accent6 16 8" xfId="2021"/>
    <cellStyle name="20% - Accent6 16 9" xfId="2022"/>
    <cellStyle name="20% - Accent6 17" xfId="107"/>
    <cellStyle name="20% - Accent6 17 10" xfId="2023"/>
    <cellStyle name="20% - Accent6 17 11" xfId="2024"/>
    <cellStyle name="20% - Accent6 17 12" xfId="2025"/>
    <cellStyle name="20% - Accent6 17 2" xfId="2026"/>
    <cellStyle name="20% - Accent6 17 3" xfId="2027"/>
    <cellStyle name="20% - Accent6 17 4" xfId="2028"/>
    <cellStyle name="20% - Accent6 17 5" xfId="2029"/>
    <cellStyle name="20% - Accent6 17 6" xfId="2030"/>
    <cellStyle name="20% - Accent6 17 7" xfId="2031"/>
    <cellStyle name="20% - Accent6 17 8" xfId="2032"/>
    <cellStyle name="20% - Accent6 17 9" xfId="2033"/>
    <cellStyle name="20% - Accent6 18" xfId="108"/>
    <cellStyle name="20% - Accent6 18 10" xfId="2034"/>
    <cellStyle name="20% - Accent6 18 11" xfId="2035"/>
    <cellStyle name="20% - Accent6 18 12" xfId="2036"/>
    <cellStyle name="20% - Accent6 18 2" xfId="2037"/>
    <cellStyle name="20% - Accent6 18 3" xfId="2038"/>
    <cellStyle name="20% - Accent6 18 4" xfId="2039"/>
    <cellStyle name="20% - Accent6 18 5" xfId="2040"/>
    <cellStyle name="20% - Accent6 18 6" xfId="2041"/>
    <cellStyle name="20% - Accent6 18 7" xfId="2042"/>
    <cellStyle name="20% - Accent6 18 8" xfId="2043"/>
    <cellStyle name="20% - Accent6 18 9" xfId="2044"/>
    <cellStyle name="20% - Accent6 19" xfId="109"/>
    <cellStyle name="20% - Accent6 19 10" xfId="2045"/>
    <cellStyle name="20% - Accent6 19 11" xfId="2046"/>
    <cellStyle name="20% - Accent6 19 12" xfId="2047"/>
    <cellStyle name="20% - Accent6 19 2" xfId="2048"/>
    <cellStyle name="20% - Accent6 19 3" xfId="2049"/>
    <cellStyle name="20% - Accent6 19 4" xfId="2050"/>
    <cellStyle name="20% - Accent6 19 5" xfId="2051"/>
    <cellStyle name="20% - Accent6 19 6" xfId="2052"/>
    <cellStyle name="20% - Accent6 19 7" xfId="2053"/>
    <cellStyle name="20% - Accent6 19 8" xfId="2054"/>
    <cellStyle name="20% - Accent6 19 9" xfId="2055"/>
    <cellStyle name="20% - Accent6 2" xfId="110"/>
    <cellStyle name="20% - Accent6 2 10" xfId="2056"/>
    <cellStyle name="20% - Accent6 2 11" xfId="2057"/>
    <cellStyle name="20% - Accent6 2 12" xfId="2058"/>
    <cellStyle name="20% - Accent6 2 2" xfId="2059"/>
    <cellStyle name="20% - Accent6 2 3" xfId="2060"/>
    <cellStyle name="20% - Accent6 2 4" xfId="2061"/>
    <cellStyle name="20% - Accent6 2 5" xfId="2062"/>
    <cellStyle name="20% - Accent6 2 6" xfId="2063"/>
    <cellStyle name="20% - Accent6 2 7" xfId="2064"/>
    <cellStyle name="20% - Accent6 2 8" xfId="2065"/>
    <cellStyle name="20% - Accent6 2 9" xfId="2066"/>
    <cellStyle name="20% - Accent6 3" xfId="111"/>
    <cellStyle name="20% - Accent6 3 10" xfId="2067"/>
    <cellStyle name="20% - Accent6 3 11" xfId="2068"/>
    <cellStyle name="20% - Accent6 3 12" xfId="2069"/>
    <cellStyle name="20% - Accent6 3 2" xfId="2070"/>
    <cellStyle name="20% - Accent6 3 3" xfId="2071"/>
    <cellStyle name="20% - Accent6 3 4" xfId="2072"/>
    <cellStyle name="20% - Accent6 3 5" xfId="2073"/>
    <cellStyle name="20% - Accent6 3 6" xfId="2074"/>
    <cellStyle name="20% - Accent6 3 7" xfId="2075"/>
    <cellStyle name="20% - Accent6 3 8" xfId="2076"/>
    <cellStyle name="20% - Accent6 3 9" xfId="2077"/>
    <cellStyle name="20% - Accent6 4" xfId="112"/>
    <cellStyle name="20% - Accent6 4 10" xfId="2078"/>
    <cellStyle name="20% - Accent6 4 11" xfId="2079"/>
    <cellStyle name="20% - Accent6 4 12" xfId="2080"/>
    <cellStyle name="20% - Accent6 4 2" xfId="2081"/>
    <cellStyle name="20% - Accent6 4 3" xfId="2082"/>
    <cellStyle name="20% - Accent6 4 4" xfId="2083"/>
    <cellStyle name="20% - Accent6 4 5" xfId="2084"/>
    <cellStyle name="20% - Accent6 4 6" xfId="2085"/>
    <cellStyle name="20% - Accent6 4 7" xfId="2086"/>
    <cellStyle name="20% - Accent6 4 8" xfId="2087"/>
    <cellStyle name="20% - Accent6 4 9" xfId="2088"/>
    <cellStyle name="20% - Accent6 5" xfId="113"/>
    <cellStyle name="20% - Accent6 5 10" xfId="2089"/>
    <cellStyle name="20% - Accent6 5 11" xfId="2090"/>
    <cellStyle name="20% - Accent6 5 12" xfId="2091"/>
    <cellStyle name="20% - Accent6 5 2" xfId="2092"/>
    <cellStyle name="20% - Accent6 5 3" xfId="2093"/>
    <cellStyle name="20% - Accent6 5 4" xfId="2094"/>
    <cellStyle name="20% - Accent6 5 5" xfId="2095"/>
    <cellStyle name="20% - Accent6 5 6" xfId="2096"/>
    <cellStyle name="20% - Accent6 5 7" xfId="2097"/>
    <cellStyle name="20% - Accent6 5 8" xfId="2098"/>
    <cellStyle name="20% - Accent6 5 9" xfId="2099"/>
    <cellStyle name="20% - Accent6 6" xfId="114"/>
    <cellStyle name="20% - Accent6 6 10" xfId="2100"/>
    <cellStyle name="20% - Accent6 6 11" xfId="2101"/>
    <cellStyle name="20% - Accent6 6 12" xfId="2102"/>
    <cellStyle name="20% - Accent6 6 2" xfId="2103"/>
    <cellStyle name="20% - Accent6 6 3" xfId="2104"/>
    <cellStyle name="20% - Accent6 6 4" xfId="2105"/>
    <cellStyle name="20% - Accent6 6 5" xfId="2106"/>
    <cellStyle name="20% - Accent6 6 6" xfId="2107"/>
    <cellStyle name="20% - Accent6 6 7" xfId="2108"/>
    <cellStyle name="20% - Accent6 6 8" xfId="2109"/>
    <cellStyle name="20% - Accent6 6 9" xfId="2110"/>
    <cellStyle name="20% - Accent6 7" xfId="115"/>
    <cellStyle name="20% - Accent6 7 10" xfId="2111"/>
    <cellStyle name="20% - Accent6 7 11" xfId="2112"/>
    <cellStyle name="20% - Accent6 7 12" xfId="2113"/>
    <cellStyle name="20% - Accent6 7 2" xfId="2114"/>
    <cellStyle name="20% - Accent6 7 3" xfId="2115"/>
    <cellStyle name="20% - Accent6 7 4" xfId="2116"/>
    <cellStyle name="20% - Accent6 7 5" xfId="2117"/>
    <cellStyle name="20% - Accent6 7 6" xfId="2118"/>
    <cellStyle name="20% - Accent6 7 7" xfId="2119"/>
    <cellStyle name="20% - Accent6 7 8" xfId="2120"/>
    <cellStyle name="20% - Accent6 7 9" xfId="2121"/>
    <cellStyle name="20% - Accent6 8" xfId="116"/>
    <cellStyle name="20% - Accent6 8 10" xfId="2122"/>
    <cellStyle name="20% - Accent6 8 11" xfId="2123"/>
    <cellStyle name="20% - Accent6 8 12" xfId="2124"/>
    <cellStyle name="20% - Accent6 8 2" xfId="2125"/>
    <cellStyle name="20% - Accent6 8 3" xfId="2126"/>
    <cellStyle name="20% - Accent6 8 4" xfId="2127"/>
    <cellStyle name="20% - Accent6 8 5" xfId="2128"/>
    <cellStyle name="20% - Accent6 8 6" xfId="2129"/>
    <cellStyle name="20% - Accent6 8 7" xfId="2130"/>
    <cellStyle name="20% - Accent6 8 8" xfId="2131"/>
    <cellStyle name="20% - Accent6 8 9" xfId="2132"/>
    <cellStyle name="20% - Accent6 9" xfId="117"/>
    <cellStyle name="20% - Accent6 9 10" xfId="2133"/>
    <cellStyle name="20% - Accent6 9 11" xfId="2134"/>
    <cellStyle name="20% - Accent6 9 12" xfId="2135"/>
    <cellStyle name="20% - Accent6 9 2" xfId="2136"/>
    <cellStyle name="20% - Accent6 9 3" xfId="2137"/>
    <cellStyle name="20% - Accent6 9 4" xfId="2138"/>
    <cellStyle name="20% - Accent6 9 5" xfId="2139"/>
    <cellStyle name="20% - Accent6 9 6" xfId="2140"/>
    <cellStyle name="20% - Accent6 9 7" xfId="2141"/>
    <cellStyle name="20% - Accent6 9 8" xfId="2142"/>
    <cellStyle name="20% - Accent6 9 9" xfId="2143"/>
    <cellStyle name="40% - Accent1 10" xfId="118"/>
    <cellStyle name="40% - Accent1 10 10" xfId="2144"/>
    <cellStyle name="40% - Accent1 10 11" xfId="2145"/>
    <cellStyle name="40% - Accent1 10 12" xfId="2146"/>
    <cellStyle name="40% - Accent1 10 2" xfId="2147"/>
    <cellStyle name="40% - Accent1 10 3" xfId="2148"/>
    <cellStyle name="40% - Accent1 10 4" xfId="2149"/>
    <cellStyle name="40% - Accent1 10 5" xfId="2150"/>
    <cellStyle name="40% - Accent1 10 6" xfId="2151"/>
    <cellStyle name="40% - Accent1 10 7" xfId="2152"/>
    <cellStyle name="40% - Accent1 10 8" xfId="2153"/>
    <cellStyle name="40% - Accent1 10 9" xfId="2154"/>
    <cellStyle name="40% - Accent1 11" xfId="119"/>
    <cellStyle name="40% - Accent1 11 10" xfId="2155"/>
    <cellStyle name="40% - Accent1 11 11" xfId="2156"/>
    <cellStyle name="40% - Accent1 11 12" xfId="2157"/>
    <cellStyle name="40% - Accent1 11 2" xfId="2158"/>
    <cellStyle name="40% - Accent1 11 3" xfId="2159"/>
    <cellStyle name="40% - Accent1 11 4" xfId="2160"/>
    <cellStyle name="40% - Accent1 11 5" xfId="2161"/>
    <cellStyle name="40% - Accent1 11 6" xfId="2162"/>
    <cellStyle name="40% - Accent1 11 7" xfId="2163"/>
    <cellStyle name="40% - Accent1 11 8" xfId="2164"/>
    <cellStyle name="40% - Accent1 11 9" xfId="2165"/>
    <cellStyle name="40% - Accent1 12" xfId="120"/>
    <cellStyle name="40% - Accent1 12 10" xfId="2166"/>
    <cellStyle name="40% - Accent1 12 11" xfId="2167"/>
    <cellStyle name="40% - Accent1 12 12" xfId="2168"/>
    <cellStyle name="40% - Accent1 12 2" xfId="2169"/>
    <cellStyle name="40% - Accent1 12 3" xfId="2170"/>
    <cellStyle name="40% - Accent1 12 4" xfId="2171"/>
    <cellStyle name="40% - Accent1 12 5" xfId="2172"/>
    <cellStyle name="40% - Accent1 12 6" xfId="2173"/>
    <cellStyle name="40% - Accent1 12 7" xfId="2174"/>
    <cellStyle name="40% - Accent1 12 8" xfId="2175"/>
    <cellStyle name="40% - Accent1 12 9" xfId="2176"/>
    <cellStyle name="40% - Accent1 13" xfId="121"/>
    <cellStyle name="40% - Accent1 13 10" xfId="2177"/>
    <cellStyle name="40% - Accent1 13 11" xfId="2178"/>
    <cellStyle name="40% - Accent1 13 12" xfId="2179"/>
    <cellStyle name="40% - Accent1 13 2" xfId="2180"/>
    <cellStyle name="40% - Accent1 13 3" xfId="2181"/>
    <cellStyle name="40% - Accent1 13 4" xfId="2182"/>
    <cellStyle name="40% - Accent1 13 5" xfId="2183"/>
    <cellStyle name="40% - Accent1 13 6" xfId="2184"/>
    <cellStyle name="40% - Accent1 13 7" xfId="2185"/>
    <cellStyle name="40% - Accent1 13 8" xfId="2186"/>
    <cellStyle name="40% - Accent1 13 9" xfId="2187"/>
    <cellStyle name="40% - Accent1 14" xfId="122"/>
    <cellStyle name="40% - Accent1 14 10" xfId="2188"/>
    <cellStyle name="40% - Accent1 14 11" xfId="2189"/>
    <cellStyle name="40% - Accent1 14 12" xfId="2190"/>
    <cellStyle name="40% - Accent1 14 2" xfId="2191"/>
    <cellStyle name="40% - Accent1 14 3" xfId="2192"/>
    <cellStyle name="40% - Accent1 14 4" xfId="2193"/>
    <cellStyle name="40% - Accent1 14 5" xfId="2194"/>
    <cellStyle name="40% - Accent1 14 6" xfId="2195"/>
    <cellStyle name="40% - Accent1 14 7" xfId="2196"/>
    <cellStyle name="40% - Accent1 14 8" xfId="2197"/>
    <cellStyle name="40% - Accent1 14 9" xfId="2198"/>
    <cellStyle name="40% - Accent1 15" xfId="123"/>
    <cellStyle name="40% - Accent1 15 10" xfId="2199"/>
    <cellStyle name="40% - Accent1 15 11" xfId="2200"/>
    <cellStyle name="40% - Accent1 15 12" xfId="2201"/>
    <cellStyle name="40% - Accent1 15 2" xfId="2202"/>
    <cellStyle name="40% - Accent1 15 3" xfId="2203"/>
    <cellStyle name="40% - Accent1 15 4" xfId="2204"/>
    <cellStyle name="40% - Accent1 15 5" xfId="2205"/>
    <cellStyle name="40% - Accent1 15 6" xfId="2206"/>
    <cellStyle name="40% - Accent1 15 7" xfId="2207"/>
    <cellStyle name="40% - Accent1 15 8" xfId="2208"/>
    <cellStyle name="40% - Accent1 15 9" xfId="2209"/>
    <cellStyle name="40% - Accent1 16" xfId="124"/>
    <cellStyle name="40% - Accent1 16 10" xfId="2210"/>
    <cellStyle name="40% - Accent1 16 11" xfId="2211"/>
    <cellStyle name="40% - Accent1 16 12" xfId="2212"/>
    <cellStyle name="40% - Accent1 16 2" xfId="2213"/>
    <cellStyle name="40% - Accent1 16 3" xfId="2214"/>
    <cellStyle name="40% - Accent1 16 4" xfId="2215"/>
    <cellStyle name="40% - Accent1 16 5" xfId="2216"/>
    <cellStyle name="40% - Accent1 16 6" xfId="2217"/>
    <cellStyle name="40% - Accent1 16 7" xfId="2218"/>
    <cellStyle name="40% - Accent1 16 8" xfId="2219"/>
    <cellStyle name="40% - Accent1 16 9" xfId="2220"/>
    <cellStyle name="40% - Accent1 17" xfId="125"/>
    <cellStyle name="40% - Accent1 17 10" xfId="2221"/>
    <cellStyle name="40% - Accent1 17 11" xfId="2222"/>
    <cellStyle name="40% - Accent1 17 12" xfId="2223"/>
    <cellStyle name="40% - Accent1 17 2" xfId="2224"/>
    <cellStyle name="40% - Accent1 17 3" xfId="2225"/>
    <cellStyle name="40% - Accent1 17 4" xfId="2226"/>
    <cellStyle name="40% - Accent1 17 5" xfId="2227"/>
    <cellStyle name="40% - Accent1 17 6" xfId="2228"/>
    <cellStyle name="40% - Accent1 17 7" xfId="2229"/>
    <cellStyle name="40% - Accent1 17 8" xfId="2230"/>
    <cellStyle name="40% - Accent1 17 9" xfId="2231"/>
    <cellStyle name="40% - Accent1 18" xfId="126"/>
    <cellStyle name="40% - Accent1 18 10" xfId="2232"/>
    <cellStyle name="40% - Accent1 18 11" xfId="2233"/>
    <cellStyle name="40% - Accent1 18 12" xfId="2234"/>
    <cellStyle name="40% - Accent1 18 2" xfId="2235"/>
    <cellStyle name="40% - Accent1 18 3" xfId="2236"/>
    <cellStyle name="40% - Accent1 18 4" xfId="2237"/>
    <cellStyle name="40% - Accent1 18 5" xfId="2238"/>
    <cellStyle name="40% - Accent1 18 6" xfId="2239"/>
    <cellStyle name="40% - Accent1 18 7" xfId="2240"/>
    <cellStyle name="40% - Accent1 18 8" xfId="2241"/>
    <cellStyle name="40% - Accent1 18 9" xfId="2242"/>
    <cellStyle name="40% - Accent1 19" xfId="127"/>
    <cellStyle name="40% - Accent1 19 10" xfId="2243"/>
    <cellStyle name="40% - Accent1 19 11" xfId="2244"/>
    <cellStyle name="40% - Accent1 19 12" xfId="2245"/>
    <cellStyle name="40% - Accent1 19 2" xfId="2246"/>
    <cellStyle name="40% - Accent1 19 3" xfId="2247"/>
    <cellStyle name="40% - Accent1 19 4" xfId="2248"/>
    <cellStyle name="40% - Accent1 19 5" xfId="2249"/>
    <cellStyle name="40% - Accent1 19 6" xfId="2250"/>
    <cellStyle name="40% - Accent1 19 7" xfId="2251"/>
    <cellStyle name="40% - Accent1 19 8" xfId="2252"/>
    <cellStyle name="40% - Accent1 19 9" xfId="2253"/>
    <cellStyle name="40% - Accent1 2" xfId="128"/>
    <cellStyle name="40% - Accent1 2 10" xfId="2254"/>
    <cellStyle name="40% - Accent1 2 11" xfId="2255"/>
    <cellStyle name="40% - Accent1 2 12" xfId="2256"/>
    <cellStyle name="40% - Accent1 2 2" xfId="2257"/>
    <cellStyle name="40% - Accent1 2 3" xfId="2258"/>
    <cellStyle name="40% - Accent1 2 4" xfId="2259"/>
    <cellStyle name="40% - Accent1 2 5" xfId="2260"/>
    <cellStyle name="40% - Accent1 2 6" xfId="2261"/>
    <cellStyle name="40% - Accent1 2 7" xfId="2262"/>
    <cellStyle name="40% - Accent1 2 8" xfId="2263"/>
    <cellStyle name="40% - Accent1 2 9" xfId="2264"/>
    <cellStyle name="40% - Accent1 3" xfId="129"/>
    <cellStyle name="40% - Accent1 3 10" xfId="2265"/>
    <cellStyle name="40% - Accent1 3 11" xfId="2266"/>
    <cellStyle name="40% - Accent1 3 12" xfId="2267"/>
    <cellStyle name="40% - Accent1 3 2" xfId="2268"/>
    <cellStyle name="40% - Accent1 3 3" xfId="2269"/>
    <cellStyle name="40% - Accent1 3 4" xfId="2270"/>
    <cellStyle name="40% - Accent1 3 5" xfId="2271"/>
    <cellStyle name="40% - Accent1 3 6" xfId="2272"/>
    <cellStyle name="40% - Accent1 3 7" xfId="2273"/>
    <cellStyle name="40% - Accent1 3 8" xfId="2274"/>
    <cellStyle name="40% - Accent1 3 9" xfId="2275"/>
    <cellStyle name="40% - Accent1 4" xfId="130"/>
    <cellStyle name="40% - Accent1 4 10" xfId="2276"/>
    <cellStyle name="40% - Accent1 4 11" xfId="2277"/>
    <cellStyle name="40% - Accent1 4 12" xfId="2278"/>
    <cellStyle name="40% - Accent1 4 2" xfId="2279"/>
    <cellStyle name="40% - Accent1 4 3" xfId="2280"/>
    <cellStyle name="40% - Accent1 4 4" xfId="2281"/>
    <cellStyle name="40% - Accent1 4 5" xfId="2282"/>
    <cellStyle name="40% - Accent1 4 6" xfId="2283"/>
    <cellStyle name="40% - Accent1 4 7" xfId="2284"/>
    <cellStyle name="40% - Accent1 4 8" xfId="2285"/>
    <cellStyle name="40% - Accent1 4 9" xfId="2286"/>
    <cellStyle name="40% - Accent1 5" xfId="131"/>
    <cellStyle name="40% - Accent1 5 10" xfId="2287"/>
    <cellStyle name="40% - Accent1 5 11" xfId="2288"/>
    <cellStyle name="40% - Accent1 5 12" xfId="2289"/>
    <cellStyle name="40% - Accent1 5 2" xfId="2290"/>
    <cellStyle name="40% - Accent1 5 3" xfId="2291"/>
    <cellStyle name="40% - Accent1 5 4" xfId="2292"/>
    <cellStyle name="40% - Accent1 5 5" xfId="2293"/>
    <cellStyle name="40% - Accent1 5 6" xfId="2294"/>
    <cellStyle name="40% - Accent1 5 7" xfId="2295"/>
    <cellStyle name="40% - Accent1 5 8" xfId="2296"/>
    <cellStyle name="40% - Accent1 5 9" xfId="2297"/>
    <cellStyle name="40% - Accent1 6" xfId="132"/>
    <cellStyle name="40% - Accent1 6 10" xfId="2298"/>
    <cellStyle name="40% - Accent1 6 11" xfId="2299"/>
    <cellStyle name="40% - Accent1 6 12" xfId="2300"/>
    <cellStyle name="40% - Accent1 6 2" xfId="2301"/>
    <cellStyle name="40% - Accent1 6 3" xfId="2302"/>
    <cellStyle name="40% - Accent1 6 4" xfId="2303"/>
    <cellStyle name="40% - Accent1 6 5" xfId="2304"/>
    <cellStyle name="40% - Accent1 6 6" xfId="2305"/>
    <cellStyle name="40% - Accent1 6 7" xfId="2306"/>
    <cellStyle name="40% - Accent1 6 8" xfId="2307"/>
    <cellStyle name="40% - Accent1 6 9" xfId="2308"/>
    <cellStyle name="40% - Accent1 7" xfId="133"/>
    <cellStyle name="40% - Accent1 7 10" xfId="2309"/>
    <cellStyle name="40% - Accent1 7 11" xfId="2310"/>
    <cellStyle name="40% - Accent1 7 12" xfId="2311"/>
    <cellStyle name="40% - Accent1 7 2" xfId="2312"/>
    <cellStyle name="40% - Accent1 7 3" xfId="2313"/>
    <cellStyle name="40% - Accent1 7 4" xfId="2314"/>
    <cellStyle name="40% - Accent1 7 5" xfId="2315"/>
    <cellStyle name="40% - Accent1 7 6" xfId="2316"/>
    <cellStyle name="40% - Accent1 7 7" xfId="2317"/>
    <cellStyle name="40% - Accent1 7 8" xfId="2318"/>
    <cellStyle name="40% - Accent1 7 9" xfId="2319"/>
    <cellStyle name="40% - Accent1 8" xfId="134"/>
    <cellStyle name="40% - Accent1 8 10" xfId="2320"/>
    <cellStyle name="40% - Accent1 8 11" xfId="2321"/>
    <cellStyle name="40% - Accent1 8 12" xfId="2322"/>
    <cellStyle name="40% - Accent1 8 2" xfId="2323"/>
    <cellStyle name="40% - Accent1 8 3" xfId="2324"/>
    <cellStyle name="40% - Accent1 8 4" xfId="2325"/>
    <cellStyle name="40% - Accent1 8 5" xfId="2326"/>
    <cellStyle name="40% - Accent1 8 6" xfId="2327"/>
    <cellStyle name="40% - Accent1 8 7" xfId="2328"/>
    <cellStyle name="40% - Accent1 8 8" xfId="2329"/>
    <cellStyle name="40% - Accent1 8 9" xfId="2330"/>
    <cellStyle name="40% - Accent1 9" xfId="135"/>
    <cellStyle name="40% - Accent1 9 10" xfId="2331"/>
    <cellStyle name="40% - Accent1 9 11" xfId="2332"/>
    <cellStyle name="40% - Accent1 9 12" xfId="2333"/>
    <cellStyle name="40% - Accent1 9 2" xfId="2334"/>
    <cellStyle name="40% - Accent1 9 3" xfId="2335"/>
    <cellStyle name="40% - Accent1 9 4" xfId="2336"/>
    <cellStyle name="40% - Accent1 9 5" xfId="2337"/>
    <cellStyle name="40% - Accent1 9 6" xfId="2338"/>
    <cellStyle name="40% - Accent1 9 7" xfId="2339"/>
    <cellStyle name="40% - Accent1 9 8" xfId="2340"/>
    <cellStyle name="40% - Accent1 9 9" xfId="2341"/>
    <cellStyle name="40% - Accent2 10" xfId="136"/>
    <cellStyle name="40% - Accent2 10 10" xfId="2342"/>
    <cellStyle name="40% - Accent2 10 11" xfId="2343"/>
    <cellStyle name="40% - Accent2 10 12" xfId="2344"/>
    <cellStyle name="40% - Accent2 10 2" xfId="2345"/>
    <cellStyle name="40% - Accent2 10 3" xfId="2346"/>
    <cellStyle name="40% - Accent2 10 4" xfId="2347"/>
    <cellStyle name="40% - Accent2 10 5" xfId="2348"/>
    <cellStyle name="40% - Accent2 10 6" xfId="2349"/>
    <cellStyle name="40% - Accent2 10 7" xfId="2350"/>
    <cellStyle name="40% - Accent2 10 8" xfId="2351"/>
    <cellStyle name="40% - Accent2 10 9" xfId="2352"/>
    <cellStyle name="40% - Accent2 11" xfId="137"/>
    <cellStyle name="40% - Accent2 11 10" xfId="2353"/>
    <cellStyle name="40% - Accent2 11 11" xfId="2354"/>
    <cellStyle name="40% - Accent2 11 12" xfId="2355"/>
    <cellStyle name="40% - Accent2 11 2" xfId="2356"/>
    <cellStyle name="40% - Accent2 11 3" xfId="2357"/>
    <cellStyle name="40% - Accent2 11 4" xfId="2358"/>
    <cellStyle name="40% - Accent2 11 5" xfId="2359"/>
    <cellStyle name="40% - Accent2 11 6" xfId="2360"/>
    <cellStyle name="40% - Accent2 11 7" xfId="2361"/>
    <cellStyle name="40% - Accent2 11 8" xfId="2362"/>
    <cellStyle name="40% - Accent2 11 9" xfId="2363"/>
    <cellStyle name="40% - Accent2 12" xfId="138"/>
    <cellStyle name="40% - Accent2 12 10" xfId="2364"/>
    <cellStyle name="40% - Accent2 12 11" xfId="2365"/>
    <cellStyle name="40% - Accent2 12 12" xfId="2366"/>
    <cellStyle name="40% - Accent2 12 2" xfId="2367"/>
    <cellStyle name="40% - Accent2 12 3" xfId="2368"/>
    <cellStyle name="40% - Accent2 12 4" xfId="2369"/>
    <cellStyle name="40% - Accent2 12 5" xfId="2370"/>
    <cellStyle name="40% - Accent2 12 6" xfId="2371"/>
    <cellStyle name="40% - Accent2 12 7" xfId="2372"/>
    <cellStyle name="40% - Accent2 12 8" xfId="2373"/>
    <cellStyle name="40% - Accent2 12 9" xfId="2374"/>
    <cellStyle name="40% - Accent2 13" xfId="139"/>
    <cellStyle name="40% - Accent2 13 10" xfId="2375"/>
    <cellStyle name="40% - Accent2 13 11" xfId="2376"/>
    <cellStyle name="40% - Accent2 13 12" xfId="2377"/>
    <cellStyle name="40% - Accent2 13 2" xfId="2378"/>
    <cellStyle name="40% - Accent2 13 3" xfId="2379"/>
    <cellStyle name="40% - Accent2 13 4" xfId="2380"/>
    <cellStyle name="40% - Accent2 13 5" xfId="2381"/>
    <cellStyle name="40% - Accent2 13 6" xfId="2382"/>
    <cellStyle name="40% - Accent2 13 7" xfId="2383"/>
    <cellStyle name="40% - Accent2 13 8" xfId="2384"/>
    <cellStyle name="40% - Accent2 13 9" xfId="2385"/>
    <cellStyle name="40% - Accent2 14" xfId="140"/>
    <cellStyle name="40% - Accent2 14 10" xfId="2386"/>
    <cellStyle name="40% - Accent2 14 11" xfId="2387"/>
    <cellStyle name="40% - Accent2 14 12" xfId="2388"/>
    <cellStyle name="40% - Accent2 14 2" xfId="2389"/>
    <cellStyle name="40% - Accent2 14 3" xfId="2390"/>
    <cellStyle name="40% - Accent2 14 4" xfId="2391"/>
    <cellStyle name="40% - Accent2 14 5" xfId="2392"/>
    <cellStyle name="40% - Accent2 14 6" xfId="2393"/>
    <cellStyle name="40% - Accent2 14 7" xfId="2394"/>
    <cellStyle name="40% - Accent2 14 8" xfId="2395"/>
    <cellStyle name="40% - Accent2 14 9" xfId="2396"/>
    <cellStyle name="40% - Accent2 15" xfId="141"/>
    <cellStyle name="40% - Accent2 15 10" xfId="2397"/>
    <cellStyle name="40% - Accent2 15 11" xfId="2398"/>
    <cellStyle name="40% - Accent2 15 12" xfId="2399"/>
    <cellStyle name="40% - Accent2 15 2" xfId="2400"/>
    <cellStyle name="40% - Accent2 15 3" xfId="2401"/>
    <cellStyle name="40% - Accent2 15 4" xfId="2402"/>
    <cellStyle name="40% - Accent2 15 5" xfId="2403"/>
    <cellStyle name="40% - Accent2 15 6" xfId="2404"/>
    <cellStyle name="40% - Accent2 15 7" xfId="2405"/>
    <cellStyle name="40% - Accent2 15 8" xfId="2406"/>
    <cellStyle name="40% - Accent2 15 9" xfId="2407"/>
    <cellStyle name="40% - Accent2 16" xfId="142"/>
    <cellStyle name="40% - Accent2 16 10" xfId="2408"/>
    <cellStyle name="40% - Accent2 16 11" xfId="2409"/>
    <cellStyle name="40% - Accent2 16 12" xfId="2410"/>
    <cellStyle name="40% - Accent2 16 2" xfId="2411"/>
    <cellStyle name="40% - Accent2 16 3" xfId="2412"/>
    <cellStyle name="40% - Accent2 16 4" xfId="2413"/>
    <cellStyle name="40% - Accent2 16 5" xfId="2414"/>
    <cellStyle name="40% - Accent2 16 6" xfId="2415"/>
    <cellStyle name="40% - Accent2 16 7" xfId="2416"/>
    <cellStyle name="40% - Accent2 16 8" xfId="2417"/>
    <cellStyle name="40% - Accent2 16 9" xfId="2418"/>
    <cellStyle name="40% - Accent2 17" xfId="143"/>
    <cellStyle name="40% - Accent2 17 10" xfId="2419"/>
    <cellStyle name="40% - Accent2 17 11" xfId="2420"/>
    <cellStyle name="40% - Accent2 17 12" xfId="2421"/>
    <cellStyle name="40% - Accent2 17 2" xfId="2422"/>
    <cellStyle name="40% - Accent2 17 3" xfId="2423"/>
    <cellStyle name="40% - Accent2 17 4" xfId="2424"/>
    <cellStyle name="40% - Accent2 17 5" xfId="2425"/>
    <cellStyle name="40% - Accent2 17 6" xfId="2426"/>
    <cellStyle name="40% - Accent2 17 7" xfId="2427"/>
    <cellStyle name="40% - Accent2 17 8" xfId="2428"/>
    <cellStyle name="40% - Accent2 17 9" xfId="2429"/>
    <cellStyle name="40% - Accent2 18" xfId="144"/>
    <cellStyle name="40% - Accent2 18 10" xfId="2430"/>
    <cellStyle name="40% - Accent2 18 11" xfId="2431"/>
    <cellStyle name="40% - Accent2 18 12" xfId="2432"/>
    <cellStyle name="40% - Accent2 18 2" xfId="2433"/>
    <cellStyle name="40% - Accent2 18 3" xfId="2434"/>
    <cellStyle name="40% - Accent2 18 4" xfId="2435"/>
    <cellStyle name="40% - Accent2 18 5" xfId="2436"/>
    <cellStyle name="40% - Accent2 18 6" xfId="2437"/>
    <cellStyle name="40% - Accent2 18 7" xfId="2438"/>
    <cellStyle name="40% - Accent2 18 8" xfId="2439"/>
    <cellStyle name="40% - Accent2 18 9" xfId="2440"/>
    <cellStyle name="40% - Accent2 19" xfId="145"/>
    <cellStyle name="40% - Accent2 19 10" xfId="2441"/>
    <cellStyle name="40% - Accent2 19 11" xfId="2442"/>
    <cellStyle name="40% - Accent2 19 12" xfId="2443"/>
    <cellStyle name="40% - Accent2 19 2" xfId="2444"/>
    <cellStyle name="40% - Accent2 19 3" xfId="2445"/>
    <cellStyle name="40% - Accent2 19 4" xfId="2446"/>
    <cellStyle name="40% - Accent2 19 5" xfId="2447"/>
    <cellStyle name="40% - Accent2 19 6" xfId="2448"/>
    <cellStyle name="40% - Accent2 19 7" xfId="2449"/>
    <cellStyle name="40% - Accent2 19 8" xfId="2450"/>
    <cellStyle name="40% - Accent2 19 9" xfId="2451"/>
    <cellStyle name="40% - Accent2 2" xfId="146"/>
    <cellStyle name="40% - Accent2 2 10" xfId="2452"/>
    <cellStyle name="40% - Accent2 2 11" xfId="2453"/>
    <cellStyle name="40% - Accent2 2 12" xfId="2454"/>
    <cellStyle name="40% - Accent2 2 2" xfId="2455"/>
    <cellStyle name="40% - Accent2 2 3" xfId="2456"/>
    <cellStyle name="40% - Accent2 2 4" xfId="2457"/>
    <cellStyle name="40% - Accent2 2 5" xfId="2458"/>
    <cellStyle name="40% - Accent2 2 6" xfId="2459"/>
    <cellStyle name="40% - Accent2 2 7" xfId="2460"/>
    <cellStyle name="40% - Accent2 2 8" xfId="2461"/>
    <cellStyle name="40% - Accent2 2 9" xfId="2462"/>
    <cellStyle name="40% - Accent2 3" xfId="147"/>
    <cellStyle name="40% - Accent2 3 10" xfId="2463"/>
    <cellStyle name="40% - Accent2 3 11" xfId="2464"/>
    <cellStyle name="40% - Accent2 3 12" xfId="2465"/>
    <cellStyle name="40% - Accent2 3 2" xfId="2466"/>
    <cellStyle name="40% - Accent2 3 3" xfId="2467"/>
    <cellStyle name="40% - Accent2 3 4" xfId="2468"/>
    <cellStyle name="40% - Accent2 3 5" xfId="2469"/>
    <cellStyle name="40% - Accent2 3 6" xfId="2470"/>
    <cellStyle name="40% - Accent2 3 7" xfId="2471"/>
    <cellStyle name="40% - Accent2 3 8" xfId="2472"/>
    <cellStyle name="40% - Accent2 3 9" xfId="2473"/>
    <cellStyle name="40% - Accent2 4" xfId="148"/>
    <cellStyle name="40% - Accent2 4 10" xfId="2474"/>
    <cellStyle name="40% - Accent2 4 11" xfId="2475"/>
    <cellStyle name="40% - Accent2 4 12" xfId="2476"/>
    <cellStyle name="40% - Accent2 4 2" xfId="2477"/>
    <cellStyle name="40% - Accent2 4 3" xfId="2478"/>
    <cellStyle name="40% - Accent2 4 4" xfId="2479"/>
    <cellStyle name="40% - Accent2 4 5" xfId="2480"/>
    <cellStyle name="40% - Accent2 4 6" xfId="2481"/>
    <cellStyle name="40% - Accent2 4 7" xfId="2482"/>
    <cellStyle name="40% - Accent2 4 8" xfId="2483"/>
    <cellStyle name="40% - Accent2 4 9" xfId="2484"/>
    <cellStyle name="40% - Accent2 5" xfId="149"/>
    <cellStyle name="40% - Accent2 5 10" xfId="2485"/>
    <cellStyle name="40% - Accent2 5 11" xfId="2486"/>
    <cellStyle name="40% - Accent2 5 12" xfId="2487"/>
    <cellStyle name="40% - Accent2 5 2" xfId="2488"/>
    <cellStyle name="40% - Accent2 5 3" xfId="2489"/>
    <cellStyle name="40% - Accent2 5 4" xfId="2490"/>
    <cellStyle name="40% - Accent2 5 5" xfId="2491"/>
    <cellStyle name="40% - Accent2 5 6" xfId="2492"/>
    <cellStyle name="40% - Accent2 5 7" xfId="2493"/>
    <cellStyle name="40% - Accent2 5 8" xfId="2494"/>
    <cellStyle name="40% - Accent2 5 9" xfId="2495"/>
    <cellStyle name="40% - Accent2 6" xfId="150"/>
    <cellStyle name="40% - Accent2 6 10" xfId="2496"/>
    <cellStyle name="40% - Accent2 6 11" xfId="2497"/>
    <cellStyle name="40% - Accent2 6 12" xfId="2498"/>
    <cellStyle name="40% - Accent2 6 2" xfId="2499"/>
    <cellStyle name="40% - Accent2 6 3" xfId="2500"/>
    <cellStyle name="40% - Accent2 6 4" xfId="2501"/>
    <cellStyle name="40% - Accent2 6 5" xfId="2502"/>
    <cellStyle name="40% - Accent2 6 6" xfId="2503"/>
    <cellStyle name="40% - Accent2 6 7" xfId="2504"/>
    <cellStyle name="40% - Accent2 6 8" xfId="2505"/>
    <cellStyle name="40% - Accent2 6 9" xfId="2506"/>
    <cellStyle name="40% - Accent2 7" xfId="151"/>
    <cellStyle name="40% - Accent2 7 10" xfId="2507"/>
    <cellStyle name="40% - Accent2 7 11" xfId="2508"/>
    <cellStyle name="40% - Accent2 7 12" xfId="2509"/>
    <cellStyle name="40% - Accent2 7 2" xfId="2510"/>
    <cellStyle name="40% - Accent2 7 3" xfId="2511"/>
    <cellStyle name="40% - Accent2 7 4" xfId="2512"/>
    <cellStyle name="40% - Accent2 7 5" xfId="2513"/>
    <cellStyle name="40% - Accent2 7 6" xfId="2514"/>
    <cellStyle name="40% - Accent2 7 7" xfId="2515"/>
    <cellStyle name="40% - Accent2 7 8" xfId="2516"/>
    <cellStyle name="40% - Accent2 7 9" xfId="2517"/>
    <cellStyle name="40% - Accent2 8" xfId="152"/>
    <cellStyle name="40% - Accent2 8 10" xfId="2518"/>
    <cellStyle name="40% - Accent2 8 11" xfId="2519"/>
    <cellStyle name="40% - Accent2 8 12" xfId="2520"/>
    <cellStyle name="40% - Accent2 8 2" xfId="2521"/>
    <cellStyle name="40% - Accent2 8 3" xfId="2522"/>
    <cellStyle name="40% - Accent2 8 4" xfId="2523"/>
    <cellStyle name="40% - Accent2 8 5" xfId="2524"/>
    <cellStyle name="40% - Accent2 8 6" xfId="2525"/>
    <cellStyle name="40% - Accent2 8 7" xfId="2526"/>
    <cellStyle name="40% - Accent2 8 8" xfId="2527"/>
    <cellStyle name="40% - Accent2 8 9" xfId="2528"/>
    <cellStyle name="40% - Accent2 9" xfId="153"/>
    <cellStyle name="40% - Accent2 9 10" xfId="2529"/>
    <cellStyle name="40% - Accent2 9 11" xfId="2530"/>
    <cellStyle name="40% - Accent2 9 12" xfId="2531"/>
    <cellStyle name="40% - Accent2 9 2" xfId="2532"/>
    <cellStyle name="40% - Accent2 9 3" xfId="2533"/>
    <cellStyle name="40% - Accent2 9 4" xfId="2534"/>
    <cellStyle name="40% - Accent2 9 5" xfId="2535"/>
    <cellStyle name="40% - Accent2 9 6" xfId="2536"/>
    <cellStyle name="40% - Accent2 9 7" xfId="2537"/>
    <cellStyle name="40% - Accent2 9 8" xfId="2538"/>
    <cellStyle name="40% - Accent2 9 9" xfId="2539"/>
    <cellStyle name="40% - Accent3 10" xfId="154"/>
    <cellStyle name="40% - Accent3 10 10" xfId="2540"/>
    <cellStyle name="40% - Accent3 10 11" xfId="2541"/>
    <cellStyle name="40% - Accent3 10 12" xfId="2542"/>
    <cellStyle name="40% - Accent3 10 2" xfId="2543"/>
    <cellStyle name="40% - Accent3 10 3" xfId="2544"/>
    <cellStyle name="40% - Accent3 10 4" xfId="2545"/>
    <cellStyle name="40% - Accent3 10 5" xfId="2546"/>
    <cellStyle name="40% - Accent3 10 6" xfId="2547"/>
    <cellStyle name="40% - Accent3 10 7" xfId="2548"/>
    <cellStyle name="40% - Accent3 10 8" xfId="2549"/>
    <cellStyle name="40% - Accent3 10 9" xfId="2550"/>
    <cellStyle name="40% - Accent3 11" xfId="155"/>
    <cellStyle name="40% - Accent3 11 10" xfId="2551"/>
    <cellStyle name="40% - Accent3 11 11" xfId="2552"/>
    <cellStyle name="40% - Accent3 11 12" xfId="2553"/>
    <cellStyle name="40% - Accent3 11 2" xfId="2554"/>
    <cellStyle name="40% - Accent3 11 3" xfId="2555"/>
    <cellStyle name="40% - Accent3 11 4" xfId="2556"/>
    <cellStyle name="40% - Accent3 11 5" xfId="2557"/>
    <cellStyle name="40% - Accent3 11 6" xfId="2558"/>
    <cellStyle name="40% - Accent3 11 7" xfId="2559"/>
    <cellStyle name="40% - Accent3 11 8" xfId="2560"/>
    <cellStyle name="40% - Accent3 11 9" xfId="2561"/>
    <cellStyle name="40% - Accent3 12" xfId="156"/>
    <cellStyle name="40% - Accent3 12 10" xfId="2562"/>
    <cellStyle name="40% - Accent3 12 11" xfId="2563"/>
    <cellStyle name="40% - Accent3 12 12" xfId="2564"/>
    <cellStyle name="40% - Accent3 12 2" xfId="2565"/>
    <cellStyle name="40% - Accent3 12 3" xfId="2566"/>
    <cellStyle name="40% - Accent3 12 4" xfId="2567"/>
    <cellStyle name="40% - Accent3 12 5" xfId="2568"/>
    <cellStyle name="40% - Accent3 12 6" xfId="2569"/>
    <cellStyle name="40% - Accent3 12 7" xfId="2570"/>
    <cellStyle name="40% - Accent3 12 8" xfId="2571"/>
    <cellStyle name="40% - Accent3 12 9" xfId="2572"/>
    <cellStyle name="40% - Accent3 13" xfId="157"/>
    <cellStyle name="40% - Accent3 13 10" xfId="2573"/>
    <cellStyle name="40% - Accent3 13 11" xfId="2574"/>
    <cellStyle name="40% - Accent3 13 12" xfId="2575"/>
    <cellStyle name="40% - Accent3 13 2" xfId="2576"/>
    <cellStyle name="40% - Accent3 13 3" xfId="2577"/>
    <cellStyle name="40% - Accent3 13 4" xfId="2578"/>
    <cellStyle name="40% - Accent3 13 5" xfId="2579"/>
    <cellStyle name="40% - Accent3 13 6" xfId="2580"/>
    <cellStyle name="40% - Accent3 13 7" xfId="2581"/>
    <cellStyle name="40% - Accent3 13 8" xfId="2582"/>
    <cellStyle name="40% - Accent3 13 9" xfId="2583"/>
    <cellStyle name="40% - Accent3 14" xfId="158"/>
    <cellStyle name="40% - Accent3 14 10" xfId="2584"/>
    <cellStyle name="40% - Accent3 14 11" xfId="2585"/>
    <cellStyle name="40% - Accent3 14 12" xfId="2586"/>
    <cellStyle name="40% - Accent3 14 2" xfId="2587"/>
    <cellStyle name="40% - Accent3 14 3" xfId="2588"/>
    <cellStyle name="40% - Accent3 14 4" xfId="2589"/>
    <cellStyle name="40% - Accent3 14 5" xfId="2590"/>
    <cellStyle name="40% - Accent3 14 6" xfId="2591"/>
    <cellStyle name="40% - Accent3 14 7" xfId="2592"/>
    <cellStyle name="40% - Accent3 14 8" xfId="2593"/>
    <cellStyle name="40% - Accent3 14 9" xfId="2594"/>
    <cellStyle name="40% - Accent3 15" xfId="159"/>
    <cellStyle name="40% - Accent3 15 10" xfId="2595"/>
    <cellStyle name="40% - Accent3 15 11" xfId="2596"/>
    <cellStyle name="40% - Accent3 15 12" xfId="2597"/>
    <cellStyle name="40% - Accent3 15 2" xfId="2598"/>
    <cellStyle name="40% - Accent3 15 3" xfId="2599"/>
    <cellStyle name="40% - Accent3 15 4" xfId="2600"/>
    <cellStyle name="40% - Accent3 15 5" xfId="2601"/>
    <cellStyle name="40% - Accent3 15 6" xfId="2602"/>
    <cellStyle name="40% - Accent3 15 7" xfId="2603"/>
    <cellStyle name="40% - Accent3 15 8" xfId="2604"/>
    <cellStyle name="40% - Accent3 15 9" xfId="2605"/>
    <cellStyle name="40% - Accent3 16" xfId="160"/>
    <cellStyle name="40% - Accent3 16 10" xfId="2606"/>
    <cellStyle name="40% - Accent3 16 11" xfId="2607"/>
    <cellStyle name="40% - Accent3 16 12" xfId="2608"/>
    <cellStyle name="40% - Accent3 16 2" xfId="2609"/>
    <cellStyle name="40% - Accent3 16 3" xfId="2610"/>
    <cellStyle name="40% - Accent3 16 4" xfId="2611"/>
    <cellStyle name="40% - Accent3 16 5" xfId="2612"/>
    <cellStyle name="40% - Accent3 16 6" xfId="2613"/>
    <cellStyle name="40% - Accent3 16 7" xfId="2614"/>
    <cellStyle name="40% - Accent3 16 8" xfId="2615"/>
    <cellStyle name="40% - Accent3 16 9" xfId="2616"/>
    <cellStyle name="40% - Accent3 17" xfId="161"/>
    <cellStyle name="40% - Accent3 17 10" xfId="2617"/>
    <cellStyle name="40% - Accent3 17 11" xfId="2618"/>
    <cellStyle name="40% - Accent3 17 12" xfId="2619"/>
    <cellStyle name="40% - Accent3 17 2" xfId="2620"/>
    <cellStyle name="40% - Accent3 17 3" xfId="2621"/>
    <cellStyle name="40% - Accent3 17 4" xfId="2622"/>
    <cellStyle name="40% - Accent3 17 5" xfId="2623"/>
    <cellStyle name="40% - Accent3 17 6" xfId="2624"/>
    <cellStyle name="40% - Accent3 17 7" xfId="2625"/>
    <cellStyle name="40% - Accent3 17 8" xfId="2626"/>
    <cellStyle name="40% - Accent3 17 9" xfId="2627"/>
    <cellStyle name="40% - Accent3 18" xfId="162"/>
    <cellStyle name="40% - Accent3 18 10" xfId="2628"/>
    <cellStyle name="40% - Accent3 18 11" xfId="2629"/>
    <cellStyle name="40% - Accent3 18 12" xfId="2630"/>
    <cellStyle name="40% - Accent3 18 2" xfId="2631"/>
    <cellStyle name="40% - Accent3 18 3" xfId="2632"/>
    <cellStyle name="40% - Accent3 18 4" xfId="2633"/>
    <cellStyle name="40% - Accent3 18 5" xfId="2634"/>
    <cellStyle name="40% - Accent3 18 6" xfId="2635"/>
    <cellStyle name="40% - Accent3 18 7" xfId="2636"/>
    <cellStyle name="40% - Accent3 18 8" xfId="2637"/>
    <cellStyle name="40% - Accent3 18 9" xfId="2638"/>
    <cellStyle name="40% - Accent3 19" xfId="163"/>
    <cellStyle name="40% - Accent3 19 10" xfId="2639"/>
    <cellStyle name="40% - Accent3 19 11" xfId="2640"/>
    <cellStyle name="40% - Accent3 19 12" xfId="2641"/>
    <cellStyle name="40% - Accent3 19 2" xfId="2642"/>
    <cellStyle name="40% - Accent3 19 3" xfId="2643"/>
    <cellStyle name="40% - Accent3 19 4" xfId="2644"/>
    <cellStyle name="40% - Accent3 19 5" xfId="2645"/>
    <cellStyle name="40% - Accent3 19 6" xfId="2646"/>
    <cellStyle name="40% - Accent3 19 7" xfId="2647"/>
    <cellStyle name="40% - Accent3 19 8" xfId="2648"/>
    <cellStyle name="40% - Accent3 19 9" xfId="2649"/>
    <cellStyle name="40% - Accent3 2" xfId="164"/>
    <cellStyle name="40% - Accent3 2 10" xfId="2650"/>
    <cellStyle name="40% - Accent3 2 11" xfId="2651"/>
    <cellStyle name="40% - Accent3 2 12" xfId="2652"/>
    <cellStyle name="40% - Accent3 2 2" xfId="2653"/>
    <cellStyle name="40% - Accent3 2 3" xfId="2654"/>
    <cellStyle name="40% - Accent3 2 4" xfId="2655"/>
    <cellStyle name="40% - Accent3 2 5" xfId="2656"/>
    <cellStyle name="40% - Accent3 2 6" xfId="2657"/>
    <cellStyle name="40% - Accent3 2 7" xfId="2658"/>
    <cellStyle name="40% - Accent3 2 8" xfId="2659"/>
    <cellStyle name="40% - Accent3 2 9" xfId="2660"/>
    <cellStyle name="40% - Accent3 3" xfId="165"/>
    <cellStyle name="40% - Accent3 3 10" xfId="2661"/>
    <cellStyle name="40% - Accent3 3 11" xfId="2662"/>
    <cellStyle name="40% - Accent3 3 12" xfId="2663"/>
    <cellStyle name="40% - Accent3 3 2" xfId="2664"/>
    <cellStyle name="40% - Accent3 3 3" xfId="2665"/>
    <cellStyle name="40% - Accent3 3 4" xfId="2666"/>
    <cellStyle name="40% - Accent3 3 5" xfId="2667"/>
    <cellStyle name="40% - Accent3 3 6" xfId="2668"/>
    <cellStyle name="40% - Accent3 3 7" xfId="2669"/>
    <cellStyle name="40% - Accent3 3 8" xfId="2670"/>
    <cellStyle name="40% - Accent3 3 9" xfId="2671"/>
    <cellStyle name="40% - Accent3 4" xfId="166"/>
    <cellStyle name="40% - Accent3 4 10" xfId="2672"/>
    <cellStyle name="40% - Accent3 4 11" xfId="2673"/>
    <cellStyle name="40% - Accent3 4 12" xfId="2674"/>
    <cellStyle name="40% - Accent3 4 2" xfId="2675"/>
    <cellStyle name="40% - Accent3 4 3" xfId="2676"/>
    <cellStyle name="40% - Accent3 4 4" xfId="2677"/>
    <cellStyle name="40% - Accent3 4 5" xfId="2678"/>
    <cellStyle name="40% - Accent3 4 6" xfId="2679"/>
    <cellStyle name="40% - Accent3 4 7" xfId="2680"/>
    <cellStyle name="40% - Accent3 4 8" xfId="2681"/>
    <cellStyle name="40% - Accent3 4 9" xfId="2682"/>
    <cellStyle name="40% - Accent3 5" xfId="167"/>
    <cellStyle name="40% - Accent3 5 10" xfId="2683"/>
    <cellStyle name="40% - Accent3 5 11" xfId="2684"/>
    <cellStyle name="40% - Accent3 5 12" xfId="2685"/>
    <cellStyle name="40% - Accent3 5 2" xfId="2686"/>
    <cellStyle name="40% - Accent3 5 3" xfId="2687"/>
    <cellStyle name="40% - Accent3 5 4" xfId="2688"/>
    <cellStyle name="40% - Accent3 5 5" xfId="2689"/>
    <cellStyle name="40% - Accent3 5 6" xfId="2690"/>
    <cellStyle name="40% - Accent3 5 7" xfId="2691"/>
    <cellStyle name="40% - Accent3 5 8" xfId="2692"/>
    <cellStyle name="40% - Accent3 5 9" xfId="2693"/>
    <cellStyle name="40% - Accent3 6" xfId="168"/>
    <cellStyle name="40% - Accent3 6 10" xfId="2694"/>
    <cellStyle name="40% - Accent3 6 11" xfId="2695"/>
    <cellStyle name="40% - Accent3 6 12" xfId="2696"/>
    <cellStyle name="40% - Accent3 6 2" xfId="2697"/>
    <cellStyle name="40% - Accent3 6 3" xfId="2698"/>
    <cellStyle name="40% - Accent3 6 4" xfId="2699"/>
    <cellStyle name="40% - Accent3 6 5" xfId="2700"/>
    <cellStyle name="40% - Accent3 6 6" xfId="2701"/>
    <cellStyle name="40% - Accent3 6 7" xfId="2702"/>
    <cellStyle name="40% - Accent3 6 8" xfId="2703"/>
    <cellStyle name="40% - Accent3 6 9" xfId="2704"/>
    <cellStyle name="40% - Accent3 7" xfId="169"/>
    <cellStyle name="40% - Accent3 7 10" xfId="2705"/>
    <cellStyle name="40% - Accent3 7 11" xfId="2706"/>
    <cellStyle name="40% - Accent3 7 12" xfId="2707"/>
    <cellStyle name="40% - Accent3 7 2" xfId="2708"/>
    <cellStyle name="40% - Accent3 7 3" xfId="2709"/>
    <cellStyle name="40% - Accent3 7 4" xfId="2710"/>
    <cellStyle name="40% - Accent3 7 5" xfId="2711"/>
    <cellStyle name="40% - Accent3 7 6" xfId="2712"/>
    <cellStyle name="40% - Accent3 7 7" xfId="2713"/>
    <cellStyle name="40% - Accent3 7 8" xfId="2714"/>
    <cellStyle name="40% - Accent3 7 9" xfId="2715"/>
    <cellStyle name="40% - Accent3 8" xfId="170"/>
    <cellStyle name="40% - Accent3 8 10" xfId="2716"/>
    <cellStyle name="40% - Accent3 8 11" xfId="2717"/>
    <cellStyle name="40% - Accent3 8 12" xfId="2718"/>
    <cellStyle name="40% - Accent3 8 2" xfId="2719"/>
    <cellStyle name="40% - Accent3 8 3" xfId="2720"/>
    <cellStyle name="40% - Accent3 8 4" xfId="2721"/>
    <cellStyle name="40% - Accent3 8 5" xfId="2722"/>
    <cellStyle name="40% - Accent3 8 6" xfId="2723"/>
    <cellStyle name="40% - Accent3 8 7" xfId="2724"/>
    <cellStyle name="40% - Accent3 8 8" xfId="2725"/>
    <cellStyle name="40% - Accent3 8 9" xfId="2726"/>
    <cellStyle name="40% - Accent3 9" xfId="171"/>
    <cellStyle name="40% - Accent3 9 10" xfId="2727"/>
    <cellStyle name="40% - Accent3 9 11" xfId="2728"/>
    <cellStyle name="40% - Accent3 9 12" xfId="2729"/>
    <cellStyle name="40% - Accent3 9 2" xfId="2730"/>
    <cellStyle name="40% - Accent3 9 3" xfId="2731"/>
    <cellStyle name="40% - Accent3 9 4" xfId="2732"/>
    <cellStyle name="40% - Accent3 9 5" xfId="2733"/>
    <cellStyle name="40% - Accent3 9 6" xfId="2734"/>
    <cellStyle name="40% - Accent3 9 7" xfId="2735"/>
    <cellStyle name="40% - Accent3 9 8" xfId="2736"/>
    <cellStyle name="40% - Accent3 9 9" xfId="2737"/>
    <cellStyle name="40% - Accent4 10" xfId="172"/>
    <cellStyle name="40% - Accent4 10 10" xfId="2738"/>
    <cellStyle name="40% - Accent4 10 11" xfId="2739"/>
    <cellStyle name="40% - Accent4 10 12" xfId="2740"/>
    <cellStyle name="40% - Accent4 10 2" xfId="2741"/>
    <cellStyle name="40% - Accent4 10 3" xfId="2742"/>
    <cellStyle name="40% - Accent4 10 4" xfId="2743"/>
    <cellStyle name="40% - Accent4 10 5" xfId="2744"/>
    <cellStyle name="40% - Accent4 10 6" xfId="2745"/>
    <cellStyle name="40% - Accent4 10 7" xfId="2746"/>
    <cellStyle name="40% - Accent4 10 8" xfId="2747"/>
    <cellStyle name="40% - Accent4 10 9" xfId="2748"/>
    <cellStyle name="40% - Accent4 11" xfId="173"/>
    <cellStyle name="40% - Accent4 11 10" xfId="2749"/>
    <cellStyle name="40% - Accent4 11 11" xfId="2750"/>
    <cellStyle name="40% - Accent4 11 12" xfId="2751"/>
    <cellStyle name="40% - Accent4 11 2" xfId="2752"/>
    <cellStyle name="40% - Accent4 11 3" xfId="2753"/>
    <cellStyle name="40% - Accent4 11 4" xfId="2754"/>
    <cellStyle name="40% - Accent4 11 5" xfId="2755"/>
    <cellStyle name="40% - Accent4 11 6" xfId="2756"/>
    <cellStyle name="40% - Accent4 11 7" xfId="2757"/>
    <cellStyle name="40% - Accent4 11 8" xfId="2758"/>
    <cellStyle name="40% - Accent4 11 9" xfId="2759"/>
    <cellStyle name="40% - Accent4 12" xfId="174"/>
    <cellStyle name="40% - Accent4 12 10" xfId="2760"/>
    <cellStyle name="40% - Accent4 12 11" xfId="2761"/>
    <cellStyle name="40% - Accent4 12 12" xfId="2762"/>
    <cellStyle name="40% - Accent4 12 2" xfId="2763"/>
    <cellStyle name="40% - Accent4 12 3" xfId="2764"/>
    <cellStyle name="40% - Accent4 12 4" xfId="2765"/>
    <cellStyle name="40% - Accent4 12 5" xfId="2766"/>
    <cellStyle name="40% - Accent4 12 6" xfId="2767"/>
    <cellStyle name="40% - Accent4 12 7" xfId="2768"/>
    <cellStyle name="40% - Accent4 12 8" xfId="2769"/>
    <cellStyle name="40% - Accent4 12 9" xfId="2770"/>
    <cellStyle name="40% - Accent4 13" xfId="175"/>
    <cellStyle name="40% - Accent4 13 10" xfId="2771"/>
    <cellStyle name="40% - Accent4 13 11" xfId="2772"/>
    <cellStyle name="40% - Accent4 13 12" xfId="2773"/>
    <cellStyle name="40% - Accent4 13 2" xfId="2774"/>
    <cellStyle name="40% - Accent4 13 3" xfId="2775"/>
    <cellStyle name="40% - Accent4 13 4" xfId="2776"/>
    <cellStyle name="40% - Accent4 13 5" xfId="2777"/>
    <cellStyle name="40% - Accent4 13 6" xfId="2778"/>
    <cellStyle name="40% - Accent4 13 7" xfId="2779"/>
    <cellStyle name="40% - Accent4 13 8" xfId="2780"/>
    <cellStyle name="40% - Accent4 13 9" xfId="2781"/>
    <cellStyle name="40% - Accent4 14" xfId="176"/>
    <cellStyle name="40% - Accent4 14 10" xfId="2782"/>
    <cellStyle name="40% - Accent4 14 11" xfId="2783"/>
    <cellStyle name="40% - Accent4 14 12" xfId="2784"/>
    <cellStyle name="40% - Accent4 14 2" xfId="2785"/>
    <cellStyle name="40% - Accent4 14 3" xfId="2786"/>
    <cellStyle name="40% - Accent4 14 4" xfId="2787"/>
    <cellStyle name="40% - Accent4 14 5" xfId="2788"/>
    <cellStyle name="40% - Accent4 14 6" xfId="2789"/>
    <cellStyle name="40% - Accent4 14 7" xfId="2790"/>
    <cellStyle name="40% - Accent4 14 8" xfId="2791"/>
    <cellStyle name="40% - Accent4 14 9" xfId="2792"/>
    <cellStyle name="40% - Accent4 15" xfId="177"/>
    <cellStyle name="40% - Accent4 15 10" xfId="2793"/>
    <cellStyle name="40% - Accent4 15 11" xfId="2794"/>
    <cellStyle name="40% - Accent4 15 12" xfId="2795"/>
    <cellStyle name="40% - Accent4 15 2" xfId="2796"/>
    <cellStyle name="40% - Accent4 15 3" xfId="2797"/>
    <cellStyle name="40% - Accent4 15 4" xfId="2798"/>
    <cellStyle name="40% - Accent4 15 5" xfId="2799"/>
    <cellStyle name="40% - Accent4 15 6" xfId="2800"/>
    <cellStyle name="40% - Accent4 15 7" xfId="2801"/>
    <cellStyle name="40% - Accent4 15 8" xfId="2802"/>
    <cellStyle name="40% - Accent4 15 9" xfId="2803"/>
    <cellStyle name="40% - Accent4 16" xfId="178"/>
    <cellStyle name="40% - Accent4 16 10" xfId="2804"/>
    <cellStyle name="40% - Accent4 16 11" xfId="2805"/>
    <cellStyle name="40% - Accent4 16 12" xfId="2806"/>
    <cellStyle name="40% - Accent4 16 2" xfId="2807"/>
    <cellStyle name="40% - Accent4 16 3" xfId="2808"/>
    <cellStyle name="40% - Accent4 16 4" xfId="2809"/>
    <cellStyle name="40% - Accent4 16 5" xfId="2810"/>
    <cellStyle name="40% - Accent4 16 6" xfId="2811"/>
    <cellStyle name="40% - Accent4 16 7" xfId="2812"/>
    <cellStyle name="40% - Accent4 16 8" xfId="2813"/>
    <cellStyle name="40% - Accent4 16 9" xfId="2814"/>
    <cellStyle name="40% - Accent4 17" xfId="179"/>
    <cellStyle name="40% - Accent4 17 10" xfId="2815"/>
    <cellStyle name="40% - Accent4 17 11" xfId="2816"/>
    <cellStyle name="40% - Accent4 17 12" xfId="2817"/>
    <cellStyle name="40% - Accent4 17 2" xfId="2818"/>
    <cellStyle name="40% - Accent4 17 3" xfId="2819"/>
    <cellStyle name="40% - Accent4 17 4" xfId="2820"/>
    <cellStyle name="40% - Accent4 17 5" xfId="2821"/>
    <cellStyle name="40% - Accent4 17 6" xfId="2822"/>
    <cellStyle name="40% - Accent4 17 7" xfId="2823"/>
    <cellStyle name="40% - Accent4 17 8" xfId="2824"/>
    <cellStyle name="40% - Accent4 17 9" xfId="2825"/>
    <cellStyle name="40% - Accent4 18" xfId="180"/>
    <cellStyle name="40% - Accent4 18 10" xfId="2826"/>
    <cellStyle name="40% - Accent4 18 11" xfId="2827"/>
    <cellStyle name="40% - Accent4 18 12" xfId="2828"/>
    <cellStyle name="40% - Accent4 18 2" xfId="2829"/>
    <cellStyle name="40% - Accent4 18 3" xfId="2830"/>
    <cellStyle name="40% - Accent4 18 4" xfId="2831"/>
    <cellStyle name="40% - Accent4 18 5" xfId="2832"/>
    <cellStyle name="40% - Accent4 18 6" xfId="2833"/>
    <cellStyle name="40% - Accent4 18 7" xfId="2834"/>
    <cellStyle name="40% - Accent4 18 8" xfId="2835"/>
    <cellStyle name="40% - Accent4 18 9" xfId="2836"/>
    <cellStyle name="40% - Accent4 19" xfId="181"/>
    <cellStyle name="40% - Accent4 19 10" xfId="2837"/>
    <cellStyle name="40% - Accent4 19 11" xfId="2838"/>
    <cellStyle name="40% - Accent4 19 12" xfId="2839"/>
    <cellStyle name="40% - Accent4 19 2" xfId="2840"/>
    <cellStyle name="40% - Accent4 19 3" xfId="2841"/>
    <cellStyle name="40% - Accent4 19 4" xfId="2842"/>
    <cellStyle name="40% - Accent4 19 5" xfId="2843"/>
    <cellStyle name="40% - Accent4 19 6" xfId="2844"/>
    <cellStyle name="40% - Accent4 19 7" xfId="2845"/>
    <cellStyle name="40% - Accent4 19 8" xfId="2846"/>
    <cellStyle name="40% - Accent4 19 9" xfId="2847"/>
    <cellStyle name="40% - Accent4 2" xfId="182"/>
    <cellStyle name="40% - Accent4 2 10" xfId="2848"/>
    <cellStyle name="40% - Accent4 2 11" xfId="2849"/>
    <cellStyle name="40% - Accent4 2 12" xfId="2850"/>
    <cellStyle name="40% - Accent4 2 2" xfId="2851"/>
    <cellStyle name="40% - Accent4 2 3" xfId="2852"/>
    <cellStyle name="40% - Accent4 2 4" xfId="2853"/>
    <cellStyle name="40% - Accent4 2 5" xfId="2854"/>
    <cellStyle name="40% - Accent4 2 6" xfId="2855"/>
    <cellStyle name="40% - Accent4 2 7" xfId="2856"/>
    <cellStyle name="40% - Accent4 2 8" xfId="2857"/>
    <cellStyle name="40% - Accent4 2 9" xfId="2858"/>
    <cellStyle name="40% - Accent4 3" xfId="183"/>
    <cellStyle name="40% - Accent4 3 10" xfId="2859"/>
    <cellStyle name="40% - Accent4 3 11" xfId="2860"/>
    <cellStyle name="40% - Accent4 3 12" xfId="2861"/>
    <cellStyle name="40% - Accent4 3 2" xfId="2862"/>
    <cellStyle name="40% - Accent4 3 3" xfId="2863"/>
    <cellStyle name="40% - Accent4 3 4" xfId="2864"/>
    <cellStyle name="40% - Accent4 3 5" xfId="2865"/>
    <cellStyle name="40% - Accent4 3 6" xfId="2866"/>
    <cellStyle name="40% - Accent4 3 7" xfId="2867"/>
    <cellStyle name="40% - Accent4 3 8" xfId="2868"/>
    <cellStyle name="40% - Accent4 3 9" xfId="2869"/>
    <cellStyle name="40% - Accent4 4" xfId="184"/>
    <cellStyle name="40% - Accent4 4 10" xfId="2870"/>
    <cellStyle name="40% - Accent4 4 11" xfId="2871"/>
    <cellStyle name="40% - Accent4 4 12" xfId="2872"/>
    <cellStyle name="40% - Accent4 4 2" xfId="2873"/>
    <cellStyle name="40% - Accent4 4 3" xfId="2874"/>
    <cellStyle name="40% - Accent4 4 4" xfId="2875"/>
    <cellStyle name="40% - Accent4 4 5" xfId="2876"/>
    <cellStyle name="40% - Accent4 4 6" xfId="2877"/>
    <cellStyle name="40% - Accent4 4 7" xfId="2878"/>
    <cellStyle name="40% - Accent4 4 8" xfId="2879"/>
    <cellStyle name="40% - Accent4 4 9" xfId="2880"/>
    <cellStyle name="40% - Accent4 5" xfId="185"/>
    <cellStyle name="40% - Accent4 5 10" xfId="2881"/>
    <cellStyle name="40% - Accent4 5 11" xfId="2882"/>
    <cellStyle name="40% - Accent4 5 12" xfId="2883"/>
    <cellStyle name="40% - Accent4 5 2" xfId="2884"/>
    <cellStyle name="40% - Accent4 5 3" xfId="2885"/>
    <cellStyle name="40% - Accent4 5 4" xfId="2886"/>
    <cellStyle name="40% - Accent4 5 5" xfId="2887"/>
    <cellStyle name="40% - Accent4 5 6" xfId="2888"/>
    <cellStyle name="40% - Accent4 5 7" xfId="2889"/>
    <cellStyle name="40% - Accent4 5 8" xfId="2890"/>
    <cellStyle name="40% - Accent4 5 9" xfId="2891"/>
    <cellStyle name="40% - Accent4 6" xfId="186"/>
    <cellStyle name="40% - Accent4 6 10" xfId="2892"/>
    <cellStyle name="40% - Accent4 6 11" xfId="2893"/>
    <cellStyle name="40% - Accent4 6 12" xfId="2894"/>
    <cellStyle name="40% - Accent4 6 2" xfId="2895"/>
    <cellStyle name="40% - Accent4 6 3" xfId="2896"/>
    <cellStyle name="40% - Accent4 6 4" xfId="2897"/>
    <cellStyle name="40% - Accent4 6 5" xfId="2898"/>
    <cellStyle name="40% - Accent4 6 6" xfId="2899"/>
    <cellStyle name="40% - Accent4 6 7" xfId="2900"/>
    <cellStyle name="40% - Accent4 6 8" xfId="2901"/>
    <cellStyle name="40% - Accent4 6 9" xfId="2902"/>
    <cellStyle name="40% - Accent4 7" xfId="187"/>
    <cellStyle name="40% - Accent4 7 10" xfId="2903"/>
    <cellStyle name="40% - Accent4 7 11" xfId="2904"/>
    <cellStyle name="40% - Accent4 7 12" xfId="2905"/>
    <cellStyle name="40% - Accent4 7 2" xfId="2906"/>
    <cellStyle name="40% - Accent4 7 3" xfId="2907"/>
    <cellStyle name="40% - Accent4 7 4" xfId="2908"/>
    <cellStyle name="40% - Accent4 7 5" xfId="2909"/>
    <cellStyle name="40% - Accent4 7 6" xfId="2910"/>
    <cellStyle name="40% - Accent4 7 7" xfId="2911"/>
    <cellStyle name="40% - Accent4 7 8" xfId="2912"/>
    <cellStyle name="40% - Accent4 7 9" xfId="2913"/>
    <cellStyle name="40% - Accent4 8" xfId="188"/>
    <cellStyle name="40% - Accent4 8 10" xfId="2914"/>
    <cellStyle name="40% - Accent4 8 11" xfId="2915"/>
    <cellStyle name="40% - Accent4 8 12" xfId="2916"/>
    <cellStyle name="40% - Accent4 8 2" xfId="2917"/>
    <cellStyle name="40% - Accent4 8 3" xfId="2918"/>
    <cellStyle name="40% - Accent4 8 4" xfId="2919"/>
    <cellStyle name="40% - Accent4 8 5" xfId="2920"/>
    <cellStyle name="40% - Accent4 8 6" xfId="2921"/>
    <cellStyle name="40% - Accent4 8 7" xfId="2922"/>
    <cellStyle name="40% - Accent4 8 8" xfId="2923"/>
    <cellStyle name="40% - Accent4 8 9" xfId="2924"/>
    <cellStyle name="40% - Accent4 9" xfId="189"/>
    <cellStyle name="40% - Accent4 9 10" xfId="2925"/>
    <cellStyle name="40% - Accent4 9 11" xfId="2926"/>
    <cellStyle name="40% - Accent4 9 12" xfId="2927"/>
    <cellStyle name="40% - Accent4 9 2" xfId="2928"/>
    <cellStyle name="40% - Accent4 9 3" xfId="2929"/>
    <cellStyle name="40% - Accent4 9 4" xfId="2930"/>
    <cellStyle name="40% - Accent4 9 5" xfId="2931"/>
    <cellStyle name="40% - Accent4 9 6" xfId="2932"/>
    <cellStyle name="40% - Accent4 9 7" xfId="2933"/>
    <cellStyle name="40% - Accent4 9 8" xfId="2934"/>
    <cellStyle name="40% - Accent4 9 9" xfId="2935"/>
    <cellStyle name="40% - Accent5 10" xfId="190"/>
    <cellStyle name="40% - Accent5 10 10" xfId="2936"/>
    <cellStyle name="40% - Accent5 10 11" xfId="2937"/>
    <cellStyle name="40% - Accent5 10 12" xfId="2938"/>
    <cellStyle name="40% - Accent5 10 2" xfId="2939"/>
    <cellStyle name="40% - Accent5 10 3" xfId="2940"/>
    <cellStyle name="40% - Accent5 10 4" xfId="2941"/>
    <cellStyle name="40% - Accent5 10 5" xfId="2942"/>
    <cellStyle name="40% - Accent5 10 6" xfId="2943"/>
    <cellStyle name="40% - Accent5 10 7" xfId="2944"/>
    <cellStyle name="40% - Accent5 10 8" xfId="2945"/>
    <cellStyle name="40% - Accent5 10 9" xfId="2946"/>
    <cellStyle name="40% - Accent5 11" xfId="191"/>
    <cellStyle name="40% - Accent5 11 10" xfId="2947"/>
    <cellStyle name="40% - Accent5 11 11" xfId="2948"/>
    <cellStyle name="40% - Accent5 11 12" xfId="2949"/>
    <cellStyle name="40% - Accent5 11 2" xfId="2950"/>
    <cellStyle name="40% - Accent5 11 3" xfId="2951"/>
    <cellStyle name="40% - Accent5 11 4" xfId="2952"/>
    <cellStyle name="40% - Accent5 11 5" xfId="2953"/>
    <cellStyle name="40% - Accent5 11 6" xfId="2954"/>
    <cellStyle name="40% - Accent5 11 7" xfId="2955"/>
    <cellStyle name="40% - Accent5 11 8" xfId="2956"/>
    <cellStyle name="40% - Accent5 11 9" xfId="2957"/>
    <cellStyle name="40% - Accent5 12" xfId="192"/>
    <cellStyle name="40% - Accent5 12 10" xfId="2958"/>
    <cellStyle name="40% - Accent5 12 11" xfId="2959"/>
    <cellStyle name="40% - Accent5 12 12" xfId="2960"/>
    <cellStyle name="40% - Accent5 12 2" xfId="2961"/>
    <cellStyle name="40% - Accent5 12 3" xfId="2962"/>
    <cellStyle name="40% - Accent5 12 4" xfId="2963"/>
    <cellStyle name="40% - Accent5 12 5" xfId="2964"/>
    <cellStyle name="40% - Accent5 12 6" xfId="2965"/>
    <cellStyle name="40% - Accent5 12 7" xfId="2966"/>
    <cellStyle name="40% - Accent5 12 8" xfId="2967"/>
    <cellStyle name="40% - Accent5 12 9" xfId="2968"/>
    <cellStyle name="40% - Accent5 13" xfId="193"/>
    <cellStyle name="40% - Accent5 13 10" xfId="2969"/>
    <cellStyle name="40% - Accent5 13 11" xfId="2970"/>
    <cellStyle name="40% - Accent5 13 12" xfId="2971"/>
    <cellStyle name="40% - Accent5 13 2" xfId="2972"/>
    <cellStyle name="40% - Accent5 13 3" xfId="2973"/>
    <cellStyle name="40% - Accent5 13 4" xfId="2974"/>
    <cellStyle name="40% - Accent5 13 5" xfId="2975"/>
    <cellStyle name="40% - Accent5 13 6" xfId="2976"/>
    <cellStyle name="40% - Accent5 13 7" xfId="2977"/>
    <cellStyle name="40% - Accent5 13 8" xfId="2978"/>
    <cellStyle name="40% - Accent5 13 9" xfId="2979"/>
    <cellStyle name="40% - Accent5 14" xfId="194"/>
    <cellStyle name="40% - Accent5 14 10" xfId="2980"/>
    <cellStyle name="40% - Accent5 14 11" xfId="2981"/>
    <cellStyle name="40% - Accent5 14 12" xfId="2982"/>
    <cellStyle name="40% - Accent5 14 2" xfId="2983"/>
    <cellStyle name="40% - Accent5 14 3" xfId="2984"/>
    <cellStyle name="40% - Accent5 14 4" xfId="2985"/>
    <cellStyle name="40% - Accent5 14 5" xfId="2986"/>
    <cellStyle name="40% - Accent5 14 6" xfId="2987"/>
    <cellStyle name="40% - Accent5 14 7" xfId="2988"/>
    <cellStyle name="40% - Accent5 14 8" xfId="2989"/>
    <cellStyle name="40% - Accent5 14 9" xfId="2990"/>
    <cellStyle name="40% - Accent5 15" xfId="195"/>
    <cellStyle name="40% - Accent5 15 10" xfId="2991"/>
    <cellStyle name="40% - Accent5 15 11" xfId="2992"/>
    <cellStyle name="40% - Accent5 15 12" xfId="2993"/>
    <cellStyle name="40% - Accent5 15 2" xfId="2994"/>
    <cellStyle name="40% - Accent5 15 3" xfId="2995"/>
    <cellStyle name="40% - Accent5 15 4" xfId="2996"/>
    <cellStyle name="40% - Accent5 15 5" xfId="2997"/>
    <cellStyle name="40% - Accent5 15 6" xfId="2998"/>
    <cellStyle name="40% - Accent5 15 7" xfId="2999"/>
    <cellStyle name="40% - Accent5 15 8" xfId="3000"/>
    <cellStyle name="40% - Accent5 15 9" xfId="3001"/>
    <cellStyle name="40% - Accent5 16" xfId="196"/>
    <cellStyle name="40% - Accent5 16 10" xfId="3002"/>
    <cellStyle name="40% - Accent5 16 11" xfId="3003"/>
    <cellStyle name="40% - Accent5 16 12" xfId="3004"/>
    <cellStyle name="40% - Accent5 16 2" xfId="3005"/>
    <cellStyle name="40% - Accent5 16 3" xfId="3006"/>
    <cellStyle name="40% - Accent5 16 4" xfId="3007"/>
    <cellStyle name="40% - Accent5 16 5" xfId="3008"/>
    <cellStyle name="40% - Accent5 16 6" xfId="3009"/>
    <cellStyle name="40% - Accent5 16 7" xfId="3010"/>
    <cellStyle name="40% - Accent5 16 8" xfId="3011"/>
    <cellStyle name="40% - Accent5 16 9" xfId="3012"/>
    <cellStyle name="40% - Accent5 17" xfId="197"/>
    <cellStyle name="40% - Accent5 17 10" xfId="3013"/>
    <cellStyle name="40% - Accent5 17 11" xfId="3014"/>
    <cellStyle name="40% - Accent5 17 12" xfId="3015"/>
    <cellStyle name="40% - Accent5 17 2" xfId="3016"/>
    <cellStyle name="40% - Accent5 17 3" xfId="3017"/>
    <cellStyle name="40% - Accent5 17 4" xfId="3018"/>
    <cellStyle name="40% - Accent5 17 5" xfId="3019"/>
    <cellStyle name="40% - Accent5 17 6" xfId="3020"/>
    <cellStyle name="40% - Accent5 17 7" xfId="3021"/>
    <cellStyle name="40% - Accent5 17 8" xfId="3022"/>
    <cellStyle name="40% - Accent5 17 9" xfId="3023"/>
    <cellStyle name="40% - Accent5 18" xfId="198"/>
    <cellStyle name="40% - Accent5 18 10" xfId="3024"/>
    <cellStyle name="40% - Accent5 18 11" xfId="3025"/>
    <cellStyle name="40% - Accent5 18 12" xfId="3026"/>
    <cellStyle name="40% - Accent5 18 2" xfId="3027"/>
    <cellStyle name="40% - Accent5 18 3" xfId="3028"/>
    <cellStyle name="40% - Accent5 18 4" xfId="3029"/>
    <cellStyle name="40% - Accent5 18 5" xfId="3030"/>
    <cellStyle name="40% - Accent5 18 6" xfId="3031"/>
    <cellStyle name="40% - Accent5 18 7" xfId="3032"/>
    <cellStyle name="40% - Accent5 18 8" xfId="3033"/>
    <cellStyle name="40% - Accent5 18 9" xfId="3034"/>
    <cellStyle name="40% - Accent5 19" xfId="199"/>
    <cellStyle name="40% - Accent5 19 10" xfId="3035"/>
    <cellStyle name="40% - Accent5 19 11" xfId="3036"/>
    <cellStyle name="40% - Accent5 19 12" xfId="3037"/>
    <cellStyle name="40% - Accent5 19 2" xfId="3038"/>
    <cellStyle name="40% - Accent5 19 3" xfId="3039"/>
    <cellStyle name="40% - Accent5 19 4" xfId="3040"/>
    <cellStyle name="40% - Accent5 19 5" xfId="3041"/>
    <cellStyle name="40% - Accent5 19 6" xfId="3042"/>
    <cellStyle name="40% - Accent5 19 7" xfId="3043"/>
    <cellStyle name="40% - Accent5 19 8" xfId="3044"/>
    <cellStyle name="40% - Accent5 19 9" xfId="3045"/>
    <cellStyle name="40% - Accent5 2" xfId="200"/>
    <cellStyle name="40% - Accent5 2 10" xfId="3046"/>
    <cellStyle name="40% - Accent5 2 11" xfId="3047"/>
    <cellStyle name="40% - Accent5 2 12" xfId="3048"/>
    <cellStyle name="40% - Accent5 2 2" xfId="3049"/>
    <cellStyle name="40% - Accent5 2 3" xfId="3050"/>
    <cellStyle name="40% - Accent5 2 4" xfId="3051"/>
    <cellStyle name="40% - Accent5 2 5" xfId="3052"/>
    <cellStyle name="40% - Accent5 2 6" xfId="3053"/>
    <cellStyle name="40% - Accent5 2 7" xfId="3054"/>
    <cellStyle name="40% - Accent5 2 8" xfId="3055"/>
    <cellStyle name="40% - Accent5 2 9" xfId="3056"/>
    <cellStyle name="40% - Accent5 3" xfId="201"/>
    <cellStyle name="40% - Accent5 3 10" xfId="3057"/>
    <cellStyle name="40% - Accent5 3 11" xfId="3058"/>
    <cellStyle name="40% - Accent5 3 12" xfId="3059"/>
    <cellStyle name="40% - Accent5 3 2" xfId="3060"/>
    <cellStyle name="40% - Accent5 3 3" xfId="3061"/>
    <cellStyle name="40% - Accent5 3 4" xfId="3062"/>
    <cellStyle name="40% - Accent5 3 5" xfId="3063"/>
    <cellStyle name="40% - Accent5 3 6" xfId="3064"/>
    <cellStyle name="40% - Accent5 3 7" xfId="3065"/>
    <cellStyle name="40% - Accent5 3 8" xfId="3066"/>
    <cellStyle name="40% - Accent5 3 9" xfId="3067"/>
    <cellStyle name="40% - Accent5 4" xfId="202"/>
    <cellStyle name="40% - Accent5 4 10" xfId="3068"/>
    <cellStyle name="40% - Accent5 4 11" xfId="3069"/>
    <cellStyle name="40% - Accent5 4 12" xfId="3070"/>
    <cellStyle name="40% - Accent5 4 2" xfId="3071"/>
    <cellStyle name="40% - Accent5 4 3" xfId="3072"/>
    <cellStyle name="40% - Accent5 4 4" xfId="3073"/>
    <cellStyle name="40% - Accent5 4 5" xfId="3074"/>
    <cellStyle name="40% - Accent5 4 6" xfId="3075"/>
    <cellStyle name="40% - Accent5 4 7" xfId="3076"/>
    <cellStyle name="40% - Accent5 4 8" xfId="3077"/>
    <cellStyle name="40% - Accent5 4 9" xfId="3078"/>
    <cellStyle name="40% - Accent5 5" xfId="203"/>
    <cellStyle name="40% - Accent5 5 10" xfId="3079"/>
    <cellStyle name="40% - Accent5 5 11" xfId="3080"/>
    <cellStyle name="40% - Accent5 5 12" xfId="3081"/>
    <cellStyle name="40% - Accent5 5 2" xfId="3082"/>
    <cellStyle name="40% - Accent5 5 3" xfId="3083"/>
    <cellStyle name="40% - Accent5 5 4" xfId="3084"/>
    <cellStyle name="40% - Accent5 5 5" xfId="3085"/>
    <cellStyle name="40% - Accent5 5 6" xfId="3086"/>
    <cellStyle name="40% - Accent5 5 7" xfId="3087"/>
    <cellStyle name="40% - Accent5 5 8" xfId="3088"/>
    <cellStyle name="40% - Accent5 5 9" xfId="3089"/>
    <cellStyle name="40% - Accent5 6" xfId="204"/>
    <cellStyle name="40% - Accent5 6 10" xfId="3090"/>
    <cellStyle name="40% - Accent5 6 11" xfId="3091"/>
    <cellStyle name="40% - Accent5 6 12" xfId="3092"/>
    <cellStyle name="40% - Accent5 6 2" xfId="3093"/>
    <cellStyle name="40% - Accent5 6 3" xfId="3094"/>
    <cellStyle name="40% - Accent5 6 4" xfId="3095"/>
    <cellStyle name="40% - Accent5 6 5" xfId="3096"/>
    <cellStyle name="40% - Accent5 6 6" xfId="3097"/>
    <cellStyle name="40% - Accent5 6 7" xfId="3098"/>
    <cellStyle name="40% - Accent5 6 8" xfId="3099"/>
    <cellStyle name="40% - Accent5 6 9" xfId="3100"/>
    <cellStyle name="40% - Accent5 7" xfId="205"/>
    <cellStyle name="40% - Accent5 7 10" xfId="3101"/>
    <cellStyle name="40% - Accent5 7 11" xfId="3102"/>
    <cellStyle name="40% - Accent5 7 12" xfId="3103"/>
    <cellStyle name="40% - Accent5 7 2" xfId="3104"/>
    <cellStyle name="40% - Accent5 7 3" xfId="3105"/>
    <cellStyle name="40% - Accent5 7 4" xfId="3106"/>
    <cellStyle name="40% - Accent5 7 5" xfId="3107"/>
    <cellStyle name="40% - Accent5 7 6" xfId="3108"/>
    <cellStyle name="40% - Accent5 7 7" xfId="3109"/>
    <cellStyle name="40% - Accent5 7 8" xfId="3110"/>
    <cellStyle name="40% - Accent5 7 9" xfId="3111"/>
    <cellStyle name="40% - Accent5 8" xfId="206"/>
    <cellStyle name="40% - Accent5 8 10" xfId="3112"/>
    <cellStyle name="40% - Accent5 8 11" xfId="3113"/>
    <cellStyle name="40% - Accent5 8 12" xfId="3114"/>
    <cellStyle name="40% - Accent5 8 2" xfId="3115"/>
    <cellStyle name="40% - Accent5 8 3" xfId="3116"/>
    <cellStyle name="40% - Accent5 8 4" xfId="3117"/>
    <cellStyle name="40% - Accent5 8 5" xfId="3118"/>
    <cellStyle name="40% - Accent5 8 6" xfId="3119"/>
    <cellStyle name="40% - Accent5 8 7" xfId="3120"/>
    <cellStyle name="40% - Accent5 8 8" xfId="3121"/>
    <cellStyle name="40% - Accent5 8 9" xfId="3122"/>
    <cellStyle name="40% - Accent5 9" xfId="207"/>
    <cellStyle name="40% - Accent5 9 10" xfId="3123"/>
    <cellStyle name="40% - Accent5 9 11" xfId="3124"/>
    <cellStyle name="40% - Accent5 9 12" xfId="3125"/>
    <cellStyle name="40% - Accent5 9 2" xfId="3126"/>
    <cellStyle name="40% - Accent5 9 3" xfId="3127"/>
    <cellStyle name="40% - Accent5 9 4" xfId="3128"/>
    <cellStyle name="40% - Accent5 9 5" xfId="3129"/>
    <cellStyle name="40% - Accent5 9 6" xfId="3130"/>
    <cellStyle name="40% - Accent5 9 7" xfId="3131"/>
    <cellStyle name="40% - Accent5 9 8" xfId="3132"/>
    <cellStyle name="40% - Accent5 9 9" xfId="3133"/>
    <cellStyle name="40% - Accent6 10" xfId="208"/>
    <cellStyle name="40% - Accent6 10 10" xfId="3134"/>
    <cellStyle name="40% - Accent6 10 11" xfId="3135"/>
    <cellStyle name="40% - Accent6 10 12" xfId="3136"/>
    <cellStyle name="40% - Accent6 10 2" xfId="3137"/>
    <cellStyle name="40% - Accent6 10 3" xfId="3138"/>
    <cellStyle name="40% - Accent6 10 4" xfId="3139"/>
    <cellStyle name="40% - Accent6 10 5" xfId="3140"/>
    <cellStyle name="40% - Accent6 10 6" xfId="3141"/>
    <cellStyle name="40% - Accent6 10 7" xfId="3142"/>
    <cellStyle name="40% - Accent6 10 8" xfId="3143"/>
    <cellStyle name="40% - Accent6 10 9" xfId="3144"/>
    <cellStyle name="40% - Accent6 11" xfId="209"/>
    <cellStyle name="40% - Accent6 11 10" xfId="3145"/>
    <cellStyle name="40% - Accent6 11 11" xfId="3146"/>
    <cellStyle name="40% - Accent6 11 12" xfId="3147"/>
    <cellStyle name="40% - Accent6 11 2" xfId="3148"/>
    <cellStyle name="40% - Accent6 11 3" xfId="3149"/>
    <cellStyle name="40% - Accent6 11 4" xfId="3150"/>
    <cellStyle name="40% - Accent6 11 5" xfId="3151"/>
    <cellStyle name="40% - Accent6 11 6" xfId="3152"/>
    <cellStyle name="40% - Accent6 11 7" xfId="3153"/>
    <cellStyle name="40% - Accent6 11 8" xfId="3154"/>
    <cellStyle name="40% - Accent6 11 9" xfId="3155"/>
    <cellStyle name="40% - Accent6 12" xfId="210"/>
    <cellStyle name="40% - Accent6 12 10" xfId="3156"/>
    <cellStyle name="40% - Accent6 12 11" xfId="3157"/>
    <cellStyle name="40% - Accent6 12 12" xfId="3158"/>
    <cellStyle name="40% - Accent6 12 2" xfId="3159"/>
    <cellStyle name="40% - Accent6 12 3" xfId="3160"/>
    <cellStyle name="40% - Accent6 12 4" xfId="3161"/>
    <cellStyle name="40% - Accent6 12 5" xfId="3162"/>
    <cellStyle name="40% - Accent6 12 6" xfId="3163"/>
    <cellStyle name="40% - Accent6 12 7" xfId="3164"/>
    <cellStyle name="40% - Accent6 12 8" xfId="3165"/>
    <cellStyle name="40% - Accent6 12 9" xfId="3166"/>
    <cellStyle name="40% - Accent6 13" xfId="211"/>
    <cellStyle name="40% - Accent6 13 10" xfId="3167"/>
    <cellStyle name="40% - Accent6 13 11" xfId="3168"/>
    <cellStyle name="40% - Accent6 13 12" xfId="3169"/>
    <cellStyle name="40% - Accent6 13 2" xfId="3170"/>
    <cellStyle name="40% - Accent6 13 3" xfId="3171"/>
    <cellStyle name="40% - Accent6 13 4" xfId="3172"/>
    <cellStyle name="40% - Accent6 13 5" xfId="3173"/>
    <cellStyle name="40% - Accent6 13 6" xfId="3174"/>
    <cellStyle name="40% - Accent6 13 7" xfId="3175"/>
    <cellStyle name="40% - Accent6 13 8" xfId="3176"/>
    <cellStyle name="40% - Accent6 13 9" xfId="3177"/>
    <cellStyle name="40% - Accent6 14" xfId="212"/>
    <cellStyle name="40% - Accent6 14 10" xfId="3178"/>
    <cellStyle name="40% - Accent6 14 11" xfId="3179"/>
    <cellStyle name="40% - Accent6 14 12" xfId="3180"/>
    <cellStyle name="40% - Accent6 14 2" xfId="3181"/>
    <cellStyle name="40% - Accent6 14 3" xfId="3182"/>
    <cellStyle name="40% - Accent6 14 4" xfId="3183"/>
    <cellStyle name="40% - Accent6 14 5" xfId="3184"/>
    <cellStyle name="40% - Accent6 14 6" xfId="3185"/>
    <cellStyle name="40% - Accent6 14 7" xfId="3186"/>
    <cellStyle name="40% - Accent6 14 8" xfId="3187"/>
    <cellStyle name="40% - Accent6 14 9" xfId="3188"/>
    <cellStyle name="40% - Accent6 15" xfId="213"/>
    <cellStyle name="40% - Accent6 15 10" xfId="3189"/>
    <cellStyle name="40% - Accent6 15 11" xfId="3190"/>
    <cellStyle name="40% - Accent6 15 12" xfId="3191"/>
    <cellStyle name="40% - Accent6 15 2" xfId="3192"/>
    <cellStyle name="40% - Accent6 15 3" xfId="3193"/>
    <cellStyle name="40% - Accent6 15 4" xfId="3194"/>
    <cellStyle name="40% - Accent6 15 5" xfId="3195"/>
    <cellStyle name="40% - Accent6 15 6" xfId="3196"/>
    <cellStyle name="40% - Accent6 15 7" xfId="3197"/>
    <cellStyle name="40% - Accent6 15 8" xfId="3198"/>
    <cellStyle name="40% - Accent6 15 9" xfId="3199"/>
    <cellStyle name="40% - Accent6 16" xfId="214"/>
    <cellStyle name="40% - Accent6 16 10" xfId="3200"/>
    <cellStyle name="40% - Accent6 16 11" xfId="3201"/>
    <cellStyle name="40% - Accent6 16 12" xfId="3202"/>
    <cellStyle name="40% - Accent6 16 2" xfId="3203"/>
    <cellStyle name="40% - Accent6 16 3" xfId="3204"/>
    <cellStyle name="40% - Accent6 16 4" xfId="3205"/>
    <cellStyle name="40% - Accent6 16 5" xfId="3206"/>
    <cellStyle name="40% - Accent6 16 6" xfId="3207"/>
    <cellStyle name="40% - Accent6 16 7" xfId="3208"/>
    <cellStyle name="40% - Accent6 16 8" xfId="3209"/>
    <cellStyle name="40% - Accent6 16 9" xfId="3210"/>
    <cellStyle name="40% - Accent6 17" xfId="215"/>
    <cellStyle name="40% - Accent6 17 10" xfId="3211"/>
    <cellStyle name="40% - Accent6 17 11" xfId="3212"/>
    <cellStyle name="40% - Accent6 17 12" xfId="3213"/>
    <cellStyle name="40% - Accent6 17 2" xfId="3214"/>
    <cellStyle name="40% - Accent6 17 3" xfId="3215"/>
    <cellStyle name="40% - Accent6 17 4" xfId="3216"/>
    <cellStyle name="40% - Accent6 17 5" xfId="3217"/>
    <cellStyle name="40% - Accent6 17 6" xfId="3218"/>
    <cellStyle name="40% - Accent6 17 7" xfId="3219"/>
    <cellStyle name="40% - Accent6 17 8" xfId="3220"/>
    <cellStyle name="40% - Accent6 17 9" xfId="3221"/>
    <cellStyle name="40% - Accent6 18" xfId="216"/>
    <cellStyle name="40% - Accent6 18 10" xfId="3222"/>
    <cellStyle name="40% - Accent6 18 11" xfId="3223"/>
    <cellStyle name="40% - Accent6 18 12" xfId="3224"/>
    <cellStyle name="40% - Accent6 18 2" xfId="3225"/>
    <cellStyle name="40% - Accent6 18 3" xfId="3226"/>
    <cellStyle name="40% - Accent6 18 4" xfId="3227"/>
    <cellStyle name="40% - Accent6 18 5" xfId="3228"/>
    <cellStyle name="40% - Accent6 18 6" xfId="3229"/>
    <cellStyle name="40% - Accent6 18 7" xfId="3230"/>
    <cellStyle name="40% - Accent6 18 8" xfId="3231"/>
    <cellStyle name="40% - Accent6 18 9" xfId="3232"/>
    <cellStyle name="40% - Accent6 19" xfId="217"/>
    <cellStyle name="40% - Accent6 19 10" xfId="3233"/>
    <cellStyle name="40% - Accent6 19 11" xfId="3234"/>
    <cellStyle name="40% - Accent6 19 12" xfId="3235"/>
    <cellStyle name="40% - Accent6 19 2" xfId="3236"/>
    <cellStyle name="40% - Accent6 19 3" xfId="3237"/>
    <cellStyle name="40% - Accent6 19 4" xfId="3238"/>
    <cellStyle name="40% - Accent6 19 5" xfId="3239"/>
    <cellStyle name="40% - Accent6 19 6" xfId="3240"/>
    <cellStyle name="40% - Accent6 19 7" xfId="3241"/>
    <cellStyle name="40% - Accent6 19 8" xfId="3242"/>
    <cellStyle name="40% - Accent6 19 9" xfId="3243"/>
    <cellStyle name="40% - Accent6 2" xfId="218"/>
    <cellStyle name="40% - Accent6 2 10" xfId="3244"/>
    <cellStyle name="40% - Accent6 2 11" xfId="3245"/>
    <cellStyle name="40% - Accent6 2 12" xfId="3246"/>
    <cellStyle name="40% - Accent6 2 2" xfId="3247"/>
    <cellStyle name="40% - Accent6 2 3" xfId="3248"/>
    <cellStyle name="40% - Accent6 2 4" xfId="3249"/>
    <cellStyle name="40% - Accent6 2 5" xfId="3250"/>
    <cellStyle name="40% - Accent6 2 6" xfId="3251"/>
    <cellStyle name="40% - Accent6 2 7" xfId="3252"/>
    <cellStyle name="40% - Accent6 2 8" xfId="3253"/>
    <cellStyle name="40% - Accent6 2 9" xfId="3254"/>
    <cellStyle name="40% - Accent6 3" xfId="219"/>
    <cellStyle name="40% - Accent6 3 10" xfId="3255"/>
    <cellStyle name="40% - Accent6 3 11" xfId="3256"/>
    <cellStyle name="40% - Accent6 3 12" xfId="3257"/>
    <cellStyle name="40% - Accent6 3 2" xfId="3258"/>
    <cellStyle name="40% - Accent6 3 3" xfId="3259"/>
    <cellStyle name="40% - Accent6 3 4" xfId="3260"/>
    <cellStyle name="40% - Accent6 3 5" xfId="3261"/>
    <cellStyle name="40% - Accent6 3 6" xfId="3262"/>
    <cellStyle name="40% - Accent6 3 7" xfId="3263"/>
    <cellStyle name="40% - Accent6 3 8" xfId="3264"/>
    <cellStyle name="40% - Accent6 3 9" xfId="3265"/>
    <cellStyle name="40% - Accent6 4" xfId="220"/>
    <cellStyle name="40% - Accent6 4 10" xfId="3266"/>
    <cellStyle name="40% - Accent6 4 11" xfId="3267"/>
    <cellStyle name="40% - Accent6 4 12" xfId="3268"/>
    <cellStyle name="40% - Accent6 4 2" xfId="3269"/>
    <cellStyle name="40% - Accent6 4 3" xfId="3270"/>
    <cellStyle name="40% - Accent6 4 4" xfId="3271"/>
    <cellStyle name="40% - Accent6 4 5" xfId="3272"/>
    <cellStyle name="40% - Accent6 4 6" xfId="3273"/>
    <cellStyle name="40% - Accent6 4 7" xfId="3274"/>
    <cellStyle name="40% - Accent6 4 8" xfId="3275"/>
    <cellStyle name="40% - Accent6 4 9" xfId="3276"/>
    <cellStyle name="40% - Accent6 5" xfId="221"/>
    <cellStyle name="40% - Accent6 5 10" xfId="3277"/>
    <cellStyle name="40% - Accent6 5 11" xfId="3278"/>
    <cellStyle name="40% - Accent6 5 12" xfId="3279"/>
    <cellStyle name="40% - Accent6 5 2" xfId="3280"/>
    <cellStyle name="40% - Accent6 5 3" xfId="3281"/>
    <cellStyle name="40% - Accent6 5 4" xfId="3282"/>
    <cellStyle name="40% - Accent6 5 5" xfId="3283"/>
    <cellStyle name="40% - Accent6 5 6" xfId="3284"/>
    <cellStyle name="40% - Accent6 5 7" xfId="3285"/>
    <cellStyle name="40% - Accent6 5 8" xfId="3286"/>
    <cellStyle name="40% - Accent6 5 9" xfId="3287"/>
    <cellStyle name="40% - Accent6 6" xfId="222"/>
    <cellStyle name="40% - Accent6 6 10" xfId="3288"/>
    <cellStyle name="40% - Accent6 6 11" xfId="3289"/>
    <cellStyle name="40% - Accent6 6 12" xfId="3290"/>
    <cellStyle name="40% - Accent6 6 2" xfId="3291"/>
    <cellStyle name="40% - Accent6 6 3" xfId="3292"/>
    <cellStyle name="40% - Accent6 6 4" xfId="3293"/>
    <cellStyle name="40% - Accent6 6 5" xfId="3294"/>
    <cellStyle name="40% - Accent6 6 6" xfId="3295"/>
    <cellStyle name="40% - Accent6 6 7" xfId="3296"/>
    <cellStyle name="40% - Accent6 6 8" xfId="3297"/>
    <cellStyle name="40% - Accent6 6 9" xfId="3298"/>
    <cellStyle name="40% - Accent6 7" xfId="223"/>
    <cellStyle name="40% - Accent6 7 10" xfId="3299"/>
    <cellStyle name="40% - Accent6 7 11" xfId="3300"/>
    <cellStyle name="40% - Accent6 7 12" xfId="3301"/>
    <cellStyle name="40% - Accent6 7 2" xfId="3302"/>
    <cellStyle name="40% - Accent6 7 3" xfId="3303"/>
    <cellStyle name="40% - Accent6 7 4" xfId="3304"/>
    <cellStyle name="40% - Accent6 7 5" xfId="3305"/>
    <cellStyle name="40% - Accent6 7 6" xfId="3306"/>
    <cellStyle name="40% - Accent6 7 7" xfId="3307"/>
    <cellStyle name="40% - Accent6 7 8" xfId="3308"/>
    <cellStyle name="40% - Accent6 7 9" xfId="3309"/>
    <cellStyle name="40% - Accent6 8" xfId="224"/>
    <cellStyle name="40% - Accent6 8 10" xfId="3310"/>
    <cellStyle name="40% - Accent6 8 11" xfId="3311"/>
    <cellStyle name="40% - Accent6 8 12" xfId="3312"/>
    <cellStyle name="40% - Accent6 8 2" xfId="3313"/>
    <cellStyle name="40% - Accent6 8 3" xfId="3314"/>
    <cellStyle name="40% - Accent6 8 4" xfId="3315"/>
    <cellStyle name="40% - Accent6 8 5" xfId="3316"/>
    <cellStyle name="40% - Accent6 8 6" xfId="3317"/>
    <cellStyle name="40% - Accent6 8 7" xfId="3318"/>
    <cellStyle name="40% - Accent6 8 8" xfId="3319"/>
    <cellStyle name="40% - Accent6 8 9" xfId="3320"/>
    <cellStyle name="40% - Accent6 9" xfId="225"/>
    <cellStyle name="40% - Accent6 9 10" xfId="3321"/>
    <cellStyle name="40% - Accent6 9 11" xfId="3322"/>
    <cellStyle name="40% - Accent6 9 12" xfId="3323"/>
    <cellStyle name="40% - Accent6 9 2" xfId="3324"/>
    <cellStyle name="40% - Accent6 9 3" xfId="3325"/>
    <cellStyle name="40% - Accent6 9 4" xfId="3326"/>
    <cellStyle name="40% - Accent6 9 5" xfId="3327"/>
    <cellStyle name="40% - Accent6 9 6" xfId="3328"/>
    <cellStyle name="40% - Accent6 9 7" xfId="3329"/>
    <cellStyle name="40% - Accent6 9 8" xfId="3330"/>
    <cellStyle name="40% - Accent6 9 9" xfId="3331"/>
    <cellStyle name="60% - Accent1 10" xfId="226"/>
    <cellStyle name="60% - Accent1 11" xfId="227"/>
    <cellStyle name="60% - Accent1 12" xfId="228"/>
    <cellStyle name="60% - Accent1 13" xfId="229"/>
    <cellStyle name="60% - Accent1 14" xfId="230"/>
    <cellStyle name="60% - Accent1 15" xfId="231"/>
    <cellStyle name="60% - Accent1 16" xfId="232"/>
    <cellStyle name="60% - Accent1 17" xfId="233"/>
    <cellStyle name="60% - Accent1 18" xfId="234"/>
    <cellStyle name="60% - Accent1 19" xfId="235"/>
    <cellStyle name="60% - Accent1 2" xfId="236"/>
    <cellStyle name="60% - Accent1 3" xfId="237"/>
    <cellStyle name="60% - Accent1 4" xfId="238"/>
    <cellStyle name="60% - Accent1 5" xfId="239"/>
    <cellStyle name="60% - Accent1 6" xfId="240"/>
    <cellStyle name="60% - Accent1 7" xfId="241"/>
    <cellStyle name="60% - Accent1 8" xfId="242"/>
    <cellStyle name="60% - Accent1 9" xfId="243"/>
    <cellStyle name="60% - Accent2 10" xfId="244"/>
    <cellStyle name="60% - Accent2 11" xfId="245"/>
    <cellStyle name="60% - Accent2 12" xfId="246"/>
    <cellStyle name="60% - Accent2 13" xfId="247"/>
    <cellStyle name="60% - Accent2 14" xfId="248"/>
    <cellStyle name="60% - Accent2 15" xfId="249"/>
    <cellStyle name="60% - Accent2 16" xfId="250"/>
    <cellStyle name="60% - Accent2 17" xfId="251"/>
    <cellStyle name="60% - Accent2 18" xfId="252"/>
    <cellStyle name="60% - Accent2 19" xfId="253"/>
    <cellStyle name="60% - Accent2 2" xfId="254"/>
    <cellStyle name="60% - Accent2 3" xfId="255"/>
    <cellStyle name="60% - Accent2 4" xfId="256"/>
    <cellStyle name="60% - Accent2 5" xfId="257"/>
    <cellStyle name="60% - Accent2 6" xfId="258"/>
    <cellStyle name="60% - Accent2 7" xfId="259"/>
    <cellStyle name="60% - Accent2 8" xfId="260"/>
    <cellStyle name="60% - Accent2 9" xfId="261"/>
    <cellStyle name="60% - Accent3 10" xfId="262"/>
    <cellStyle name="60% - Accent3 11" xfId="263"/>
    <cellStyle name="60% - Accent3 12" xfId="264"/>
    <cellStyle name="60% - Accent3 13" xfId="265"/>
    <cellStyle name="60% - Accent3 14" xfId="266"/>
    <cellStyle name="60% - Accent3 15" xfId="267"/>
    <cellStyle name="60% - Accent3 16" xfId="268"/>
    <cellStyle name="60% - Accent3 17" xfId="269"/>
    <cellStyle name="60% - Accent3 18" xfId="270"/>
    <cellStyle name="60% - Accent3 19" xfId="271"/>
    <cellStyle name="60% - Accent3 2" xfId="272"/>
    <cellStyle name="60% - Accent3 3" xfId="273"/>
    <cellStyle name="60% - Accent3 4" xfId="274"/>
    <cellStyle name="60% - Accent3 5" xfId="275"/>
    <cellStyle name="60% - Accent3 6" xfId="276"/>
    <cellStyle name="60% - Accent3 7" xfId="277"/>
    <cellStyle name="60% - Accent3 8" xfId="278"/>
    <cellStyle name="60% - Accent3 9" xfId="279"/>
    <cellStyle name="60% - Accent4 10" xfId="280"/>
    <cellStyle name="60% - Accent4 11" xfId="281"/>
    <cellStyle name="60% - Accent4 12" xfId="282"/>
    <cellStyle name="60% - Accent4 13" xfId="283"/>
    <cellStyle name="60% - Accent4 14" xfId="284"/>
    <cellStyle name="60% - Accent4 15" xfId="285"/>
    <cellStyle name="60% - Accent4 16" xfId="286"/>
    <cellStyle name="60% - Accent4 17" xfId="287"/>
    <cellStyle name="60% - Accent4 18" xfId="288"/>
    <cellStyle name="60% - Accent4 19" xfId="289"/>
    <cellStyle name="60% - Accent4 2" xfId="290"/>
    <cellStyle name="60% - Accent4 3" xfId="291"/>
    <cellStyle name="60% - Accent4 4" xfId="292"/>
    <cellStyle name="60% - Accent4 5" xfId="293"/>
    <cellStyle name="60% - Accent4 6" xfId="294"/>
    <cellStyle name="60% - Accent4 7" xfId="295"/>
    <cellStyle name="60% - Accent4 8" xfId="296"/>
    <cellStyle name="60% - Accent4 9" xfId="297"/>
    <cellStyle name="60% - Accent5 10" xfId="298"/>
    <cellStyle name="60% - Accent5 11" xfId="299"/>
    <cellStyle name="60% - Accent5 12" xfId="300"/>
    <cellStyle name="60% - Accent5 13" xfId="301"/>
    <cellStyle name="60% - Accent5 14" xfId="302"/>
    <cellStyle name="60% - Accent5 15" xfId="303"/>
    <cellStyle name="60% - Accent5 16" xfId="304"/>
    <cellStyle name="60% - Accent5 17" xfId="305"/>
    <cellStyle name="60% - Accent5 18" xfId="306"/>
    <cellStyle name="60% - Accent5 19" xfId="307"/>
    <cellStyle name="60% - Accent5 2" xfId="308"/>
    <cellStyle name="60% - Accent5 3" xfId="309"/>
    <cellStyle name="60% - Accent5 4" xfId="310"/>
    <cellStyle name="60% - Accent5 5" xfId="311"/>
    <cellStyle name="60% - Accent5 6" xfId="312"/>
    <cellStyle name="60% - Accent5 7" xfId="313"/>
    <cellStyle name="60% - Accent5 8" xfId="314"/>
    <cellStyle name="60% - Accent5 9" xfId="315"/>
    <cellStyle name="60% - Accent6 10" xfId="316"/>
    <cellStyle name="60% - Accent6 11" xfId="317"/>
    <cellStyle name="60% - Accent6 12" xfId="318"/>
    <cellStyle name="60% - Accent6 13" xfId="319"/>
    <cellStyle name="60% - Accent6 14" xfId="320"/>
    <cellStyle name="60% - Accent6 15" xfId="321"/>
    <cellStyle name="60% - Accent6 16" xfId="322"/>
    <cellStyle name="60% - Accent6 17" xfId="323"/>
    <cellStyle name="60% - Accent6 18" xfId="324"/>
    <cellStyle name="60% - Accent6 19" xfId="325"/>
    <cellStyle name="60% - Accent6 2" xfId="326"/>
    <cellStyle name="60% - Accent6 3" xfId="327"/>
    <cellStyle name="60% - Accent6 4" xfId="328"/>
    <cellStyle name="60% - Accent6 5" xfId="329"/>
    <cellStyle name="60% - Accent6 6" xfId="330"/>
    <cellStyle name="60% - Accent6 7" xfId="331"/>
    <cellStyle name="60% - Accent6 8" xfId="332"/>
    <cellStyle name="60% - Accent6 9" xfId="333"/>
    <cellStyle name="Accent1 10" xfId="334"/>
    <cellStyle name="Accent1 11" xfId="335"/>
    <cellStyle name="Accent1 12" xfId="336"/>
    <cellStyle name="Accent1 13" xfId="337"/>
    <cellStyle name="Accent1 14" xfId="338"/>
    <cellStyle name="Accent1 15" xfId="339"/>
    <cellStyle name="Accent1 16" xfId="340"/>
    <cellStyle name="Accent1 17" xfId="341"/>
    <cellStyle name="Accent1 18" xfId="342"/>
    <cellStyle name="Accent1 19" xfId="343"/>
    <cellStyle name="Accent1 2" xfId="344"/>
    <cellStyle name="Accent1 3" xfId="345"/>
    <cellStyle name="Accent1 4" xfId="346"/>
    <cellStyle name="Accent1 5" xfId="347"/>
    <cellStyle name="Accent1 6" xfId="348"/>
    <cellStyle name="Accent1 7" xfId="349"/>
    <cellStyle name="Accent1 8" xfId="350"/>
    <cellStyle name="Accent1 9" xfId="351"/>
    <cellStyle name="Accent2 10" xfId="352"/>
    <cellStyle name="Accent2 11" xfId="353"/>
    <cellStyle name="Accent2 12" xfId="354"/>
    <cellStyle name="Accent2 13" xfId="355"/>
    <cellStyle name="Accent2 14" xfId="356"/>
    <cellStyle name="Accent2 15" xfId="357"/>
    <cellStyle name="Accent2 16" xfId="358"/>
    <cellStyle name="Accent2 17" xfId="359"/>
    <cellStyle name="Accent2 18" xfId="360"/>
    <cellStyle name="Accent2 19" xfId="361"/>
    <cellStyle name="Accent2 2" xfId="362"/>
    <cellStyle name="Accent2 3" xfId="363"/>
    <cellStyle name="Accent2 4" xfId="364"/>
    <cellStyle name="Accent2 5" xfId="365"/>
    <cellStyle name="Accent2 6" xfId="366"/>
    <cellStyle name="Accent2 7" xfId="367"/>
    <cellStyle name="Accent2 8" xfId="368"/>
    <cellStyle name="Accent2 9" xfId="369"/>
    <cellStyle name="Accent3 10" xfId="370"/>
    <cellStyle name="Accent3 11" xfId="371"/>
    <cellStyle name="Accent3 12" xfId="372"/>
    <cellStyle name="Accent3 13" xfId="373"/>
    <cellStyle name="Accent3 14" xfId="374"/>
    <cellStyle name="Accent3 15" xfId="375"/>
    <cellStyle name="Accent3 16" xfId="376"/>
    <cellStyle name="Accent3 17" xfId="377"/>
    <cellStyle name="Accent3 18" xfId="378"/>
    <cellStyle name="Accent3 19" xfId="379"/>
    <cellStyle name="Accent3 2" xfId="380"/>
    <cellStyle name="Accent3 3" xfId="381"/>
    <cellStyle name="Accent3 4" xfId="382"/>
    <cellStyle name="Accent3 5" xfId="383"/>
    <cellStyle name="Accent3 6" xfId="384"/>
    <cellStyle name="Accent3 7" xfId="385"/>
    <cellStyle name="Accent3 8" xfId="386"/>
    <cellStyle name="Accent3 9" xfId="387"/>
    <cellStyle name="Accent4 10" xfId="388"/>
    <cellStyle name="Accent4 11" xfId="389"/>
    <cellStyle name="Accent4 12" xfId="390"/>
    <cellStyle name="Accent4 13" xfId="391"/>
    <cellStyle name="Accent4 14" xfId="392"/>
    <cellStyle name="Accent4 15" xfId="393"/>
    <cellStyle name="Accent4 16" xfId="394"/>
    <cellStyle name="Accent4 17" xfId="395"/>
    <cellStyle name="Accent4 18" xfId="396"/>
    <cellStyle name="Accent4 19" xfId="397"/>
    <cellStyle name="Accent4 2" xfId="398"/>
    <cellStyle name="Accent4 3" xfId="399"/>
    <cellStyle name="Accent4 4" xfId="400"/>
    <cellStyle name="Accent4 5" xfId="401"/>
    <cellStyle name="Accent4 6" xfId="402"/>
    <cellStyle name="Accent4 7" xfId="403"/>
    <cellStyle name="Accent4 8" xfId="404"/>
    <cellStyle name="Accent4 9" xfId="405"/>
    <cellStyle name="Accent5 10" xfId="406"/>
    <cellStyle name="Accent5 11" xfId="407"/>
    <cellStyle name="Accent5 12" xfId="408"/>
    <cellStyle name="Accent5 13" xfId="409"/>
    <cellStyle name="Accent5 14" xfId="410"/>
    <cellStyle name="Accent5 15" xfId="411"/>
    <cellStyle name="Accent5 16" xfId="412"/>
    <cellStyle name="Accent5 17" xfId="413"/>
    <cellStyle name="Accent5 18" xfId="414"/>
    <cellStyle name="Accent5 19" xfId="415"/>
    <cellStyle name="Accent5 2" xfId="416"/>
    <cellStyle name="Accent5 3" xfId="417"/>
    <cellStyle name="Accent5 4" xfId="418"/>
    <cellStyle name="Accent5 5" xfId="419"/>
    <cellStyle name="Accent5 6" xfId="420"/>
    <cellStyle name="Accent5 7" xfId="421"/>
    <cellStyle name="Accent5 8" xfId="422"/>
    <cellStyle name="Accent5 9" xfId="423"/>
    <cellStyle name="Accent6 10" xfId="424"/>
    <cellStyle name="Accent6 11" xfId="425"/>
    <cellStyle name="Accent6 12" xfId="426"/>
    <cellStyle name="Accent6 13" xfId="427"/>
    <cellStyle name="Accent6 14" xfId="428"/>
    <cellStyle name="Accent6 15" xfId="429"/>
    <cellStyle name="Accent6 16" xfId="430"/>
    <cellStyle name="Accent6 17" xfId="431"/>
    <cellStyle name="Accent6 18" xfId="432"/>
    <cellStyle name="Accent6 19" xfId="433"/>
    <cellStyle name="Accent6 2" xfId="434"/>
    <cellStyle name="Accent6 3" xfId="435"/>
    <cellStyle name="Accent6 4" xfId="436"/>
    <cellStyle name="Accent6 5" xfId="437"/>
    <cellStyle name="Accent6 6" xfId="438"/>
    <cellStyle name="Accent6 7" xfId="439"/>
    <cellStyle name="Accent6 8" xfId="440"/>
    <cellStyle name="Accent6 9" xfId="441"/>
    <cellStyle name="Bad 10" xfId="442"/>
    <cellStyle name="Bad 11" xfId="443"/>
    <cellStyle name="Bad 12" xfId="444"/>
    <cellStyle name="Bad 13" xfId="445"/>
    <cellStyle name="Bad 14" xfId="446"/>
    <cellStyle name="Bad 15" xfId="447"/>
    <cellStyle name="Bad 16" xfId="448"/>
    <cellStyle name="Bad 17" xfId="449"/>
    <cellStyle name="Bad 18" xfId="450"/>
    <cellStyle name="Bad 19" xfId="451"/>
    <cellStyle name="Bad 2" xfId="452"/>
    <cellStyle name="Bad 3" xfId="453"/>
    <cellStyle name="Bad 4" xfId="454"/>
    <cellStyle name="Bad 5" xfId="455"/>
    <cellStyle name="Bad 6" xfId="456"/>
    <cellStyle name="Bad 7" xfId="457"/>
    <cellStyle name="Bad 8" xfId="458"/>
    <cellStyle name="Bad 9" xfId="459"/>
    <cellStyle name="Calculation 10" xfId="460"/>
    <cellStyle name="Calculation 11" xfId="461"/>
    <cellStyle name="Calculation 12" xfId="462"/>
    <cellStyle name="Calculation 13" xfId="463"/>
    <cellStyle name="Calculation 14" xfId="464"/>
    <cellStyle name="Calculation 15" xfId="465"/>
    <cellStyle name="Calculation 16" xfId="466"/>
    <cellStyle name="Calculation 17" xfId="467"/>
    <cellStyle name="Calculation 18" xfId="468"/>
    <cellStyle name="Calculation 19" xfId="469"/>
    <cellStyle name="Calculation 2" xfId="470"/>
    <cellStyle name="Calculation 3" xfId="471"/>
    <cellStyle name="Calculation 4" xfId="472"/>
    <cellStyle name="Calculation 5" xfId="473"/>
    <cellStyle name="Calculation 6" xfId="474"/>
    <cellStyle name="Calculation 7" xfId="475"/>
    <cellStyle name="Calculation 8" xfId="476"/>
    <cellStyle name="Calculation 9" xfId="477"/>
    <cellStyle name="Check Cell 10" xfId="478"/>
    <cellStyle name="Check Cell 10 10" xfId="3332"/>
    <cellStyle name="Check Cell 10 11" xfId="3333"/>
    <cellStyle name="Check Cell 10 12" xfId="3334"/>
    <cellStyle name="Check Cell 10 13" xfId="3335"/>
    <cellStyle name="Check Cell 10 2" xfId="3336"/>
    <cellStyle name="Check Cell 10 2 2" xfId="3337"/>
    <cellStyle name="Check Cell 10 3" xfId="3338"/>
    <cellStyle name="Check Cell 10 3 2" xfId="3339"/>
    <cellStyle name="Check Cell 10 4" xfId="3340"/>
    <cellStyle name="Check Cell 10 5" xfId="3341"/>
    <cellStyle name="Check Cell 10 5 2" xfId="3342"/>
    <cellStyle name="Check Cell 10 6" xfId="3343"/>
    <cellStyle name="Check Cell 10 7" xfId="3344"/>
    <cellStyle name="Check Cell 10 8" xfId="3345"/>
    <cellStyle name="Check Cell 10 9" xfId="3346"/>
    <cellStyle name="Check Cell 11" xfId="479"/>
    <cellStyle name="Check Cell 11 10" xfId="3347"/>
    <cellStyle name="Check Cell 11 11" xfId="3348"/>
    <cellStyle name="Check Cell 11 12" xfId="3349"/>
    <cellStyle name="Check Cell 11 13" xfId="3350"/>
    <cellStyle name="Check Cell 11 2" xfId="3351"/>
    <cellStyle name="Check Cell 11 2 2" xfId="3352"/>
    <cellStyle name="Check Cell 11 3" xfId="3353"/>
    <cellStyle name="Check Cell 11 3 2" xfId="3354"/>
    <cellStyle name="Check Cell 11 4" xfId="3355"/>
    <cellStyle name="Check Cell 11 5" xfId="3356"/>
    <cellStyle name="Check Cell 11 5 2" xfId="3357"/>
    <cellStyle name="Check Cell 11 6" xfId="3358"/>
    <cellStyle name="Check Cell 11 7" xfId="3359"/>
    <cellStyle name="Check Cell 11 8" xfId="3360"/>
    <cellStyle name="Check Cell 11 9" xfId="3361"/>
    <cellStyle name="Check Cell 12" xfId="480"/>
    <cellStyle name="Check Cell 12 10" xfId="3362"/>
    <cellStyle name="Check Cell 12 11" xfId="3363"/>
    <cellStyle name="Check Cell 12 12" xfId="3364"/>
    <cellStyle name="Check Cell 12 13" xfId="3365"/>
    <cellStyle name="Check Cell 12 2" xfId="3366"/>
    <cellStyle name="Check Cell 12 2 2" xfId="3367"/>
    <cellStyle name="Check Cell 12 3" xfId="3368"/>
    <cellStyle name="Check Cell 12 3 2" xfId="3369"/>
    <cellStyle name="Check Cell 12 4" xfId="3370"/>
    <cellStyle name="Check Cell 12 5" xfId="3371"/>
    <cellStyle name="Check Cell 12 5 2" xfId="3372"/>
    <cellStyle name="Check Cell 12 6" xfId="3373"/>
    <cellStyle name="Check Cell 12 7" xfId="3374"/>
    <cellStyle name="Check Cell 12 8" xfId="3375"/>
    <cellStyle name="Check Cell 12 9" xfId="3376"/>
    <cellStyle name="Check Cell 13" xfId="481"/>
    <cellStyle name="Check Cell 13 10" xfId="3377"/>
    <cellStyle name="Check Cell 13 11" xfId="3378"/>
    <cellStyle name="Check Cell 13 12" xfId="3379"/>
    <cellStyle name="Check Cell 13 13" xfId="3380"/>
    <cellStyle name="Check Cell 13 2" xfId="3381"/>
    <cellStyle name="Check Cell 13 2 2" xfId="3382"/>
    <cellStyle name="Check Cell 13 3" xfId="3383"/>
    <cellStyle name="Check Cell 13 3 2" xfId="3384"/>
    <cellStyle name="Check Cell 13 4" xfId="3385"/>
    <cellStyle name="Check Cell 13 5" xfId="3386"/>
    <cellStyle name="Check Cell 13 5 2" xfId="3387"/>
    <cellStyle name="Check Cell 13 6" xfId="3388"/>
    <cellStyle name="Check Cell 13 7" xfId="3389"/>
    <cellStyle name="Check Cell 13 8" xfId="3390"/>
    <cellStyle name="Check Cell 13 9" xfId="3391"/>
    <cellStyle name="Check Cell 14" xfId="482"/>
    <cellStyle name="Check Cell 14 10" xfId="3392"/>
    <cellStyle name="Check Cell 14 11" xfId="3393"/>
    <cellStyle name="Check Cell 14 12" xfId="3394"/>
    <cellStyle name="Check Cell 14 13" xfId="3395"/>
    <cellStyle name="Check Cell 14 2" xfId="3396"/>
    <cellStyle name="Check Cell 14 2 2" xfId="3397"/>
    <cellStyle name="Check Cell 14 3" xfId="3398"/>
    <cellStyle name="Check Cell 14 3 2" xfId="3399"/>
    <cellStyle name="Check Cell 14 4" xfId="3400"/>
    <cellStyle name="Check Cell 14 5" xfId="3401"/>
    <cellStyle name="Check Cell 14 5 2" xfId="3402"/>
    <cellStyle name="Check Cell 14 6" xfId="3403"/>
    <cellStyle name="Check Cell 14 7" xfId="3404"/>
    <cellStyle name="Check Cell 14 8" xfId="3405"/>
    <cellStyle name="Check Cell 14 9" xfId="3406"/>
    <cellStyle name="Check Cell 15" xfId="483"/>
    <cellStyle name="Check Cell 15 10" xfId="3407"/>
    <cellStyle name="Check Cell 15 11" xfId="3408"/>
    <cellStyle name="Check Cell 15 12" xfId="3409"/>
    <cellStyle name="Check Cell 15 13" xfId="3410"/>
    <cellStyle name="Check Cell 15 2" xfId="3411"/>
    <cellStyle name="Check Cell 15 2 2" xfId="3412"/>
    <cellStyle name="Check Cell 15 3" xfId="3413"/>
    <cellStyle name="Check Cell 15 3 2" xfId="3414"/>
    <cellStyle name="Check Cell 15 4" xfId="3415"/>
    <cellStyle name="Check Cell 15 5" xfId="3416"/>
    <cellStyle name="Check Cell 15 5 2" xfId="3417"/>
    <cellStyle name="Check Cell 15 6" xfId="3418"/>
    <cellStyle name="Check Cell 15 7" xfId="3419"/>
    <cellStyle name="Check Cell 15 8" xfId="3420"/>
    <cellStyle name="Check Cell 15 9" xfId="3421"/>
    <cellStyle name="Check Cell 16" xfId="484"/>
    <cellStyle name="Check Cell 16 10" xfId="3422"/>
    <cellStyle name="Check Cell 16 11" xfId="3423"/>
    <cellStyle name="Check Cell 16 12" xfId="3424"/>
    <cellStyle name="Check Cell 16 13" xfId="3425"/>
    <cellStyle name="Check Cell 16 2" xfId="3426"/>
    <cellStyle name="Check Cell 16 2 2" xfId="3427"/>
    <cellStyle name="Check Cell 16 3" xfId="3428"/>
    <cellStyle name="Check Cell 16 3 2" xfId="3429"/>
    <cellStyle name="Check Cell 16 4" xfId="3430"/>
    <cellStyle name="Check Cell 16 5" xfId="3431"/>
    <cellStyle name="Check Cell 16 5 2" xfId="3432"/>
    <cellStyle name="Check Cell 16 6" xfId="3433"/>
    <cellStyle name="Check Cell 16 7" xfId="3434"/>
    <cellStyle name="Check Cell 16 8" xfId="3435"/>
    <cellStyle name="Check Cell 16 9" xfId="3436"/>
    <cellStyle name="Check Cell 17" xfId="485"/>
    <cellStyle name="Check Cell 17 10" xfId="3437"/>
    <cellStyle name="Check Cell 17 11" xfId="3438"/>
    <cellStyle name="Check Cell 17 12" xfId="3439"/>
    <cellStyle name="Check Cell 17 13" xfId="3440"/>
    <cellStyle name="Check Cell 17 2" xfId="3441"/>
    <cellStyle name="Check Cell 17 2 2" xfId="3442"/>
    <cellStyle name="Check Cell 17 3" xfId="3443"/>
    <cellStyle name="Check Cell 17 3 2" xfId="3444"/>
    <cellStyle name="Check Cell 17 4" xfId="3445"/>
    <cellStyle name="Check Cell 17 5" xfId="3446"/>
    <cellStyle name="Check Cell 17 5 2" xfId="3447"/>
    <cellStyle name="Check Cell 17 6" xfId="3448"/>
    <cellStyle name="Check Cell 17 7" xfId="3449"/>
    <cellStyle name="Check Cell 17 8" xfId="3450"/>
    <cellStyle name="Check Cell 17 9" xfId="3451"/>
    <cellStyle name="Check Cell 18" xfId="486"/>
    <cellStyle name="Check Cell 18 10" xfId="3452"/>
    <cellStyle name="Check Cell 18 11" xfId="3453"/>
    <cellStyle name="Check Cell 18 12" xfId="3454"/>
    <cellStyle name="Check Cell 18 13" xfId="3455"/>
    <cellStyle name="Check Cell 18 2" xfId="3456"/>
    <cellStyle name="Check Cell 18 2 2" xfId="3457"/>
    <cellStyle name="Check Cell 18 3" xfId="3458"/>
    <cellStyle name="Check Cell 18 3 2" xfId="3459"/>
    <cellStyle name="Check Cell 18 4" xfId="3460"/>
    <cellStyle name="Check Cell 18 5" xfId="3461"/>
    <cellStyle name="Check Cell 18 5 2" xfId="3462"/>
    <cellStyle name="Check Cell 18 6" xfId="3463"/>
    <cellStyle name="Check Cell 18 7" xfId="3464"/>
    <cellStyle name="Check Cell 18 8" xfId="3465"/>
    <cellStyle name="Check Cell 18 9" xfId="3466"/>
    <cellStyle name="Check Cell 19" xfId="487"/>
    <cellStyle name="Check Cell 19 10" xfId="3467"/>
    <cellStyle name="Check Cell 19 11" xfId="3468"/>
    <cellStyle name="Check Cell 19 12" xfId="3469"/>
    <cellStyle name="Check Cell 19 13" xfId="3470"/>
    <cellStyle name="Check Cell 19 2" xfId="3471"/>
    <cellStyle name="Check Cell 19 2 2" xfId="3472"/>
    <cellStyle name="Check Cell 19 3" xfId="3473"/>
    <cellStyle name="Check Cell 19 3 2" xfId="3474"/>
    <cellStyle name="Check Cell 19 4" xfId="3475"/>
    <cellStyle name="Check Cell 19 5" xfId="3476"/>
    <cellStyle name="Check Cell 19 5 2" xfId="3477"/>
    <cellStyle name="Check Cell 19 6" xfId="3478"/>
    <cellStyle name="Check Cell 19 7" xfId="3479"/>
    <cellStyle name="Check Cell 19 8" xfId="3480"/>
    <cellStyle name="Check Cell 19 9" xfId="3481"/>
    <cellStyle name="Check Cell 2" xfId="488"/>
    <cellStyle name="Check Cell 2 10" xfId="3482"/>
    <cellStyle name="Check Cell 2 11" xfId="3483"/>
    <cellStyle name="Check Cell 2 12" xfId="3484"/>
    <cellStyle name="Check Cell 2 13" xfId="3485"/>
    <cellStyle name="Check Cell 2 2" xfId="3486"/>
    <cellStyle name="Check Cell 2 2 2" xfId="3487"/>
    <cellStyle name="Check Cell 2 3" xfId="3488"/>
    <cellStyle name="Check Cell 2 3 2" xfId="3489"/>
    <cellStyle name="Check Cell 2 4" xfId="3490"/>
    <cellStyle name="Check Cell 2 5" xfId="3491"/>
    <cellStyle name="Check Cell 2 5 2" xfId="3492"/>
    <cellStyle name="Check Cell 2 6" xfId="3493"/>
    <cellStyle name="Check Cell 2 7" xfId="3494"/>
    <cellStyle name="Check Cell 2 8" xfId="3495"/>
    <cellStyle name="Check Cell 2 9" xfId="3496"/>
    <cellStyle name="Check Cell 3" xfId="489"/>
    <cellStyle name="Check Cell 3 10" xfId="3497"/>
    <cellStyle name="Check Cell 3 11" xfId="3498"/>
    <cellStyle name="Check Cell 3 12" xfId="3499"/>
    <cellStyle name="Check Cell 3 13" xfId="3500"/>
    <cellStyle name="Check Cell 3 2" xfId="3501"/>
    <cellStyle name="Check Cell 3 2 2" xfId="3502"/>
    <cellStyle name="Check Cell 3 3" xfId="3503"/>
    <cellStyle name="Check Cell 3 3 2" xfId="3504"/>
    <cellStyle name="Check Cell 3 4" xfId="3505"/>
    <cellStyle name="Check Cell 3 5" xfId="3506"/>
    <cellStyle name="Check Cell 3 5 2" xfId="3507"/>
    <cellStyle name="Check Cell 3 6" xfId="3508"/>
    <cellStyle name="Check Cell 3 7" xfId="3509"/>
    <cellStyle name="Check Cell 3 8" xfId="3510"/>
    <cellStyle name="Check Cell 3 9" xfId="3511"/>
    <cellStyle name="Check Cell 4" xfId="490"/>
    <cellStyle name="Check Cell 4 10" xfId="3512"/>
    <cellStyle name="Check Cell 4 11" xfId="3513"/>
    <cellStyle name="Check Cell 4 12" xfId="3514"/>
    <cellStyle name="Check Cell 4 13" xfId="3515"/>
    <cellStyle name="Check Cell 4 2" xfId="3516"/>
    <cellStyle name="Check Cell 4 2 2" xfId="3517"/>
    <cellStyle name="Check Cell 4 3" xfId="3518"/>
    <cellStyle name="Check Cell 4 3 2" xfId="3519"/>
    <cellStyle name="Check Cell 4 4" xfId="3520"/>
    <cellStyle name="Check Cell 4 5" xfId="3521"/>
    <cellStyle name="Check Cell 4 5 2" xfId="3522"/>
    <cellStyle name="Check Cell 4 6" xfId="3523"/>
    <cellStyle name="Check Cell 4 7" xfId="3524"/>
    <cellStyle name="Check Cell 4 8" xfId="3525"/>
    <cellStyle name="Check Cell 4 9" xfId="3526"/>
    <cellStyle name="Check Cell 5" xfId="491"/>
    <cellStyle name="Check Cell 5 10" xfId="3527"/>
    <cellStyle name="Check Cell 5 11" xfId="3528"/>
    <cellStyle name="Check Cell 5 12" xfId="3529"/>
    <cellStyle name="Check Cell 5 13" xfId="3530"/>
    <cellStyle name="Check Cell 5 2" xfId="3531"/>
    <cellStyle name="Check Cell 5 2 2" xfId="3532"/>
    <cellStyle name="Check Cell 5 3" xfId="3533"/>
    <cellStyle name="Check Cell 5 3 2" xfId="3534"/>
    <cellStyle name="Check Cell 5 4" xfId="3535"/>
    <cellStyle name="Check Cell 5 5" xfId="3536"/>
    <cellStyle name="Check Cell 5 5 2" xfId="3537"/>
    <cellStyle name="Check Cell 5 6" xfId="3538"/>
    <cellStyle name="Check Cell 5 7" xfId="3539"/>
    <cellStyle name="Check Cell 5 8" xfId="3540"/>
    <cellStyle name="Check Cell 5 9" xfId="3541"/>
    <cellStyle name="Check Cell 6" xfId="492"/>
    <cellStyle name="Check Cell 6 10" xfId="3542"/>
    <cellStyle name="Check Cell 6 11" xfId="3543"/>
    <cellStyle name="Check Cell 6 12" xfId="3544"/>
    <cellStyle name="Check Cell 6 13" xfId="3545"/>
    <cellStyle name="Check Cell 6 2" xfId="3546"/>
    <cellStyle name="Check Cell 6 2 2" xfId="3547"/>
    <cellStyle name="Check Cell 6 3" xfId="3548"/>
    <cellStyle name="Check Cell 6 3 2" xfId="3549"/>
    <cellStyle name="Check Cell 6 4" xfId="3550"/>
    <cellStyle name="Check Cell 6 5" xfId="3551"/>
    <cellStyle name="Check Cell 6 5 2" xfId="3552"/>
    <cellStyle name="Check Cell 6 6" xfId="3553"/>
    <cellStyle name="Check Cell 6 7" xfId="3554"/>
    <cellStyle name="Check Cell 6 8" xfId="3555"/>
    <cellStyle name="Check Cell 6 9" xfId="3556"/>
    <cellStyle name="Check Cell 7" xfId="493"/>
    <cellStyle name="Check Cell 7 10" xfId="3557"/>
    <cellStyle name="Check Cell 7 11" xfId="3558"/>
    <cellStyle name="Check Cell 7 12" xfId="3559"/>
    <cellStyle name="Check Cell 7 13" xfId="3560"/>
    <cellStyle name="Check Cell 7 2" xfId="3561"/>
    <cellStyle name="Check Cell 7 2 2" xfId="3562"/>
    <cellStyle name="Check Cell 7 3" xfId="3563"/>
    <cellStyle name="Check Cell 7 3 2" xfId="3564"/>
    <cellStyle name="Check Cell 7 4" xfId="3565"/>
    <cellStyle name="Check Cell 7 5" xfId="3566"/>
    <cellStyle name="Check Cell 7 5 2" xfId="3567"/>
    <cellStyle name="Check Cell 7 6" xfId="3568"/>
    <cellStyle name="Check Cell 7 7" xfId="3569"/>
    <cellStyle name="Check Cell 7 8" xfId="3570"/>
    <cellStyle name="Check Cell 7 9" xfId="3571"/>
    <cellStyle name="Check Cell 8" xfId="494"/>
    <cellStyle name="Check Cell 8 10" xfId="3572"/>
    <cellStyle name="Check Cell 8 11" xfId="3573"/>
    <cellStyle name="Check Cell 8 12" xfId="3574"/>
    <cellStyle name="Check Cell 8 13" xfId="3575"/>
    <cellStyle name="Check Cell 8 2" xfId="3576"/>
    <cellStyle name="Check Cell 8 2 2" xfId="3577"/>
    <cellStyle name="Check Cell 8 3" xfId="3578"/>
    <cellStyle name="Check Cell 8 3 2" xfId="3579"/>
    <cellStyle name="Check Cell 8 4" xfId="3580"/>
    <cellStyle name="Check Cell 8 5" xfId="3581"/>
    <cellStyle name="Check Cell 8 5 2" xfId="3582"/>
    <cellStyle name="Check Cell 8 6" xfId="3583"/>
    <cellStyle name="Check Cell 8 7" xfId="3584"/>
    <cellStyle name="Check Cell 8 8" xfId="3585"/>
    <cellStyle name="Check Cell 8 9" xfId="3586"/>
    <cellStyle name="Check Cell 9" xfId="495"/>
    <cellStyle name="Check Cell 9 10" xfId="3587"/>
    <cellStyle name="Check Cell 9 11" xfId="3588"/>
    <cellStyle name="Check Cell 9 12" xfId="3589"/>
    <cellStyle name="Check Cell 9 13" xfId="3590"/>
    <cellStyle name="Check Cell 9 2" xfId="3591"/>
    <cellStyle name="Check Cell 9 2 2" xfId="3592"/>
    <cellStyle name="Check Cell 9 3" xfId="3593"/>
    <cellStyle name="Check Cell 9 3 2" xfId="3594"/>
    <cellStyle name="Check Cell 9 4" xfId="3595"/>
    <cellStyle name="Check Cell 9 5" xfId="3596"/>
    <cellStyle name="Check Cell 9 5 2" xfId="3597"/>
    <cellStyle name="Check Cell 9 6" xfId="3598"/>
    <cellStyle name="Check Cell 9 7" xfId="3599"/>
    <cellStyle name="Check Cell 9 8" xfId="3600"/>
    <cellStyle name="Check Cell 9 9" xfId="3601"/>
    <cellStyle name="Comma" xfId="1" builtinId="3"/>
    <cellStyle name="Comma 10" xfId="916"/>
    <cellStyle name="Comma 10 2 3" xfId="917"/>
    <cellStyle name="Comma 11" xfId="918"/>
    <cellStyle name="Comma 12" xfId="919"/>
    <cellStyle name="Comma 13" xfId="920"/>
    <cellStyle name="Comma 14" xfId="921"/>
    <cellStyle name="Comma 15" xfId="922"/>
    <cellStyle name="Comma 16" xfId="923"/>
    <cellStyle name="Comma 17" xfId="924"/>
    <cellStyle name="Comma 18" xfId="3602"/>
    <cellStyle name="Comma 2" xfId="2"/>
    <cellStyle name="Comma 2 10" xfId="496"/>
    <cellStyle name="Comma 2 10 2" xfId="497"/>
    <cellStyle name="Comma 2 11" xfId="498"/>
    <cellStyle name="Comma 2 11 2" xfId="499"/>
    <cellStyle name="Comma 2 12" xfId="500"/>
    <cellStyle name="Comma 2 12 2" xfId="501"/>
    <cellStyle name="Comma 2 13" xfId="502"/>
    <cellStyle name="Comma 2 13 2" xfId="503"/>
    <cellStyle name="Comma 2 14" xfId="504"/>
    <cellStyle name="Comma 2 14 2" xfId="505"/>
    <cellStyle name="Comma 2 15" xfId="506"/>
    <cellStyle name="Comma 2 15 2" xfId="507"/>
    <cellStyle name="Comma 2 16" xfId="508"/>
    <cellStyle name="Comma 2 16 2" xfId="509"/>
    <cellStyle name="Comma 2 17" xfId="510"/>
    <cellStyle name="Comma 2 17 2" xfId="511"/>
    <cellStyle name="Comma 2 18" xfId="512"/>
    <cellStyle name="Comma 2 18 2" xfId="513"/>
    <cellStyle name="Comma 2 19" xfId="514"/>
    <cellStyle name="Comma 2 19 2" xfId="515"/>
    <cellStyle name="Comma 2 2" xfId="516"/>
    <cellStyle name="Comma 2 2 10" xfId="925"/>
    <cellStyle name="Comma 2 2 11" xfId="926"/>
    <cellStyle name="Comma 2 2 12" xfId="927"/>
    <cellStyle name="Comma 2 2 13" xfId="928"/>
    <cellStyle name="Comma 2 2 14" xfId="929"/>
    <cellStyle name="Comma 2 2 15" xfId="930"/>
    <cellStyle name="Comma 2 2 16" xfId="931"/>
    <cellStyle name="Comma 2 2 17" xfId="932"/>
    <cellStyle name="Comma 2 2 2" xfId="517"/>
    <cellStyle name="Comma 2 2 2 2" xfId="933"/>
    <cellStyle name="Comma 2 2 2 2 2" xfId="934"/>
    <cellStyle name="Comma 2 2 3" xfId="935"/>
    <cellStyle name="Comma 2 2 4" xfId="936"/>
    <cellStyle name="Comma 2 2 5" xfId="937"/>
    <cellStyle name="Comma 2 2 6" xfId="938"/>
    <cellStyle name="Comma 2 2 7" xfId="939"/>
    <cellStyle name="Comma 2 2 8" xfId="940"/>
    <cellStyle name="Comma 2 2 9" xfId="941"/>
    <cellStyle name="Comma 2 20" xfId="518"/>
    <cellStyle name="Comma 2 3" xfId="519"/>
    <cellStyle name="Comma 2 3 2" xfId="520"/>
    <cellStyle name="Comma 2 4" xfId="521"/>
    <cellStyle name="Comma 2 4 2" xfId="522"/>
    <cellStyle name="Comma 2 5" xfId="523"/>
    <cellStyle name="Comma 2 5 2" xfId="524"/>
    <cellStyle name="Comma 2 6" xfId="525"/>
    <cellStyle name="Comma 2 6 2" xfId="526"/>
    <cellStyle name="Comma 2 7" xfId="527"/>
    <cellStyle name="Comma 2 7 2" xfId="528"/>
    <cellStyle name="Comma 2 8" xfId="529"/>
    <cellStyle name="Comma 2 8 2" xfId="530"/>
    <cellStyle name="Comma 2 9" xfId="531"/>
    <cellStyle name="Comma 2 9 2" xfId="532"/>
    <cellStyle name="Comma 3" xfId="6"/>
    <cellStyle name="Comma 3 2" xfId="942"/>
    <cellStyle name="Comma 3 3" xfId="943"/>
    <cellStyle name="Comma 4" xfId="8"/>
    <cellStyle name="Comma 4 2" xfId="3603"/>
    <cellStyle name="Comma 4 3" xfId="3604"/>
    <cellStyle name="Comma 4 4" xfId="3605"/>
    <cellStyle name="Comma 4 5" xfId="3606"/>
    <cellStyle name="Comma 4 6" xfId="3607"/>
    <cellStyle name="Comma 4 7" xfId="4632"/>
    <cellStyle name="Comma 5" xfId="533"/>
    <cellStyle name="Comma 6" xfId="4"/>
    <cellStyle name="Comma 6 6" xfId="944"/>
    <cellStyle name="Comma 6 6 2" xfId="945"/>
    <cellStyle name="Comma 7" xfId="946"/>
    <cellStyle name="Comma 8" xfId="947"/>
    <cellStyle name="Comma 9" xfId="948"/>
    <cellStyle name="Currency 2" xfId="949"/>
    <cellStyle name="Explanatory Text 10" xfId="534"/>
    <cellStyle name="Explanatory Text 11" xfId="535"/>
    <cellStyle name="Explanatory Text 12" xfId="536"/>
    <cellStyle name="Explanatory Text 13" xfId="537"/>
    <cellStyle name="Explanatory Text 14" xfId="538"/>
    <cellStyle name="Explanatory Text 15" xfId="539"/>
    <cellStyle name="Explanatory Text 16" xfId="540"/>
    <cellStyle name="Explanatory Text 17" xfId="541"/>
    <cellStyle name="Explanatory Text 18" xfId="542"/>
    <cellStyle name="Explanatory Text 19" xfId="543"/>
    <cellStyle name="Explanatory Text 2" xfId="544"/>
    <cellStyle name="Explanatory Text 3" xfId="545"/>
    <cellStyle name="Explanatory Text 4" xfId="546"/>
    <cellStyle name="Explanatory Text 5" xfId="547"/>
    <cellStyle name="Explanatory Text 6" xfId="548"/>
    <cellStyle name="Explanatory Text 7" xfId="549"/>
    <cellStyle name="Explanatory Text 8" xfId="550"/>
    <cellStyle name="Explanatory Text 9" xfId="551"/>
    <cellStyle name="Good 10" xfId="552"/>
    <cellStyle name="Good 11" xfId="553"/>
    <cellStyle name="Good 12" xfId="554"/>
    <cellStyle name="Good 13" xfId="555"/>
    <cellStyle name="Good 14" xfId="556"/>
    <cellStyle name="Good 15" xfId="557"/>
    <cellStyle name="Good 16" xfId="558"/>
    <cellStyle name="Good 17" xfId="559"/>
    <cellStyle name="Good 18" xfId="560"/>
    <cellStyle name="Good 19" xfId="561"/>
    <cellStyle name="Good 2" xfId="562"/>
    <cellStyle name="Good 3" xfId="563"/>
    <cellStyle name="Good 4" xfId="564"/>
    <cellStyle name="Good 5" xfId="565"/>
    <cellStyle name="Good 6" xfId="566"/>
    <cellStyle name="Good 7" xfId="567"/>
    <cellStyle name="Good 8" xfId="568"/>
    <cellStyle name="Good 9" xfId="569"/>
    <cellStyle name="Heading 1 10" xfId="570"/>
    <cellStyle name="Heading 1 11" xfId="571"/>
    <cellStyle name="Heading 1 12" xfId="572"/>
    <cellStyle name="Heading 1 13" xfId="573"/>
    <cellStyle name="Heading 1 14" xfId="574"/>
    <cellStyle name="Heading 1 15" xfId="575"/>
    <cellStyle name="Heading 1 16" xfId="576"/>
    <cellStyle name="Heading 1 17" xfId="577"/>
    <cellStyle name="Heading 1 18" xfId="578"/>
    <cellStyle name="Heading 1 19" xfId="579"/>
    <cellStyle name="Heading 1 2" xfId="580"/>
    <cellStyle name="Heading 1 3" xfId="581"/>
    <cellStyle name="Heading 1 4" xfId="582"/>
    <cellStyle name="Heading 1 5" xfId="583"/>
    <cellStyle name="Heading 1 6" xfId="584"/>
    <cellStyle name="Heading 1 7" xfId="585"/>
    <cellStyle name="Heading 1 8" xfId="586"/>
    <cellStyle name="Heading 1 9" xfId="587"/>
    <cellStyle name="Heading 2 10" xfId="588"/>
    <cellStyle name="Heading 2 11" xfId="589"/>
    <cellStyle name="Heading 2 12" xfId="590"/>
    <cellStyle name="Heading 2 13" xfId="591"/>
    <cellStyle name="Heading 2 14" xfId="592"/>
    <cellStyle name="Heading 2 15" xfId="593"/>
    <cellStyle name="Heading 2 16" xfId="594"/>
    <cellStyle name="Heading 2 17" xfId="595"/>
    <cellStyle name="Heading 2 18" xfId="596"/>
    <cellStyle name="Heading 2 19" xfId="597"/>
    <cellStyle name="Heading 2 2" xfId="598"/>
    <cellStyle name="Heading 2 3" xfId="599"/>
    <cellStyle name="Heading 2 4" xfId="600"/>
    <cellStyle name="Heading 2 5" xfId="601"/>
    <cellStyle name="Heading 2 6" xfId="602"/>
    <cellStyle name="Heading 2 7" xfId="603"/>
    <cellStyle name="Heading 2 8" xfId="604"/>
    <cellStyle name="Heading 2 9" xfId="605"/>
    <cellStyle name="Heading 3 10" xfId="606"/>
    <cellStyle name="Heading 3 11" xfId="607"/>
    <cellStyle name="Heading 3 12" xfId="608"/>
    <cellStyle name="Heading 3 13" xfId="609"/>
    <cellStyle name="Heading 3 14" xfId="610"/>
    <cellStyle name="Heading 3 15" xfId="611"/>
    <cellStyle name="Heading 3 16" xfId="612"/>
    <cellStyle name="Heading 3 17" xfId="613"/>
    <cellStyle name="Heading 3 18" xfId="614"/>
    <cellStyle name="Heading 3 19" xfId="615"/>
    <cellStyle name="Heading 3 2" xfId="616"/>
    <cellStyle name="Heading 3 3" xfId="617"/>
    <cellStyle name="Heading 3 4" xfId="618"/>
    <cellStyle name="Heading 3 5" xfId="619"/>
    <cellStyle name="Heading 3 6" xfId="620"/>
    <cellStyle name="Heading 3 7" xfId="621"/>
    <cellStyle name="Heading 3 8" xfId="622"/>
    <cellStyle name="Heading 3 9" xfId="623"/>
    <cellStyle name="Heading 4 10" xfId="624"/>
    <cellStyle name="Heading 4 11" xfId="625"/>
    <cellStyle name="Heading 4 12" xfId="626"/>
    <cellStyle name="Heading 4 13" xfId="627"/>
    <cellStyle name="Heading 4 14" xfId="628"/>
    <cellStyle name="Heading 4 15" xfId="629"/>
    <cellStyle name="Heading 4 16" xfId="630"/>
    <cellStyle name="Heading 4 17" xfId="631"/>
    <cellStyle name="Heading 4 18" xfId="632"/>
    <cellStyle name="Heading 4 19" xfId="633"/>
    <cellStyle name="Heading 4 2" xfId="634"/>
    <cellStyle name="Heading 4 3" xfId="635"/>
    <cellStyle name="Heading 4 4" xfId="636"/>
    <cellStyle name="Heading 4 5" xfId="637"/>
    <cellStyle name="Heading 4 6" xfId="638"/>
    <cellStyle name="Heading 4 7" xfId="639"/>
    <cellStyle name="Heading 4 8" xfId="640"/>
    <cellStyle name="Heading 4 9" xfId="641"/>
    <cellStyle name="Hyperlink 2" xfId="642"/>
    <cellStyle name="Input 10" xfId="643"/>
    <cellStyle name="Input 11" xfId="644"/>
    <cellStyle name="Input 12" xfId="645"/>
    <cellStyle name="Input 13" xfId="646"/>
    <cellStyle name="Input 14" xfId="647"/>
    <cellStyle name="Input 15" xfId="648"/>
    <cellStyle name="Input 16" xfId="649"/>
    <cellStyle name="Input 17" xfId="650"/>
    <cellStyle name="Input 18" xfId="651"/>
    <cellStyle name="Input 19" xfId="652"/>
    <cellStyle name="Input 2" xfId="653"/>
    <cellStyle name="Input 3" xfId="654"/>
    <cellStyle name="Input 4" xfId="655"/>
    <cellStyle name="Input 5" xfId="656"/>
    <cellStyle name="Input 6" xfId="657"/>
    <cellStyle name="Input 7" xfId="658"/>
    <cellStyle name="Input 8" xfId="659"/>
    <cellStyle name="Input 9" xfId="660"/>
    <cellStyle name="Linked Cell 10" xfId="661"/>
    <cellStyle name="Linked Cell 10 10" xfId="3608"/>
    <cellStyle name="Linked Cell 10 11" xfId="3609"/>
    <cellStyle name="Linked Cell 10 12" xfId="3610"/>
    <cellStyle name="Linked Cell 10 13" xfId="3611"/>
    <cellStyle name="Linked Cell 10 14" xfId="3612"/>
    <cellStyle name="Linked Cell 10 15" xfId="3613"/>
    <cellStyle name="Linked Cell 10 2" xfId="662"/>
    <cellStyle name="Linked Cell 10 2 10" xfId="3614"/>
    <cellStyle name="Linked Cell 10 2 11" xfId="3615"/>
    <cellStyle name="Linked Cell 10 2 12" xfId="3616"/>
    <cellStyle name="Linked Cell 10 2 13" xfId="3617"/>
    <cellStyle name="Linked Cell 10 2 2" xfId="3618"/>
    <cellStyle name="Linked Cell 10 2 2 2" xfId="3619"/>
    <cellStyle name="Linked Cell 10 2 3" xfId="3620"/>
    <cellStyle name="Linked Cell 10 2 3 2" xfId="3621"/>
    <cellStyle name="Linked Cell 10 2 4" xfId="3622"/>
    <cellStyle name="Linked Cell 10 2 4 2" xfId="3623"/>
    <cellStyle name="Linked Cell 10 2 5" xfId="3624"/>
    <cellStyle name="Linked Cell 10 2 6" xfId="3625"/>
    <cellStyle name="Linked Cell 10 2 7" xfId="3626"/>
    <cellStyle name="Linked Cell 10 2 8" xfId="3627"/>
    <cellStyle name="Linked Cell 10 2 9" xfId="3628"/>
    <cellStyle name="Linked Cell 10 3" xfId="663"/>
    <cellStyle name="Linked Cell 10 3 10" xfId="3629"/>
    <cellStyle name="Linked Cell 10 3 11" xfId="3630"/>
    <cellStyle name="Linked Cell 10 3 12" xfId="3631"/>
    <cellStyle name="Linked Cell 10 3 13" xfId="3632"/>
    <cellStyle name="Linked Cell 10 3 2" xfId="3633"/>
    <cellStyle name="Linked Cell 10 3 2 2" xfId="3634"/>
    <cellStyle name="Linked Cell 10 3 3" xfId="3635"/>
    <cellStyle name="Linked Cell 10 3 3 2" xfId="3636"/>
    <cellStyle name="Linked Cell 10 3 4" xfId="3637"/>
    <cellStyle name="Linked Cell 10 3 4 2" xfId="3638"/>
    <cellStyle name="Linked Cell 10 3 5" xfId="3639"/>
    <cellStyle name="Linked Cell 10 3 6" xfId="3640"/>
    <cellStyle name="Linked Cell 10 3 7" xfId="3641"/>
    <cellStyle name="Linked Cell 10 3 8" xfId="3642"/>
    <cellStyle name="Linked Cell 10 3 9" xfId="3643"/>
    <cellStyle name="Linked Cell 10 4" xfId="3644"/>
    <cellStyle name="Linked Cell 10 4 2" xfId="3645"/>
    <cellStyle name="Linked Cell 10 5" xfId="3646"/>
    <cellStyle name="Linked Cell 10 5 2" xfId="3647"/>
    <cellStyle name="Linked Cell 10 6" xfId="3648"/>
    <cellStyle name="Linked Cell 10 6 2" xfId="3649"/>
    <cellStyle name="Linked Cell 10 7" xfId="3650"/>
    <cellStyle name="Linked Cell 10 8" xfId="3651"/>
    <cellStyle name="Linked Cell 10 9" xfId="3652"/>
    <cellStyle name="Linked Cell 11" xfId="664"/>
    <cellStyle name="Linked Cell 11 10" xfId="3653"/>
    <cellStyle name="Linked Cell 11 11" xfId="3654"/>
    <cellStyle name="Linked Cell 11 12" xfId="3655"/>
    <cellStyle name="Linked Cell 11 13" xfId="3656"/>
    <cellStyle name="Linked Cell 11 14" xfId="3657"/>
    <cellStyle name="Linked Cell 11 15" xfId="3658"/>
    <cellStyle name="Linked Cell 11 2" xfId="665"/>
    <cellStyle name="Linked Cell 11 2 10" xfId="3659"/>
    <cellStyle name="Linked Cell 11 2 11" xfId="3660"/>
    <cellStyle name="Linked Cell 11 2 12" xfId="3661"/>
    <cellStyle name="Linked Cell 11 2 13" xfId="3662"/>
    <cellStyle name="Linked Cell 11 2 2" xfId="3663"/>
    <cellStyle name="Linked Cell 11 2 2 2" xfId="3664"/>
    <cellStyle name="Linked Cell 11 2 3" xfId="3665"/>
    <cellStyle name="Linked Cell 11 2 3 2" xfId="3666"/>
    <cellStyle name="Linked Cell 11 2 4" xfId="3667"/>
    <cellStyle name="Linked Cell 11 2 4 2" xfId="3668"/>
    <cellStyle name="Linked Cell 11 2 5" xfId="3669"/>
    <cellStyle name="Linked Cell 11 2 6" xfId="3670"/>
    <cellStyle name="Linked Cell 11 2 7" xfId="3671"/>
    <cellStyle name="Linked Cell 11 2 8" xfId="3672"/>
    <cellStyle name="Linked Cell 11 2 9" xfId="3673"/>
    <cellStyle name="Linked Cell 11 3" xfId="666"/>
    <cellStyle name="Linked Cell 11 3 10" xfId="3674"/>
    <cellStyle name="Linked Cell 11 3 11" xfId="3675"/>
    <cellStyle name="Linked Cell 11 3 12" xfId="3676"/>
    <cellStyle name="Linked Cell 11 3 13" xfId="3677"/>
    <cellStyle name="Linked Cell 11 3 2" xfId="3678"/>
    <cellStyle name="Linked Cell 11 3 2 2" xfId="3679"/>
    <cellStyle name="Linked Cell 11 3 3" xfId="3680"/>
    <cellStyle name="Linked Cell 11 3 3 2" xfId="3681"/>
    <cellStyle name="Linked Cell 11 3 4" xfId="3682"/>
    <cellStyle name="Linked Cell 11 3 4 2" xfId="3683"/>
    <cellStyle name="Linked Cell 11 3 5" xfId="3684"/>
    <cellStyle name="Linked Cell 11 3 6" xfId="3685"/>
    <cellStyle name="Linked Cell 11 3 7" xfId="3686"/>
    <cellStyle name="Linked Cell 11 3 8" xfId="3687"/>
    <cellStyle name="Linked Cell 11 3 9" xfId="3688"/>
    <cellStyle name="Linked Cell 11 4" xfId="3689"/>
    <cellStyle name="Linked Cell 11 4 2" xfId="3690"/>
    <cellStyle name="Linked Cell 11 5" xfId="3691"/>
    <cellStyle name="Linked Cell 11 5 2" xfId="3692"/>
    <cellStyle name="Linked Cell 11 6" xfId="3693"/>
    <cellStyle name="Linked Cell 11 6 2" xfId="3694"/>
    <cellStyle name="Linked Cell 11 7" xfId="3695"/>
    <cellStyle name="Linked Cell 11 8" xfId="3696"/>
    <cellStyle name="Linked Cell 11 9" xfId="3697"/>
    <cellStyle name="Linked Cell 12" xfId="667"/>
    <cellStyle name="Linked Cell 12 10" xfId="3698"/>
    <cellStyle name="Linked Cell 12 11" xfId="3699"/>
    <cellStyle name="Linked Cell 12 12" xfId="3700"/>
    <cellStyle name="Linked Cell 12 13" xfId="3701"/>
    <cellStyle name="Linked Cell 12 14" xfId="3702"/>
    <cellStyle name="Linked Cell 12 15" xfId="3703"/>
    <cellStyle name="Linked Cell 12 2" xfId="668"/>
    <cellStyle name="Linked Cell 12 2 10" xfId="3704"/>
    <cellStyle name="Linked Cell 12 2 11" xfId="3705"/>
    <cellStyle name="Linked Cell 12 2 12" xfId="3706"/>
    <cellStyle name="Linked Cell 12 2 13" xfId="3707"/>
    <cellStyle name="Linked Cell 12 2 2" xfId="3708"/>
    <cellStyle name="Linked Cell 12 2 2 2" xfId="3709"/>
    <cellStyle name="Linked Cell 12 2 3" xfId="3710"/>
    <cellStyle name="Linked Cell 12 2 3 2" xfId="3711"/>
    <cellStyle name="Linked Cell 12 2 4" xfId="3712"/>
    <cellStyle name="Linked Cell 12 2 4 2" xfId="3713"/>
    <cellStyle name="Linked Cell 12 2 5" xfId="3714"/>
    <cellStyle name="Linked Cell 12 2 6" xfId="3715"/>
    <cellStyle name="Linked Cell 12 2 7" xfId="3716"/>
    <cellStyle name="Linked Cell 12 2 8" xfId="3717"/>
    <cellStyle name="Linked Cell 12 2 9" xfId="3718"/>
    <cellStyle name="Linked Cell 12 3" xfId="669"/>
    <cellStyle name="Linked Cell 12 3 10" xfId="3719"/>
    <cellStyle name="Linked Cell 12 3 11" xfId="3720"/>
    <cellStyle name="Linked Cell 12 3 12" xfId="3721"/>
    <cellStyle name="Linked Cell 12 3 13" xfId="3722"/>
    <cellStyle name="Linked Cell 12 3 2" xfId="3723"/>
    <cellStyle name="Linked Cell 12 3 2 2" xfId="3724"/>
    <cellStyle name="Linked Cell 12 3 3" xfId="3725"/>
    <cellStyle name="Linked Cell 12 3 3 2" xfId="3726"/>
    <cellStyle name="Linked Cell 12 3 4" xfId="3727"/>
    <cellStyle name="Linked Cell 12 3 4 2" xfId="3728"/>
    <cellStyle name="Linked Cell 12 3 5" xfId="3729"/>
    <cellStyle name="Linked Cell 12 3 6" xfId="3730"/>
    <cellStyle name="Linked Cell 12 3 7" xfId="3731"/>
    <cellStyle name="Linked Cell 12 3 8" xfId="3732"/>
    <cellStyle name="Linked Cell 12 3 9" xfId="3733"/>
    <cellStyle name="Linked Cell 12 4" xfId="3734"/>
    <cellStyle name="Linked Cell 12 4 2" xfId="3735"/>
    <cellStyle name="Linked Cell 12 5" xfId="3736"/>
    <cellStyle name="Linked Cell 12 5 2" xfId="3737"/>
    <cellStyle name="Linked Cell 12 6" xfId="3738"/>
    <cellStyle name="Linked Cell 12 6 2" xfId="3739"/>
    <cellStyle name="Linked Cell 12 7" xfId="3740"/>
    <cellStyle name="Linked Cell 12 8" xfId="3741"/>
    <cellStyle name="Linked Cell 12 9" xfId="3742"/>
    <cellStyle name="Linked Cell 13" xfId="670"/>
    <cellStyle name="Linked Cell 13 10" xfId="3743"/>
    <cellStyle name="Linked Cell 13 11" xfId="3744"/>
    <cellStyle name="Linked Cell 13 12" xfId="3745"/>
    <cellStyle name="Linked Cell 13 13" xfId="3746"/>
    <cellStyle name="Linked Cell 13 14" xfId="3747"/>
    <cellStyle name="Linked Cell 13 15" xfId="3748"/>
    <cellStyle name="Linked Cell 13 2" xfId="671"/>
    <cellStyle name="Linked Cell 13 2 10" xfId="3749"/>
    <cellStyle name="Linked Cell 13 2 11" xfId="3750"/>
    <cellStyle name="Linked Cell 13 2 12" xfId="3751"/>
    <cellStyle name="Linked Cell 13 2 13" xfId="3752"/>
    <cellStyle name="Linked Cell 13 2 2" xfId="3753"/>
    <cellStyle name="Linked Cell 13 2 2 2" xfId="3754"/>
    <cellStyle name="Linked Cell 13 2 3" xfId="3755"/>
    <cellStyle name="Linked Cell 13 2 3 2" xfId="3756"/>
    <cellStyle name="Linked Cell 13 2 4" xfId="3757"/>
    <cellStyle name="Linked Cell 13 2 4 2" xfId="3758"/>
    <cellStyle name="Linked Cell 13 2 5" xfId="3759"/>
    <cellStyle name="Linked Cell 13 2 6" xfId="3760"/>
    <cellStyle name="Linked Cell 13 2 7" xfId="3761"/>
    <cellStyle name="Linked Cell 13 2 8" xfId="3762"/>
    <cellStyle name="Linked Cell 13 2 9" xfId="3763"/>
    <cellStyle name="Linked Cell 13 3" xfId="672"/>
    <cellStyle name="Linked Cell 13 3 10" xfId="3764"/>
    <cellStyle name="Linked Cell 13 3 11" xfId="3765"/>
    <cellStyle name="Linked Cell 13 3 12" xfId="3766"/>
    <cellStyle name="Linked Cell 13 3 13" xfId="3767"/>
    <cellStyle name="Linked Cell 13 3 2" xfId="3768"/>
    <cellStyle name="Linked Cell 13 3 2 2" xfId="3769"/>
    <cellStyle name="Linked Cell 13 3 3" xfId="3770"/>
    <cellStyle name="Linked Cell 13 3 3 2" xfId="3771"/>
    <cellStyle name="Linked Cell 13 3 4" xfId="3772"/>
    <cellStyle name="Linked Cell 13 3 4 2" xfId="3773"/>
    <cellStyle name="Linked Cell 13 3 5" xfId="3774"/>
    <cellStyle name="Linked Cell 13 3 6" xfId="3775"/>
    <cellStyle name="Linked Cell 13 3 7" xfId="3776"/>
    <cellStyle name="Linked Cell 13 3 8" xfId="3777"/>
    <cellStyle name="Linked Cell 13 3 9" xfId="3778"/>
    <cellStyle name="Linked Cell 13 4" xfId="3779"/>
    <cellStyle name="Linked Cell 13 4 2" xfId="3780"/>
    <cellStyle name="Linked Cell 13 5" xfId="3781"/>
    <cellStyle name="Linked Cell 13 5 2" xfId="3782"/>
    <cellStyle name="Linked Cell 13 6" xfId="3783"/>
    <cellStyle name="Linked Cell 13 6 2" xfId="3784"/>
    <cellStyle name="Linked Cell 13 7" xfId="3785"/>
    <cellStyle name="Linked Cell 13 8" xfId="3786"/>
    <cellStyle name="Linked Cell 13 9" xfId="3787"/>
    <cellStyle name="Linked Cell 14" xfId="673"/>
    <cellStyle name="Linked Cell 14 10" xfId="3788"/>
    <cellStyle name="Linked Cell 14 11" xfId="3789"/>
    <cellStyle name="Linked Cell 14 12" xfId="3790"/>
    <cellStyle name="Linked Cell 14 13" xfId="3791"/>
    <cellStyle name="Linked Cell 14 14" xfId="3792"/>
    <cellStyle name="Linked Cell 14 15" xfId="3793"/>
    <cellStyle name="Linked Cell 14 2" xfId="674"/>
    <cellStyle name="Linked Cell 14 2 10" xfId="3794"/>
    <cellStyle name="Linked Cell 14 2 11" xfId="3795"/>
    <cellStyle name="Linked Cell 14 2 12" xfId="3796"/>
    <cellStyle name="Linked Cell 14 2 13" xfId="3797"/>
    <cellStyle name="Linked Cell 14 2 2" xfId="3798"/>
    <cellStyle name="Linked Cell 14 2 2 2" xfId="3799"/>
    <cellStyle name="Linked Cell 14 2 3" xfId="3800"/>
    <cellStyle name="Linked Cell 14 2 3 2" xfId="3801"/>
    <cellStyle name="Linked Cell 14 2 4" xfId="3802"/>
    <cellStyle name="Linked Cell 14 2 4 2" xfId="3803"/>
    <cellStyle name="Linked Cell 14 2 5" xfId="3804"/>
    <cellStyle name="Linked Cell 14 2 6" xfId="3805"/>
    <cellStyle name="Linked Cell 14 2 7" xfId="3806"/>
    <cellStyle name="Linked Cell 14 2 8" xfId="3807"/>
    <cellStyle name="Linked Cell 14 2 9" xfId="3808"/>
    <cellStyle name="Linked Cell 14 3" xfId="675"/>
    <cellStyle name="Linked Cell 14 3 10" xfId="3809"/>
    <cellStyle name="Linked Cell 14 3 11" xfId="3810"/>
    <cellStyle name="Linked Cell 14 3 12" xfId="3811"/>
    <cellStyle name="Linked Cell 14 3 13" xfId="3812"/>
    <cellStyle name="Linked Cell 14 3 2" xfId="3813"/>
    <cellStyle name="Linked Cell 14 3 2 2" xfId="3814"/>
    <cellStyle name="Linked Cell 14 3 3" xfId="3815"/>
    <cellStyle name="Linked Cell 14 3 3 2" xfId="3816"/>
    <cellStyle name="Linked Cell 14 3 4" xfId="3817"/>
    <cellStyle name="Linked Cell 14 3 4 2" xfId="3818"/>
    <cellStyle name="Linked Cell 14 3 5" xfId="3819"/>
    <cellStyle name="Linked Cell 14 3 6" xfId="3820"/>
    <cellStyle name="Linked Cell 14 3 7" xfId="3821"/>
    <cellStyle name="Linked Cell 14 3 8" xfId="3822"/>
    <cellStyle name="Linked Cell 14 3 9" xfId="3823"/>
    <cellStyle name="Linked Cell 14 4" xfId="3824"/>
    <cellStyle name="Linked Cell 14 4 2" xfId="3825"/>
    <cellStyle name="Linked Cell 14 5" xfId="3826"/>
    <cellStyle name="Linked Cell 14 5 2" xfId="3827"/>
    <cellStyle name="Linked Cell 14 6" xfId="3828"/>
    <cellStyle name="Linked Cell 14 6 2" xfId="3829"/>
    <cellStyle name="Linked Cell 14 7" xfId="3830"/>
    <cellStyle name="Linked Cell 14 8" xfId="3831"/>
    <cellStyle name="Linked Cell 14 9" xfId="3832"/>
    <cellStyle name="Linked Cell 15" xfId="676"/>
    <cellStyle name="Linked Cell 15 10" xfId="3833"/>
    <cellStyle name="Linked Cell 15 11" xfId="3834"/>
    <cellStyle name="Linked Cell 15 12" xfId="3835"/>
    <cellStyle name="Linked Cell 15 13" xfId="3836"/>
    <cellStyle name="Linked Cell 15 14" xfId="3837"/>
    <cellStyle name="Linked Cell 15 15" xfId="3838"/>
    <cellStyle name="Linked Cell 15 2" xfId="677"/>
    <cellStyle name="Linked Cell 15 2 10" xfId="3839"/>
    <cellStyle name="Linked Cell 15 2 11" xfId="3840"/>
    <cellStyle name="Linked Cell 15 2 12" xfId="3841"/>
    <cellStyle name="Linked Cell 15 2 13" xfId="3842"/>
    <cellStyle name="Linked Cell 15 2 2" xfId="3843"/>
    <cellStyle name="Linked Cell 15 2 2 2" xfId="3844"/>
    <cellStyle name="Linked Cell 15 2 3" xfId="3845"/>
    <cellStyle name="Linked Cell 15 2 3 2" xfId="3846"/>
    <cellStyle name="Linked Cell 15 2 4" xfId="3847"/>
    <cellStyle name="Linked Cell 15 2 4 2" xfId="3848"/>
    <cellStyle name="Linked Cell 15 2 5" xfId="3849"/>
    <cellStyle name="Linked Cell 15 2 6" xfId="3850"/>
    <cellStyle name="Linked Cell 15 2 7" xfId="3851"/>
    <cellStyle name="Linked Cell 15 2 8" xfId="3852"/>
    <cellStyle name="Linked Cell 15 2 9" xfId="3853"/>
    <cellStyle name="Linked Cell 15 3" xfId="678"/>
    <cellStyle name="Linked Cell 15 3 10" xfId="3854"/>
    <cellStyle name="Linked Cell 15 3 11" xfId="3855"/>
    <cellStyle name="Linked Cell 15 3 12" xfId="3856"/>
    <cellStyle name="Linked Cell 15 3 13" xfId="3857"/>
    <cellStyle name="Linked Cell 15 3 2" xfId="3858"/>
    <cellStyle name="Linked Cell 15 3 2 2" xfId="3859"/>
    <cellStyle name="Linked Cell 15 3 3" xfId="3860"/>
    <cellStyle name="Linked Cell 15 3 3 2" xfId="3861"/>
    <cellStyle name="Linked Cell 15 3 4" xfId="3862"/>
    <cellStyle name="Linked Cell 15 3 4 2" xfId="3863"/>
    <cellStyle name="Linked Cell 15 3 5" xfId="3864"/>
    <cellStyle name="Linked Cell 15 3 6" xfId="3865"/>
    <cellStyle name="Linked Cell 15 3 7" xfId="3866"/>
    <cellStyle name="Linked Cell 15 3 8" xfId="3867"/>
    <cellStyle name="Linked Cell 15 3 9" xfId="3868"/>
    <cellStyle name="Linked Cell 15 4" xfId="3869"/>
    <cellStyle name="Linked Cell 15 4 2" xfId="3870"/>
    <cellStyle name="Linked Cell 15 5" xfId="3871"/>
    <cellStyle name="Linked Cell 15 5 2" xfId="3872"/>
    <cellStyle name="Linked Cell 15 6" xfId="3873"/>
    <cellStyle name="Linked Cell 15 6 2" xfId="3874"/>
    <cellStyle name="Linked Cell 15 7" xfId="3875"/>
    <cellStyle name="Linked Cell 15 8" xfId="3876"/>
    <cellStyle name="Linked Cell 15 9" xfId="3877"/>
    <cellStyle name="Linked Cell 16" xfId="679"/>
    <cellStyle name="Linked Cell 16 10" xfId="3878"/>
    <cellStyle name="Linked Cell 16 11" xfId="3879"/>
    <cellStyle name="Linked Cell 16 12" xfId="3880"/>
    <cellStyle name="Linked Cell 16 13" xfId="3881"/>
    <cellStyle name="Linked Cell 16 14" xfId="3882"/>
    <cellStyle name="Linked Cell 16 15" xfId="3883"/>
    <cellStyle name="Linked Cell 16 2" xfId="680"/>
    <cellStyle name="Linked Cell 16 2 10" xfId="3884"/>
    <cellStyle name="Linked Cell 16 2 11" xfId="3885"/>
    <cellStyle name="Linked Cell 16 2 12" xfId="3886"/>
    <cellStyle name="Linked Cell 16 2 13" xfId="3887"/>
    <cellStyle name="Linked Cell 16 2 2" xfId="3888"/>
    <cellStyle name="Linked Cell 16 2 2 2" xfId="3889"/>
    <cellStyle name="Linked Cell 16 2 3" xfId="3890"/>
    <cellStyle name="Linked Cell 16 2 3 2" xfId="3891"/>
    <cellStyle name="Linked Cell 16 2 4" xfId="3892"/>
    <cellStyle name="Linked Cell 16 2 4 2" xfId="3893"/>
    <cellStyle name="Linked Cell 16 2 5" xfId="3894"/>
    <cellStyle name="Linked Cell 16 2 6" xfId="3895"/>
    <cellStyle name="Linked Cell 16 2 7" xfId="3896"/>
    <cellStyle name="Linked Cell 16 2 8" xfId="3897"/>
    <cellStyle name="Linked Cell 16 2 9" xfId="3898"/>
    <cellStyle name="Linked Cell 16 3" xfId="681"/>
    <cellStyle name="Linked Cell 16 3 10" xfId="3899"/>
    <cellStyle name="Linked Cell 16 3 11" xfId="3900"/>
    <cellStyle name="Linked Cell 16 3 12" xfId="3901"/>
    <cellStyle name="Linked Cell 16 3 13" xfId="3902"/>
    <cellStyle name="Linked Cell 16 3 2" xfId="3903"/>
    <cellStyle name="Linked Cell 16 3 2 2" xfId="3904"/>
    <cellStyle name="Linked Cell 16 3 3" xfId="3905"/>
    <cellStyle name="Linked Cell 16 3 3 2" xfId="3906"/>
    <cellStyle name="Linked Cell 16 3 4" xfId="3907"/>
    <cellStyle name="Linked Cell 16 3 4 2" xfId="3908"/>
    <cellStyle name="Linked Cell 16 3 5" xfId="3909"/>
    <cellStyle name="Linked Cell 16 3 6" xfId="3910"/>
    <cellStyle name="Linked Cell 16 3 7" xfId="3911"/>
    <cellStyle name="Linked Cell 16 3 8" xfId="3912"/>
    <cellStyle name="Linked Cell 16 3 9" xfId="3913"/>
    <cellStyle name="Linked Cell 16 4" xfId="3914"/>
    <cellStyle name="Linked Cell 16 4 2" xfId="3915"/>
    <cellStyle name="Linked Cell 16 5" xfId="3916"/>
    <cellStyle name="Linked Cell 16 5 2" xfId="3917"/>
    <cellStyle name="Linked Cell 16 6" xfId="3918"/>
    <cellStyle name="Linked Cell 16 6 2" xfId="3919"/>
    <cellStyle name="Linked Cell 16 7" xfId="3920"/>
    <cellStyle name="Linked Cell 16 8" xfId="3921"/>
    <cellStyle name="Linked Cell 16 9" xfId="3922"/>
    <cellStyle name="Linked Cell 17" xfId="682"/>
    <cellStyle name="Linked Cell 17 10" xfId="3923"/>
    <cellStyle name="Linked Cell 17 11" xfId="3924"/>
    <cellStyle name="Linked Cell 17 12" xfId="3925"/>
    <cellStyle name="Linked Cell 17 13" xfId="3926"/>
    <cellStyle name="Linked Cell 17 14" xfId="3927"/>
    <cellStyle name="Linked Cell 17 15" xfId="3928"/>
    <cellStyle name="Linked Cell 17 2" xfId="683"/>
    <cellStyle name="Linked Cell 17 2 10" xfId="3929"/>
    <cellStyle name="Linked Cell 17 2 11" xfId="3930"/>
    <cellStyle name="Linked Cell 17 2 12" xfId="3931"/>
    <cellStyle name="Linked Cell 17 2 13" xfId="3932"/>
    <cellStyle name="Linked Cell 17 2 2" xfId="3933"/>
    <cellStyle name="Linked Cell 17 2 2 2" xfId="3934"/>
    <cellStyle name="Linked Cell 17 2 3" xfId="3935"/>
    <cellStyle name="Linked Cell 17 2 3 2" xfId="3936"/>
    <cellStyle name="Linked Cell 17 2 4" xfId="3937"/>
    <cellStyle name="Linked Cell 17 2 4 2" xfId="3938"/>
    <cellStyle name="Linked Cell 17 2 5" xfId="3939"/>
    <cellStyle name="Linked Cell 17 2 6" xfId="3940"/>
    <cellStyle name="Linked Cell 17 2 7" xfId="3941"/>
    <cellStyle name="Linked Cell 17 2 8" xfId="3942"/>
    <cellStyle name="Linked Cell 17 2 9" xfId="3943"/>
    <cellStyle name="Linked Cell 17 3" xfId="684"/>
    <cellStyle name="Linked Cell 17 3 10" xfId="3944"/>
    <cellStyle name="Linked Cell 17 3 11" xfId="3945"/>
    <cellStyle name="Linked Cell 17 3 12" xfId="3946"/>
    <cellStyle name="Linked Cell 17 3 13" xfId="3947"/>
    <cellStyle name="Linked Cell 17 3 2" xfId="3948"/>
    <cellStyle name="Linked Cell 17 3 2 2" xfId="3949"/>
    <cellStyle name="Linked Cell 17 3 3" xfId="3950"/>
    <cellStyle name="Linked Cell 17 3 3 2" xfId="3951"/>
    <cellStyle name="Linked Cell 17 3 4" xfId="3952"/>
    <cellStyle name="Linked Cell 17 3 4 2" xfId="3953"/>
    <cellStyle name="Linked Cell 17 3 5" xfId="3954"/>
    <cellStyle name="Linked Cell 17 3 6" xfId="3955"/>
    <cellStyle name="Linked Cell 17 3 7" xfId="3956"/>
    <cellStyle name="Linked Cell 17 3 8" xfId="3957"/>
    <cellStyle name="Linked Cell 17 3 9" xfId="3958"/>
    <cellStyle name="Linked Cell 17 4" xfId="3959"/>
    <cellStyle name="Linked Cell 17 4 2" xfId="3960"/>
    <cellStyle name="Linked Cell 17 5" xfId="3961"/>
    <cellStyle name="Linked Cell 17 5 2" xfId="3962"/>
    <cellStyle name="Linked Cell 17 6" xfId="3963"/>
    <cellStyle name="Linked Cell 17 6 2" xfId="3964"/>
    <cellStyle name="Linked Cell 17 7" xfId="3965"/>
    <cellStyle name="Linked Cell 17 8" xfId="3966"/>
    <cellStyle name="Linked Cell 17 9" xfId="3967"/>
    <cellStyle name="Linked Cell 18" xfId="685"/>
    <cellStyle name="Linked Cell 18 10" xfId="3968"/>
    <cellStyle name="Linked Cell 18 11" xfId="3969"/>
    <cellStyle name="Linked Cell 18 12" xfId="3970"/>
    <cellStyle name="Linked Cell 18 13" xfId="3971"/>
    <cellStyle name="Linked Cell 18 14" xfId="3972"/>
    <cellStyle name="Linked Cell 18 15" xfId="3973"/>
    <cellStyle name="Linked Cell 18 2" xfId="686"/>
    <cellStyle name="Linked Cell 18 2 10" xfId="3974"/>
    <cellStyle name="Linked Cell 18 2 11" xfId="3975"/>
    <cellStyle name="Linked Cell 18 2 12" xfId="3976"/>
    <cellStyle name="Linked Cell 18 2 13" xfId="3977"/>
    <cellStyle name="Linked Cell 18 2 2" xfId="3978"/>
    <cellStyle name="Linked Cell 18 2 2 2" xfId="3979"/>
    <cellStyle name="Linked Cell 18 2 3" xfId="3980"/>
    <cellStyle name="Linked Cell 18 2 3 2" xfId="3981"/>
    <cellStyle name="Linked Cell 18 2 4" xfId="3982"/>
    <cellStyle name="Linked Cell 18 2 4 2" xfId="3983"/>
    <cellStyle name="Linked Cell 18 2 5" xfId="3984"/>
    <cellStyle name="Linked Cell 18 2 6" xfId="3985"/>
    <cellStyle name="Linked Cell 18 2 7" xfId="3986"/>
    <cellStyle name="Linked Cell 18 2 8" xfId="3987"/>
    <cellStyle name="Linked Cell 18 2 9" xfId="3988"/>
    <cellStyle name="Linked Cell 18 3" xfId="687"/>
    <cellStyle name="Linked Cell 18 3 10" xfId="3989"/>
    <cellStyle name="Linked Cell 18 3 11" xfId="3990"/>
    <cellStyle name="Linked Cell 18 3 12" xfId="3991"/>
    <cellStyle name="Linked Cell 18 3 13" xfId="3992"/>
    <cellStyle name="Linked Cell 18 3 2" xfId="3993"/>
    <cellStyle name="Linked Cell 18 3 2 2" xfId="3994"/>
    <cellStyle name="Linked Cell 18 3 3" xfId="3995"/>
    <cellStyle name="Linked Cell 18 3 3 2" xfId="3996"/>
    <cellStyle name="Linked Cell 18 3 4" xfId="3997"/>
    <cellStyle name="Linked Cell 18 3 4 2" xfId="3998"/>
    <cellStyle name="Linked Cell 18 3 5" xfId="3999"/>
    <cellStyle name="Linked Cell 18 3 6" xfId="4000"/>
    <cellStyle name="Linked Cell 18 3 7" xfId="4001"/>
    <cellStyle name="Linked Cell 18 3 8" xfId="4002"/>
    <cellStyle name="Linked Cell 18 3 9" xfId="4003"/>
    <cellStyle name="Linked Cell 18 4" xfId="4004"/>
    <cellStyle name="Linked Cell 18 4 2" xfId="4005"/>
    <cellStyle name="Linked Cell 18 5" xfId="4006"/>
    <cellStyle name="Linked Cell 18 5 2" xfId="4007"/>
    <cellStyle name="Linked Cell 18 6" xfId="4008"/>
    <cellStyle name="Linked Cell 18 6 2" xfId="4009"/>
    <cellStyle name="Linked Cell 18 7" xfId="4010"/>
    <cellStyle name="Linked Cell 18 8" xfId="4011"/>
    <cellStyle name="Linked Cell 18 9" xfId="4012"/>
    <cellStyle name="Linked Cell 19" xfId="688"/>
    <cellStyle name="Linked Cell 19 10" xfId="4013"/>
    <cellStyle name="Linked Cell 19 11" xfId="4014"/>
    <cellStyle name="Linked Cell 19 12" xfId="4015"/>
    <cellStyle name="Linked Cell 19 13" xfId="4016"/>
    <cellStyle name="Linked Cell 19 14" xfId="4017"/>
    <cellStyle name="Linked Cell 19 15" xfId="4018"/>
    <cellStyle name="Linked Cell 19 2" xfId="689"/>
    <cellStyle name="Linked Cell 19 2 10" xfId="4019"/>
    <cellStyle name="Linked Cell 19 2 11" xfId="4020"/>
    <cellStyle name="Linked Cell 19 2 12" xfId="4021"/>
    <cellStyle name="Linked Cell 19 2 13" xfId="4022"/>
    <cellStyle name="Linked Cell 19 2 2" xfId="4023"/>
    <cellStyle name="Linked Cell 19 2 2 2" xfId="4024"/>
    <cellStyle name="Linked Cell 19 2 3" xfId="4025"/>
    <cellStyle name="Linked Cell 19 2 3 2" xfId="4026"/>
    <cellStyle name="Linked Cell 19 2 4" xfId="4027"/>
    <cellStyle name="Linked Cell 19 2 4 2" xfId="4028"/>
    <cellStyle name="Linked Cell 19 2 5" xfId="4029"/>
    <cellStyle name="Linked Cell 19 2 6" xfId="4030"/>
    <cellStyle name="Linked Cell 19 2 7" xfId="4031"/>
    <cellStyle name="Linked Cell 19 2 8" xfId="4032"/>
    <cellStyle name="Linked Cell 19 2 9" xfId="4033"/>
    <cellStyle name="Linked Cell 19 3" xfId="690"/>
    <cellStyle name="Linked Cell 19 3 10" xfId="4034"/>
    <cellStyle name="Linked Cell 19 3 11" xfId="4035"/>
    <cellStyle name="Linked Cell 19 3 12" xfId="4036"/>
    <cellStyle name="Linked Cell 19 3 13" xfId="4037"/>
    <cellStyle name="Linked Cell 19 3 2" xfId="4038"/>
    <cellStyle name="Linked Cell 19 3 2 2" xfId="4039"/>
    <cellStyle name="Linked Cell 19 3 3" xfId="4040"/>
    <cellStyle name="Linked Cell 19 3 3 2" xfId="4041"/>
    <cellStyle name="Linked Cell 19 3 4" xfId="4042"/>
    <cellStyle name="Linked Cell 19 3 4 2" xfId="4043"/>
    <cellStyle name="Linked Cell 19 3 5" xfId="4044"/>
    <cellStyle name="Linked Cell 19 3 6" xfId="4045"/>
    <cellStyle name="Linked Cell 19 3 7" xfId="4046"/>
    <cellStyle name="Linked Cell 19 3 8" xfId="4047"/>
    <cellStyle name="Linked Cell 19 3 9" xfId="4048"/>
    <cellStyle name="Linked Cell 19 4" xfId="4049"/>
    <cellStyle name="Linked Cell 19 4 2" xfId="4050"/>
    <cellStyle name="Linked Cell 19 5" xfId="4051"/>
    <cellStyle name="Linked Cell 19 5 2" xfId="4052"/>
    <cellStyle name="Linked Cell 19 6" xfId="4053"/>
    <cellStyle name="Linked Cell 19 6 2" xfId="4054"/>
    <cellStyle name="Linked Cell 19 7" xfId="4055"/>
    <cellStyle name="Linked Cell 19 8" xfId="4056"/>
    <cellStyle name="Linked Cell 19 9" xfId="4057"/>
    <cellStyle name="Linked Cell 2" xfId="691"/>
    <cellStyle name="Linked Cell 2 10" xfId="4058"/>
    <cellStyle name="Linked Cell 2 11" xfId="4059"/>
    <cellStyle name="Linked Cell 2 12" xfId="4060"/>
    <cellStyle name="Linked Cell 2 13" xfId="4061"/>
    <cellStyle name="Linked Cell 2 14" xfId="4062"/>
    <cellStyle name="Linked Cell 2 15" xfId="4063"/>
    <cellStyle name="Linked Cell 2 2" xfId="692"/>
    <cellStyle name="Linked Cell 2 2 10" xfId="4064"/>
    <cellStyle name="Linked Cell 2 2 11" xfId="4065"/>
    <cellStyle name="Linked Cell 2 2 12" xfId="4066"/>
    <cellStyle name="Linked Cell 2 2 13" xfId="4067"/>
    <cellStyle name="Linked Cell 2 2 2" xfId="4068"/>
    <cellStyle name="Linked Cell 2 2 2 2" xfId="4069"/>
    <cellStyle name="Linked Cell 2 2 3" xfId="4070"/>
    <cellStyle name="Linked Cell 2 2 3 2" xfId="4071"/>
    <cellStyle name="Linked Cell 2 2 4" xfId="4072"/>
    <cellStyle name="Linked Cell 2 2 4 2" xfId="4073"/>
    <cellStyle name="Linked Cell 2 2 5" xfId="4074"/>
    <cellStyle name="Linked Cell 2 2 6" xfId="4075"/>
    <cellStyle name="Linked Cell 2 2 7" xfId="4076"/>
    <cellStyle name="Linked Cell 2 2 8" xfId="4077"/>
    <cellStyle name="Linked Cell 2 2 9" xfId="4078"/>
    <cellStyle name="Linked Cell 2 3" xfId="693"/>
    <cellStyle name="Linked Cell 2 3 10" xfId="4079"/>
    <cellStyle name="Linked Cell 2 3 11" xfId="4080"/>
    <cellStyle name="Linked Cell 2 3 12" xfId="4081"/>
    <cellStyle name="Linked Cell 2 3 13" xfId="4082"/>
    <cellStyle name="Linked Cell 2 3 2" xfId="4083"/>
    <cellStyle name="Linked Cell 2 3 2 2" xfId="4084"/>
    <cellStyle name="Linked Cell 2 3 3" xfId="4085"/>
    <cellStyle name="Linked Cell 2 3 3 2" xfId="4086"/>
    <cellStyle name="Linked Cell 2 3 4" xfId="4087"/>
    <cellStyle name="Linked Cell 2 3 4 2" xfId="4088"/>
    <cellStyle name="Linked Cell 2 3 5" xfId="4089"/>
    <cellStyle name="Linked Cell 2 3 6" xfId="4090"/>
    <cellStyle name="Linked Cell 2 3 7" xfId="4091"/>
    <cellStyle name="Linked Cell 2 3 8" xfId="4092"/>
    <cellStyle name="Linked Cell 2 3 9" xfId="4093"/>
    <cellStyle name="Linked Cell 2 4" xfId="4094"/>
    <cellStyle name="Linked Cell 2 4 2" xfId="4095"/>
    <cellStyle name="Linked Cell 2 5" xfId="4096"/>
    <cellStyle name="Linked Cell 2 5 2" xfId="4097"/>
    <cellStyle name="Linked Cell 2 6" xfId="4098"/>
    <cellStyle name="Linked Cell 2 6 2" xfId="4099"/>
    <cellStyle name="Linked Cell 2 7" xfId="4100"/>
    <cellStyle name="Linked Cell 2 8" xfId="4101"/>
    <cellStyle name="Linked Cell 2 9" xfId="4102"/>
    <cellStyle name="Linked Cell 3" xfId="694"/>
    <cellStyle name="Linked Cell 3 10" xfId="4103"/>
    <cellStyle name="Linked Cell 3 11" xfId="4104"/>
    <cellStyle name="Linked Cell 3 12" xfId="4105"/>
    <cellStyle name="Linked Cell 3 13" xfId="4106"/>
    <cellStyle name="Linked Cell 3 14" xfId="4107"/>
    <cellStyle name="Linked Cell 3 15" xfId="4108"/>
    <cellStyle name="Linked Cell 3 2" xfId="695"/>
    <cellStyle name="Linked Cell 3 2 10" xfId="4109"/>
    <cellStyle name="Linked Cell 3 2 11" xfId="4110"/>
    <cellStyle name="Linked Cell 3 2 12" xfId="4111"/>
    <cellStyle name="Linked Cell 3 2 13" xfId="4112"/>
    <cellStyle name="Linked Cell 3 2 2" xfId="4113"/>
    <cellStyle name="Linked Cell 3 2 2 2" xfId="4114"/>
    <cellStyle name="Linked Cell 3 2 3" xfId="4115"/>
    <cellStyle name="Linked Cell 3 2 3 2" xfId="4116"/>
    <cellStyle name="Linked Cell 3 2 4" xfId="4117"/>
    <cellStyle name="Linked Cell 3 2 4 2" xfId="4118"/>
    <cellStyle name="Linked Cell 3 2 5" xfId="4119"/>
    <cellStyle name="Linked Cell 3 2 6" xfId="4120"/>
    <cellStyle name="Linked Cell 3 2 7" xfId="4121"/>
    <cellStyle name="Linked Cell 3 2 8" xfId="4122"/>
    <cellStyle name="Linked Cell 3 2 9" xfId="4123"/>
    <cellStyle name="Linked Cell 3 3" xfId="696"/>
    <cellStyle name="Linked Cell 3 3 10" xfId="4124"/>
    <cellStyle name="Linked Cell 3 3 11" xfId="4125"/>
    <cellStyle name="Linked Cell 3 3 12" xfId="4126"/>
    <cellStyle name="Linked Cell 3 3 13" xfId="4127"/>
    <cellStyle name="Linked Cell 3 3 2" xfId="4128"/>
    <cellStyle name="Linked Cell 3 3 2 2" xfId="4129"/>
    <cellStyle name="Linked Cell 3 3 3" xfId="4130"/>
    <cellStyle name="Linked Cell 3 3 3 2" xfId="4131"/>
    <cellStyle name="Linked Cell 3 3 4" xfId="4132"/>
    <cellStyle name="Linked Cell 3 3 4 2" xfId="4133"/>
    <cellStyle name="Linked Cell 3 3 5" xfId="4134"/>
    <cellStyle name="Linked Cell 3 3 6" xfId="4135"/>
    <cellStyle name="Linked Cell 3 3 7" xfId="4136"/>
    <cellStyle name="Linked Cell 3 3 8" xfId="4137"/>
    <cellStyle name="Linked Cell 3 3 9" xfId="4138"/>
    <cellStyle name="Linked Cell 3 4" xfId="4139"/>
    <cellStyle name="Linked Cell 3 4 2" xfId="4140"/>
    <cellStyle name="Linked Cell 3 5" xfId="4141"/>
    <cellStyle name="Linked Cell 3 5 2" xfId="4142"/>
    <cellStyle name="Linked Cell 3 6" xfId="4143"/>
    <cellStyle name="Linked Cell 3 6 2" xfId="4144"/>
    <cellStyle name="Linked Cell 3 7" xfId="4145"/>
    <cellStyle name="Linked Cell 3 8" xfId="4146"/>
    <cellStyle name="Linked Cell 3 9" xfId="4147"/>
    <cellStyle name="Linked Cell 4" xfId="697"/>
    <cellStyle name="Linked Cell 4 10" xfId="4148"/>
    <cellStyle name="Linked Cell 4 11" xfId="4149"/>
    <cellStyle name="Linked Cell 4 12" xfId="4150"/>
    <cellStyle name="Linked Cell 4 13" xfId="4151"/>
    <cellStyle name="Linked Cell 4 14" xfId="4152"/>
    <cellStyle name="Linked Cell 4 15" xfId="4153"/>
    <cellStyle name="Linked Cell 4 2" xfId="698"/>
    <cellStyle name="Linked Cell 4 2 10" xfId="4154"/>
    <cellStyle name="Linked Cell 4 2 11" xfId="4155"/>
    <cellStyle name="Linked Cell 4 2 12" xfId="4156"/>
    <cellStyle name="Linked Cell 4 2 13" xfId="4157"/>
    <cellStyle name="Linked Cell 4 2 2" xfId="4158"/>
    <cellStyle name="Linked Cell 4 2 2 2" xfId="4159"/>
    <cellStyle name="Linked Cell 4 2 3" xfId="4160"/>
    <cellStyle name="Linked Cell 4 2 3 2" xfId="4161"/>
    <cellStyle name="Linked Cell 4 2 4" xfId="4162"/>
    <cellStyle name="Linked Cell 4 2 4 2" xfId="4163"/>
    <cellStyle name="Linked Cell 4 2 5" xfId="4164"/>
    <cellStyle name="Linked Cell 4 2 6" xfId="4165"/>
    <cellStyle name="Linked Cell 4 2 7" xfId="4166"/>
    <cellStyle name="Linked Cell 4 2 8" xfId="4167"/>
    <cellStyle name="Linked Cell 4 2 9" xfId="4168"/>
    <cellStyle name="Linked Cell 4 3" xfId="699"/>
    <cellStyle name="Linked Cell 4 3 10" xfId="4169"/>
    <cellStyle name="Linked Cell 4 3 11" xfId="4170"/>
    <cellStyle name="Linked Cell 4 3 12" xfId="4171"/>
    <cellStyle name="Linked Cell 4 3 13" xfId="4172"/>
    <cellStyle name="Linked Cell 4 3 2" xfId="4173"/>
    <cellStyle name="Linked Cell 4 3 2 2" xfId="4174"/>
    <cellStyle name="Linked Cell 4 3 3" xfId="4175"/>
    <cellStyle name="Linked Cell 4 3 3 2" xfId="4176"/>
    <cellStyle name="Linked Cell 4 3 4" xfId="4177"/>
    <cellStyle name="Linked Cell 4 3 4 2" xfId="4178"/>
    <cellStyle name="Linked Cell 4 3 5" xfId="4179"/>
    <cellStyle name="Linked Cell 4 3 6" xfId="4180"/>
    <cellStyle name="Linked Cell 4 3 7" xfId="4181"/>
    <cellStyle name="Linked Cell 4 3 8" xfId="4182"/>
    <cellStyle name="Linked Cell 4 3 9" xfId="4183"/>
    <cellStyle name="Linked Cell 4 4" xfId="4184"/>
    <cellStyle name="Linked Cell 4 4 2" xfId="4185"/>
    <cellStyle name="Linked Cell 4 5" xfId="4186"/>
    <cellStyle name="Linked Cell 4 5 2" xfId="4187"/>
    <cellStyle name="Linked Cell 4 6" xfId="4188"/>
    <cellStyle name="Linked Cell 4 6 2" xfId="4189"/>
    <cellStyle name="Linked Cell 4 7" xfId="4190"/>
    <cellStyle name="Linked Cell 4 8" xfId="4191"/>
    <cellStyle name="Linked Cell 4 9" xfId="4192"/>
    <cellStyle name="Linked Cell 5" xfId="700"/>
    <cellStyle name="Linked Cell 5 10" xfId="4193"/>
    <cellStyle name="Linked Cell 5 11" xfId="4194"/>
    <cellStyle name="Linked Cell 5 12" xfId="4195"/>
    <cellStyle name="Linked Cell 5 13" xfId="4196"/>
    <cellStyle name="Linked Cell 5 14" xfId="4197"/>
    <cellStyle name="Linked Cell 5 15" xfId="4198"/>
    <cellStyle name="Linked Cell 5 2" xfId="701"/>
    <cellStyle name="Linked Cell 5 2 10" xfId="4199"/>
    <cellStyle name="Linked Cell 5 2 11" xfId="4200"/>
    <cellStyle name="Linked Cell 5 2 12" xfId="4201"/>
    <cellStyle name="Linked Cell 5 2 13" xfId="4202"/>
    <cellStyle name="Linked Cell 5 2 2" xfId="4203"/>
    <cellStyle name="Linked Cell 5 2 2 2" xfId="4204"/>
    <cellStyle name="Linked Cell 5 2 3" xfId="4205"/>
    <cellStyle name="Linked Cell 5 2 3 2" xfId="4206"/>
    <cellStyle name="Linked Cell 5 2 4" xfId="4207"/>
    <cellStyle name="Linked Cell 5 2 4 2" xfId="4208"/>
    <cellStyle name="Linked Cell 5 2 5" xfId="4209"/>
    <cellStyle name="Linked Cell 5 2 6" xfId="4210"/>
    <cellStyle name="Linked Cell 5 2 7" xfId="4211"/>
    <cellStyle name="Linked Cell 5 2 8" xfId="4212"/>
    <cellStyle name="Linked Cell 5 2 9" xfId="4213"/>
    <cellStyle name="Linked Cell 5 3" xfId="702"/>
    <cellStyle name="Linked Cell 5 3 10" xfId="4214"/>
    <cellStyle name="Linked Cell 5 3 11" xfId="4215"/>
    <cellStyle name="Linked Cell 5 3 12" xfId="4216"/>
    <cellStyle name="Linked Cell 5 3 13" xfId="4217"/>
    <cellStyle name="Linked Cell 5 3 2" xfId="4218"/>
    <cellStyle name="Linked Cell 5 3 2 2" xfId="4219"/>
    <cellStyle name="Linked Cell 5 3 3" xfId="4220"/>
    <cellStyle name="Linked Cell 5 3 3 2" xfId="4221"/>
    <cellStyle name="Linked Cell 5 3 4" xfId="4222"/>
    <cellStyle name="Linked Cell 5 3 4 2" xfId="4223"/>
    <cellStyle name="Linked Cell 5 3 5" xfId="4224"/>
    <cellStyle name="Linked Cell 5 3 6" xfId="4225"/>
    <cellStyle name="Linked Cell 5 3 7" xfId="4226"/>
    <cellStyle name="Linked Cell 5 3 8" xfId="4227"/>
    <cellStyle name="Linked Cell 5 3 9" xfId="4228"/>
    <cellStyle name="Linked Cell 5 4" xfId="4229"/>
    <cellStyle name="Linked Cell 5 4 2" xfId="4230"/>
    <cellStyle name="Linked Cell 5 5" xfId="4231"/>
    <cellStyle name="Linked Cell 5 5 2" xfId="4232"/>
    <cellStyle name="Linked Cell 5 6" xfId="4233"/>
    <cellStyle name="Linked Cell 5 6 2" xfId="4234"/>
    <cellStyle name="Linked Cell 5 7" xfId="4235"/>
    <cellStyle name="Linked Cell 5 8" xfId="4236"/>
    <cellStyle name="Linked Cell 5 9" xfId="4237"/>
    <cellStyle name="Linked Cell 6" xfId="703"/>
    <cellStyle name="Linked Cell 6 10" xfId="4238"/>
    <cellStyle name="Linked Cell 6 11" xfId="4239"/>
    <cellStyle name="Linked Cell 6 12" xfId="4240"/>
    <cellStyle name="Linked Cell 6 13" xfId="4241"/>
    <cellStyle name="Linked Cell 6 14" xfId="4242"/>
    <cellStyle name="Linked Cell 6 15" xfId="4243"/>
    <cellStyle name="Linked Cell 6 2" xfId="704"/>
    <cellStyle name="Linked Cell 6 2 10" xfId="4244"/>
    <cellStyle name="Linked Cell 6 2 11" xfId="4245"/>
    <cellStyle name="Linked Cell 6 2 12" xfId="4246"/>
    <cellStyle name="Linked Cell 6 2 13" xfId="4247"/>
    <cellStyle name="Linked Cell 6 2 2" xfId="4248"/>
    <cellStyle name="Linked Cell 6 2 2 2" xfId="4249"/>
    <cellStyle name="Linked Cell 6 2 3" xfId="4250"/>
    <cellStyle name="Linked Cell 6 2 3 2" xfId="4251"/>
    <cellStyle name="Linked Cell 6 2 4" xfId="4252"/>
    <cellStyle name="Linked Cell 6 2 4 2" xfId="4253"/>
    <cellStyle name="Linked Cell 6 2 5" xfId="4254"/>
    <cellStyle name="Linked Cell 6 2 6" xfId="4255"/>
    <cellStyle name="Linked Cell 6 2 7" xfId="4256"/>
    <cellStyle name="Linked Cell 6 2 8" xfId="4257"/>
    <cellStyle name="Linked Cell 6 2 9" xfId="4258"/>
    <cellStyle name="Linked Cell 6 3" xfId="705"/>
    <cellStyle name="Linked Cell 6 3 10" xfId="4259"/>
    <cellStyle name="Linked Cell 6 3 11" xfId="4260"/>
    <cellStyle name="Linked Cell 6 3 12" xfId="4261"/>
    <cellStyle name="Linked Cell 6 3 13" xfId="4262"/>
    <cellStyle name="Linked Cell 6 3 2" xfId="4263"/>
    <cellStyle name="Linked Cell 6 3 2 2" xfId="4264"/>
    <cellStyle name="Linked Cell 6 3 3" xfId="4265"/>
    <cellStyle name="Linked Cell 6 3 3 2" xfId="4266"/>
    <cellStyle name="Linked Cell 6 3 4" xfId="4267"/>
    <cellStyle name="Linked Cell 6 3 4 2" xfId="4268"/>
    <cellStyle name="Linked Cell 6 3 5" xfId="4269"/>
    <cellStyle name="Linked Cell 6 3 6" xfId="4270"/>
    <cellStyle name="Linked Cell 6 3 7" xfId="4271"/>
    <cellStyle name="Linked Cell 6 3 8" xfId="4272"/>
    <cellStyle name="Linked Cell 6 3 9" xfId="4273"/>
    <cellStyle name="Linked Cell 6 4" xfId="4274"/>
    <cellStyle name="Linked Cell 6 4 2" xfId="4275"/>
    <cellStyle name="Linked Cell 6 5" xfId="4276"/>
    <cellStyle name="Linked Cell 6 5 2" xfId="4277"/>
    <cellStyle name="Linked Cell 6 6" xfId="4278"/>
    <cellStyle name="Linked Cell 6 6 2" xfId="4279"/>
    <cellStyle name="Linked Cell 6 7" xfId="4280"/>
    <cellStyle name="Linked Cell 6 8" xfId="4281"/>
    <cellStyle name="Linked Cell 6 9" xfId="4282"/>
    <cellStyle name="Linked Cell 7" xfId="706"/>
    <cellStyle name="Linked Cell 7 10" xfId="4283"/>
    <cellStyle name="Linked Cell 7 11" xfId="4284"/>
    <cellStyle name="Linked Cell 7 12" xfId="4285"/>
    <cellStyle name="Linked Cell 7 13" xfId="4286"/>
    <cellStyle name="Linked Cell 7 14" xfId="4287"/>
    <cellStyle name="Linked Cell 7 15" xfId="4288"/>
    <cellStyle name="Linked Cell 7 2" xfId="707"/>
    <cellStyle name="Linked Cell 7 2 10" xfId="4289"/>
    <cellStyle name="Linked Cell 7 2 11" xfId="4290"/>
    <cellStyle name="Linked Cell 7 2 12" xfId="4291"/>
    <cellStyle name="Linked Cell 7 2 13" xfId="4292"/>
    <cellStyle name="Linked Cell 7 2 2" xfId="4293"/>
    <cellStyle name="Linked Cell 7 2 2 2" xfId="4294"/>
    <cellStyle name="Linked Cell 7 2 3" xfId="4295"/>
    <cellStyle name="Linked Cell 7 2 3 2" xfId="4296"/>
    <cellStyle name="Linked Cell 7 2 4" xfId="4297"/>
    <cellStyle name="Linked Cell 7 2 4 2" xfId="4298"/>
    <cellStyle name="Linked Cell 7 2 5" xfId="4299"/>
    <cellStyle name="Linked Cell 7 2 6" xfId="4300"/>
    <cellStyle name="Linked Cell 7 2 7" xfId="4301"/>
    <cellStyle name="Linked Cell 7 2 8" xfId="4302"/>
    <cellStyle name="Linked Cell 7 2 9" xfId="4303"/>
    <cellStyle name="Linked Cell 7 3" xfId="708"/>
    <cellStyle name="Linked Cell 7 3 10" xfId="4304"/>
    <cellStyle name="Linked Cell 7 3 11" xfId="4305"/>
    <cellStyle name="Linked Cell 7 3 12" xfId="4306"/>
    <cellStyle name="Linked Cell 7 3 13" xfId="4307"/>
    <cellStyle name="Linked Cell 7 3 2" xfId="4308"/>
    <cellStyle name="Linked Cell 7 3 2 2" xfId="4309"/>
    <cellStyle name="Linked Cell 7 3 3" xfId="4310"/>
    <cellStyle name="Linked Cell 7 3 3 2" xfId="4311"/>
    <cellStyle name="Linked Cell 7 3 4" xfId="4312"/>
    <cellStyle name="Linked Cell 7 3 4 2" xfId="4313"/>
    <cellStyle name="Linked Cell 7 3 5" xfId="4314"/>
    <cellStyle name="Linked Cell 7 3 6" xfId="4315"/>
    <cellStyle name="Linked Cell 7 3 7" xfId="4316"/>
    <cellStyle name="Linked Cell 7 3 8" xfId="4317"/>
    <cellStyle name="Linked Cell 7 3 9" xfId="4318"/>
    <cellStyle name="Linked Cell 7 4" xfId="4319"/>
    <cellStyle name="Linked Cell 7 4 2" xfId="4320"/>
    <cellStyle name="Linked Cell 7 5" xfId="4321"/>
    <cellStyle name="Linked Cell 7 5 2" xfId="4322"/>
    <cellStyle name="Linked Cell 7 6" xfId="4323"/>
    <cellStyle name="Linked Cell 7 6 2" xfId="4324"/>
    <cellStyle name="Linked Cell 7 7" xfId="4325"/>
    <cellStyle name="Linked Cell 7 8" xfId="4326"/>
    <cellStyle name="Linked Cell 7 9" xfId="4327"/>
    <cellStyle name="Linked Cell 8" xfId="709"/>
    <cellStyle name="Linked Cell 8 10" xfId="4328"/>
    <cellStyle name="Linked Cell 8 11" xfId="4329"/>
    <cellStyle name="Linked Cell 8 12" xfId="4330"/>
    <cellStyle name="Linked Cell 8 13" xfId="4331"/>
    <cellStyle name="Linked Cell 8 14" xfId="4332"/>
    <cellStyle name="Linked Cell 8 15" xfId="4333"/>
    <cellStyle name="Linked Cell 8 2" xfId="710"/>
    <cellStyle name="Linked Cell 8 2 10" xfId="4334"/>
    <cellStyle name="Linked Cell 8 2 11" xfId="4335"/>
    <cellStyle name="Linked Cell 8 2 12" xfId="4336"/>
    <cellStyle name="Linked Cell 8 2 13" xfId="4337"/>
    <cellStyle name="Linked Cell 8 2 2" xfId="4338"/>
    <cellStyle name="Linked Cell 8 2 2 2" xfId="4339"/>
    <cellStyle name="Linked Cell 8 2 3" xfId="4340"/>
    <cellStyle name="Linked Cell 8 2 3 2" xfId="4341"/>
    <cellStyle name="Linked Cell 8 2 4" xfId="4342"/>
    <cellStyle name="Linked Cell 8 2 4 2" xfId="4343"/>
    <cellStyle name="Linked Cell 8 2 5" xfId="4344"/>
    <cellStyle name="Linked Cell 8 2 6" xfId="4345"/>
    <cellStyle name="Linked Cell 8 2 7" xfId="4346"/>
    <cellStyle name="Linked Cell 8 2 8" xfId="4347"/>
    <cellStyle name="Linked Cell 8 2 9" xfId="4348"/>
    <cellStyle name="Linked Cell 8 3" xfId="711"/>
    <cellStyle name="Linked Cell 8 3 10" xfId="4349"/>
    <cellStyle name="Linked Cell 8 3 11" xfId="4350"/>
    <cellStyle name="Linked Cell 8 3 12" xfId="4351"/>
    <cellStyle name="Linked Cell 8 3 13" xfId="4352"/>
    <cellStyle name="Linked Cell 8 3 2" xfId="4353"/>
    <cellStyle name="Linked Cell 8 3 2 2" xfId="4354"/>
    <cellStyle name="Linked Cell 8 3 3" xfId="4355"/>
    <cellStyle name="Linked Cell 8 3 3 2" xfId="4356"/>
    <cellStyle name="Linked Cell 8 3 4" xfId="4357"/>
    <cellStyle name="Linked Cell 8 3 4 2" xfId="4358"/>
    <cellStyle name="Linked Cell 8 3 5" xfId="4359"/>
    <cellStyle name="Linked Cell 8 3 6" xfId="4360"/>
    <cellStyle name="Linked Cell 8 3 7" xfId="4361"/>
    <cellStyle name="Linked Cell 8 3 8" xfId="4362"/>
    <cellStyle name="Linked Cell 8 3 9" xfId="4363"/>
    <cellStyle name="Linked Cell 8 4" xfId="4364"/>
    <cellStyle name="Linked Cell 8 4 2" xfId="4365"/>
    <cellStyle name="Linked Cell 8 5" xfId="4366"/>
    <cellStyle name="Linked Cell 8 5 2" xfId="4367"/>
    <cellStyle name="Linked Cell 8 6" xfId="4368"/>
    <cellStyle name="Linked Cell 8 6 2" xfId="4369"/>
    <cellStyle name="Linked Cell 8 7" xfId="4370"/>
    <cellStyle name="Linked Cell 8 8" xfId="4371"/>
    <cellStyle name="Linked Cell 8 9" xfId="4372"/>
    <cellStyle name="Linked Cell 9" xfId="712"/>
    <cellStyle name="Linked Cell 9 10" xfId="4373"/>
    <cellStyle name="Linked Cell 9 11" xfId="4374"/>
    <cellStyle name="Linked Cell 9 12" xfId="4375"/>
    <cellStyle name="Linked Cell 9 13" xfId="4376"/>
    <cellStyle name="Linked Cell 9 14" xfId="4377"/>
    <cellStyle name="Linked Cell 9 15" xfId="4378"/>
    <cellStyle name="Linked Cell 9 2" xfId="713"/>
    <cellStyle name="Linked Cell 9 2 10" xfId="4379"/>
    <cellStyle name="Linked Cell 9 2 11" xfId="4380"/>
    <cellStyle name="Linked Cell 9 2 12" xfId="4381"/>
    <cellStyle name="Linked Cell 9 2 13" xfId="4382"/>
    <cellStyle name="Linked Cell 9 2 2" xfId="4383"/>
    <cellStyle name="Linked Cell 9 2 2 2" xfId="4384"/>
    <cellStyle name="Linked Cell 9 2 3" xfId="4385"/>
    <cellStyle name="Linked Cell 9 2 3 2" xfId="4386"/>
    <cellStyle name="Linked Cell 9 2 4" xfId="4387"/>
    <cellStyle name="Linked Cell 9 2 4 2" xfId="4388"/>
    <cellStyle name="Linked Cell 9 2 5" xfId="4389"/>
    <cellStyle name="Linked Cell 9 2 6" xfId="4390"/>
    <cellStyle name="Linked Cell 9 2 7" xfId="4391"/>
    <cellStyle name="Linked Cell 9 2 8" xfId="4392"/>
    <cellStyle name="Linked Cell 9 2 9" xfId="4393"/>
    <cellStyle name="Linked Cell 9 3" xfId="714"/>
    <cellStyle name="Linked Cell 9 3 10" xfId="4394"/>
    <cellStyle name="Linked Cell 9 3 11" xfId="4395"/>
    <cellStyle name="Linked Cell 9 3 12" xfId="4396"/>
    <cellStyle name="Linked Cell 9 3 13" xfId="4397"/>
    <cellStyle name="Linked Cell 9 3 2" xfId="4398"/>
    <cellStyle name="Linked Cell 9 3 2 2" xfId="4399"/>
    <cellStyle name="Linked Cell 9 3 3" xfId="4400"/>
    <cellStyle name="Linked Cell 9 3 3 2" xfId="4401"/>
    <cellStyle name="Linked Cell 9 3 4" xfId="4402"/>
    <cellStyle name="Linked Cell 9 3 4 2" xfId="4403"/>
    <cellStyle name="Linked Cell 9 3 5" xfId="4404"/>
    <cellStyle name="Linked Cell 9 3 6" xfId="4405"/>
    <cellStyle name="Linked Cell 9 3 7" xfId="4406"/>
    <cellStyle name="Linked Cell 9 3 8" xfId="4407"/>
    <cellStyle name="Linked Cell 9 3 9" xfId="4408"/>
    <cellStyle name="Linked Cell 9 4" xfId="4409"/>
    <cellStyle name="Linked Cell 9 4 2" xfId="4410"/>
    <cellStyle name="Linked Cell 9 5" xfId="4411"/>
    <cellStyle name="Linked Cell 9 5 2" xfId="4412"/>
    <cellStyle name="Linked Cell 9 6" xfId="4413"/>
    <cellStyle name="Linked Cell 9 6 2" xfId="4414"/>
    <cellStyle name="Linked Cell 9 7" xfId="4415"/>
    <cellStyle name="Linked Cell 9 8" xfId="4416"/>
    <cellStyle name="Linked Cell 9 9" xfId="4417"/>
    <cellStyle name="Neutral 10" xfId="715"/>
    <cellStyle name="Neutral 11" xfId="716"/>
    <cellStyle name="Neutral 12" xfId="717"/>
    <cellStyle name="Neutral 13" xfId="718"/>
    <cellStyle name="Neutral 14" xfId="719"/>
    <cellStyle name="Neutral 15" xfId="720"/>
    <cellStyle name="Neutral 16" xfId="721"/>
    <cellStyle name="Neutral 17" xfId="722"/>
    <cellStyle name="Neutral 18" xfId="723"/>
    <cellStyle name="Neutral 19" xfId="724"/>
    <cellStyle name="Neutral 2" xfId="725"/>
    <cellStyle name="Neutral 3" xfId="726"/>
    <cellStyle name="Neutral 4" xfId="727"/>
    <cellStyle name="Neutral 5" xfId="728"/>
    <cellStyle name="Neutral 6" xfId="729"/>
    <cellStyle name="Neutral 7" xfId="730"/>
    <cellStyle name="Neutral 8" xfId="731"/>
    <cellStyle name="Neutral 9" xfId="732"/>
    <cellStyle name="Normal" xfId="0" builtinId="0"/>
    <cellStyle name="Normal 10" xfId="733"/>
    <cellStyle name="Normal 10 2" xfId="734"/>
    <cellStyle name="Normal 11" xfId="735"/>
    <cellStyle name="Normal 11 2" xfId="736"/>
    <cellStyle name="Normal 12" xfId="737"/>
    <cellStyle name="Normal 12 2" xfId="738"/>
    <cellStyle name="Normal 13" xfId="739"/>
    <cellStyle name="Normal 13 2" xfId="740"/>
    <cellStyle name="Normal 14" xfId="741"/>
    <cellStyle name="Normal 14 2" xfId="742"/>
    <cellStyle name="Normal 15" xfId="743"/>
    <cellStyle name="Normal 15 2" xfId="744"/>
    <cellStyle name="Normal 16" xfId="745"/>
    <cellStyle name="Normal 16 2" xfId="746"/>
    <cellStyle name="Normal 17" xfId="747"/>
    <cellStyle name="Normal 17 2" xfId="748"/>
    <cellStyle name="Normal 18" xfId="749"/>
    <cellStyle name="Normal 18 2" xfId="750"/>
    <cellStyle name="Normal 19" xfId="751"/>
    <cellStyle name="Normal 19 2" xfId="752"/>
    <cellStyle name="Normal 2" xfId="3"/>
    <cellStyle name="Normal 2 10" xfId="753"/>
    <cellStyle name="Normal 2 10 2" xfId="754"/>
    <cellStyle name="Normal 2 11" xfId="755"/>
    <cellStyle name="Normal 2 11 2" xfId="756"/>
    <cellStyle name="Normal 2 12" xfId="757"/>
    <cellStyle name="Normal 2 12 2" xfId="758"/>
    <cellStyle name="Normal 2 13" xfId="759"/>
    <cellStyle name="Normal 2 13 2" xfId="760"/>
    <cellStyle name="Normal 2 14" xfId="761"/>
    <cellStyle name="Normal 2 14 2" xfId="762"/>
    <cellStyle name="Normal 2 15" xfId="763"/>
    <cellStyle name="Normal 2 15 2" xfId="764"/>
    <cellStyle name="Normal 2 16" xfId="765"/>
    <cellStyle name="Normal 2 16 2" xfId="766"/>
    <cellStyle name="Normal 2 17" xfId="767"/>
    <cellStyle name="Normal 2 17 2" xfId="768"/>
    <cellStyle name="Normal 2 18" xfId="769"/>
    <cellStyle name="Normal 2 18 2" xfId="770"/>
    <cellStyle name="Normal 2 19" xfId="771"/>
    <cellStyle name="Normal 2 19 2" xfId="772"/>
    <cellStyle name="Normal 2 2" xfId="7"/>
    <cellStyle name="Normal 2 2 2" xfId="773"/>
    <cellStyle name="Normal 2 2 3" xfId="4418"/>
    <cellStyle name="Normal 2 2 4" xfId="4419"/>
    <cellStyle name="Normal 2 2 5" xfId="4420"/>
    <cellStyle name="Normal 2 2 6" xfId="4421"/>
    <cellStyle name="Normal 2 20" xfId="774"/>
    <cellStyle name="Normal 2 20 2" xfId="775"/>
    <cellStyle name="Normal 2 21" xfId="776"/>
    <cellStyle name="Normal 2 22" xfId="777"/>
    <cellStyle name="Normal 2 23" xfId="4422"/>
    <cellStyle name="Normal 2 24" xfId="4423"/>
    <cellStyle name="Normal 2 25" xfId="4424"/>
    <cellStyle name="Normal 2 26" xfId="4425"/>
    <cellStyle name="Normal 2 3" xfId="778"/>
    <cellStyle name="Normal 2 3 2" xfId="779"/>
    <cellStyle name="Normal 2 4" xfId="780"/>
    <cellStyle name="Normal 2 4 2" xfId="781"/>
    <cellStyle name="Normal 2 5" xfId="782"/>
    <cellStyle name="Normal 2 5 2" xfId="783"/>
    <cellStyle name="Normal 2 6" xfId="784"/>
    <cellStyle name="Normal 2 6 2" xfId="785"/>
    <cellStyle name="Normal 2 7" xfId="786"/>
    <cellStyle name="Normal 2 7 2" xfId="787"/>
    <cellStyle name="Normal 2 8" xfId="788"/>
    <cellStyle name="Normal 2 8 2" xfId="789"/>
    <cellStyle name="Normal 2 9" xfId="790"/>
    <cellStyle name="Normal 2 9 2" xfId="791"/>
    <cellStyle name="Normal 20" xfId="792"/>
    <cellStyle name="Normal 20 2" xfId="793"/>
    <cellStyle name="Normal 21" xfId="794"/>
    <cellStyle name="Normal 21 2" xfId="795"/>
    <cellStyle name="Normal 22" xfId="4426"/>
    <cellStyle name="Normal 23" xfId="4427"/>
    <cellStyle name="Normal 24" xfId="4428"/>
    <cellStyle name="Normal 25" xfId="4429"/>
    <cellStyle name="Normal 26" xfId="4430"/>
    <cellStyle name="Normal 27" xfId="4431"/>
    <cellStyle name="Normal 28" xfId="4432"/>
    <cellStyle name="Normal 29" xfId="4433"/>
    <cellStyle name="Normal 3" xfId="5"/>
    <cellStyle name="Normal 3 2" xfId="950"/>
    <cellStyle name="Normal 3 2 2" xfId="915"/>
    <cellStyle name="Normal 3 3" xfId="951"/>
    <cellStyle name="Normal 3_Variation Cost analysis for Kitchen . Excel Worksheet" xfId="952"/>
    <cellStyle name="Normal 4" xfId="796"/>
    <cellStyle name="Normal 4 2" xfId="797"/>
    <cellStyle name="Normal 5" xfId="798"/>
    <cellStyle name="Normal 6" xfId="9"/>
    <cellStyle name="Normal 6 2" xfId="799"/>
    <cellStyle name="Normal 6 2 2 4" xfId="953"/>
    <cellStyle name="Normal 7" xfId="800"/>
    <cellStyle name="Normal 7 2" xfId="801"/>
    <cellStyle name="Normal 8" xfId="802"/>
    <cellStyle name="Normal 8 2" xfId="803"/>
    <cellStyle name="Normal 9" xfId="804"/>
    <cellStyle name="Normal 9 2" xfId="805"/>
    <cellStyle name="Note 10" xfId="806"/>
    <cellStyle name="Note 10 2" xfId="807"/>
    <cellStyle name="Note 11" xfId="808"/>
    <cellStyle name="Note 11 2" xfId="809"/>
    <cellStyle name="Note 12" xfId="810"/>
    <cellStyle name="Note 12 2" xfId="811"/>
    <cellStyle name="Note 13" xfId="812"/>
    <cellStyle name="Note 13 2" xfId="813"/>
    <cellStyle name="Note 14" xfId="814"/>
    <cellStyle name="Note 14 2" xfId="815"/>
    <cellStyle name="Note 15" xfId="816"/>
    <cellStyle name="Note 15 2" xfId="817"/>
    <cellStyle name="Note 16" xfId="818"/>
    <cellStyle name="Note 16 2" xfId="819"/>
    <cellStyle name="Note 17" xfId="820"/>
    <cellStyle name="Note 17 2" xfId="821"/>
    <cellStyle name="Note 18" xfId="822"/>
    <cellStyle name="Note 18 2" xfId="823"/>
    <cellStyle name="Note 19" xfId="824"/>
    <cellStyle name="Note 19 2" xfId="825"/>
    <cellStyle name="Note 2" xfId="826"/>
    <cellStyle name="Note 2 2" xfId="827"/>
    <cellStyle name="Note 3" xfId="828"/>
    <cellStyle name="Note 3 2" xfId="829"/>
    <cellStyle name="Note 4" xfId="830"/>
    <cellStyle name="Note 4 2" xfId="831"/>
    <cellStyle name="Note 5" xfId="832"/>
    <cellStyle name="Note 5 2" xfId="833"/>
    <cellStyle name="Note 6" xfId="834"/>
    <cellStyle name="Note 6 2" xfId="835"/>
    <cellStyle name="Note 7" xfId="836"/>
    <cellStyle name="Note 7 2" xfId="837"/>
    <cellStyle name="Note 8" xfId="838"/>
    <cellStyle name="Note 8 2" xfId="839"/>
    <cellStyle name="Note 9" xfId="840"/>
    <cellStyle name="Note 9 2" xfId="841"/>
    <cellStyle name="Output 10" xfId="842"/>
    <cellStyle name="Output 11" xfId="843"/>
    <cellStyle name="Output 12" xfId="844"/>
    <cellStyle name="Output 13" xfId="845"/>
    <cellStyle name="Output 14" xfId="846"/>
    <cellStyle name="Output 15" xfId="847"/>
    <cellStyle name="Output 16" xfId="848"/>
    <cellStyle name="Output 17" xfId="849"/>
    <cellStyle name="Output 18" xfId="850"/>
    <cellStyle name="Output 19" xfId="851"/>
    <cellStyle name="Output 2" xfId="852"/>
    <cellStyle name="Output 3" xfId="853"/>
    <cellStyle name="Output 4" xfId="854"/>
    <cellStyle name="Output 5" xfId="855"/>
    <cellStyle name="Output 6" xfId="856"/>
    <cellStyle name="Output 7" xfId="857"/>
    <cellStyle name="Output 8" xfId="858"/>
    <cellStyle name="Output 9" xfId="859"/>
    <cellStyle name="Percent 2" xfId="860"/>
    <cellStyle name="Style 1" xfId="954"/>
    <cellStyle name="Style 1 2" xfId="955"/>
    <cellStyle name="Title 10" xfId="861"/>
    <cellStyle name="Title 11" xfId="862"/>
    <cellStyle name="Title 12" xfId="863"/>
    <cellStyle name="Title 13" xfId="864"/>
    <cellStyle name="Title 14" xfId="865"/>
    <cellStyle name="Title 15" xfId="866"/>
    <cellStyle name="Title 16" xfId="867"/>
    <cellStyle name="Title 17" xfId="868"/>
    <cellStyle name="Title 18" xfId="869"/>
    <cellStyle name="Title 19" xfId="870"/>
    <cellStyle name="Title 2" xfId="871"/>
    <cellStyle name="Title 3" xfId="872"/>
    <cellStyle name="Title 4" xfId="873"/>
    <cellStyle name="Title 5" xfId="874"/>
    <cellStyle name="Title 6" xfId="875"/>
    <cellStyle name="Title 7" xfId="876"/>
    <cellStyle name="Title 8" xfId="877"/>
    <cellStyle name="Title 9" xfId="878"/>
    <cellStyle name="Total 10" xfId="879"/>
    <cellStyle name="Total 10 10" xfId="4434"/>
    <cellStyle name="Total 10 11" xfId="4435"/>
    <cellStyle name="Total 10 12" xfId="4436"/>
    <cellStyle name="Total 10 2" xfId="4437"/>
    <cellStyle name="Total 10 3" xfId="4438"/>
    <cellStyle name="Total 10 4" xfId="4439"/>
    <cellStyle name="Total 10 5" xfId="4440"/>
    <cellStyle name="Total 10 6" xfId="4441"/>
    <cellStyle name="Total 10 7" xfId="4442"/>
    <cellStyle name="Total 10 8" xfId="4443"/>
    <cellStyle name="Total 10 9" xfId="4444"/>
    <cellStyle name="Total 11" xfId="880"/>
    <cellStyle name="Total 11 10" xfId="4445"/>
    <cellStyle name="Total 11 11" xfId="4446"/>
    <cellStyle name="Total 11 12" xfId="4447"/>
    <cellStyle name="Total 11 2" xfId="4448"/>
    <cellStyle name="Total 11 3" xfId="4449"/>
    <cellStyle name="Total 11 4" xfId="4450"/>
    <cellStyle name="Total 11 5" xfId="4451"/>
    <cellStyle name="Total 11 6" xfId="4452"/>
    <cellStyle name="Total 11 7" xfId="4453"/>
    <cellStyle name="Total 11 8" xfId="4454"/>
    <cellStyle name="Total 11 9" xfId="4455"/>
    <cellStyle name="Total 12" xfId="881"/>
    <cellStyle name="Total 12 10" xfId="4456"/>
    <cellStyle name="Total 12 11" xfId="4457"/>
    <cellStyle name="Total 12 12" xfId="4458"/>
    <cellStyle name="Total 12 2" xfId="4459"/>
    <cellStyle name="Total 12 3" xfId="4460"/>
    <cellStyle name="Total 12 4" xfId="4461"/>
    <cellStyle name="Total 12 5" xfId="4462"/>
    <cellStyle name="Total 12 6" xfId="4463"/>
    <cellStyle name="Total 12 7" xfId="4464"/>
    <cellStyle name="Total 12 8" xfId="4465"/>
    <cellStyle name="Total 12 9" xfId="4466"/>
    <cellStyle name="Total 13" xfId="882"/>
    <cellStyle name="Total 13 10" xfId="4467"/>
    <cellStyle name="Total 13 11" xfId="4468"/>
    <cellStyle name="Total 13 12" xfId="4469"/>
    <cellStyle name="Total 13 2" xfId="4470"/>
    <cellStyle name="Total 13 3" xfId="4471"/>
    <cellStyle name="Total 13 4" xfId="4472"/>
    <cellStyle name="Total 13 5" xfId="4473"/>
    <cellStyle name="Total 13 6" xfId="4474"/>
    <cellStyle name="Total 13 7" xfId="4475"/>
    <cellStyle name="Total 13 8" xfId="4476"/>
    <cellStyle name="Total 13 9" xfId="4477"/>
    <cellStyle name="Total 14" xfId="883"/>
    <cellStyle name="Total 14 10" xfId="4478"/>
    <cellStyle name="Total 14 11" xfId="4479"/>
    <cellStyle name="Total 14 12" xfId="4480"/>
    <cellStyle name="Total 14 2" xfId="4481"/>
    <cellStyle name="Total 14 3" xfId="4482"/>
    <cellStyle name="Total 14 4" xfId="4483"/>
    <cellStyle name="Total 14 5" xfId="4484"/>
    <cellStyle name="Total 14 6" xfId="4485"/>
    <cellStyle name="Total 14 7" xfId="4486"/>
    <cellStyle name="Total 14 8" xfId="4487"/>
    <cellStyle name="Total 14 9" xfId="4488"/>
    <cellStyle name="Total 15" xfId="884"/>
    <cellStyle name="Total 15 10" xfId="4489"/>
    <cellStyle name="Total 15 11" xfId="4490"/>
    <cellStyle name="Total 15 12" xfId="4491"/>
    <cellStyle name="Total 15 2" xfId="4492"/>
    <cellStyle name="Total 15 3" xfId="4493"/>
    <cellStyle name="Total 15 4" xfId="4494"/>
    <cellStyle name="Total 15 5" xfId="4495"/>
    <cellStyle name="Total 15 6" xfId="4496"/>
    <cellStyle name="Total 15 7" xfId="4497"/>
    <cellStyle name="Total 15 8" xfId="4498"/>
    <cellStyle name="Total 15 9" xfId="4499"/>
    <cellStyle name="Total 16" xfId="885"/>
    <cellStyle name="Total 16 10" xfId="4500"/>
    <cellStyle name="Total 16 11" xfId="4501"/>
    <cellStyle name="Total 16 12" xfId="4502"/>
    <cellStyle name="Total 16 2" xfId="4503"/>
    <cellStyle name="Total 16 3" xfId="4504"/>
    <cellStyle name="Total 16 4" xfId="4505"/>
    <cellStyle name="Total 16 5" xfId="4506"/>
    <cellStyle name="Total 16 6" xfId="4507"/>
    <cellStyle name="Total 16 7" xfId="4508"/>
    <cellStyle name="Total 16 8" xfId="4509"/>
    <cellStyle name="Total 16 9" xfId="4510"/>
    <cellStyle name="Total 17" xfId="886"/>
    <cellStyle name="Total 17 10" xfId="4511"/>
    <cellStyle name="Total 17 11" xfId="4512"/>
    <cellStyle name="Total 17 12" xfId="4513"/>
    <cellStyle name="Total 17 2" xfId="4514"/>
    <cellStyle name="Total 17 3" xfId="4515"/>
    <cellStyle name="Total 17 4" xfId="4516"/>
    <cellStyle name="Total 17 5" xfId="4517"/>
    <cellStyle name="Total 17 6" xfId="4518"/>
    <cellStyle name="Total 17 7" xfId="4519"/>
    <cellStyle name="Total 17 8" xfId="4520"/>
    <cellStyle name="Total 17 9" xfId="4521"/>
    <cellStyle name="Total 18" xfId="887"/>
    <cellStyle name="Total 18 10" xfId="4522"/>
    <cellStyle name="Total 18 11" xfId="4523"/>
    <cellStyle name="Total 18 12" xfId="4524"/>
    <cellStyle name="Total 18 2" xfId="4525"/>
    <cellStyle name="Total 18 3" xfId="4526"/>
    <cellStyle name="Total 18 4" xfId="4527"/>
    <cellStyle name="Total 18 5" xfId="4528"/>
    <cellStyle name="Total 18 6" xfId="4529"/>
    <cellStyle name="Total 18 7" xfId="4530"/>
    <cellStyle name="Total 18 8" xfId="4531"/>
    <cellStyle name="Total 18 9" xfId="4532"/>
    <cellStyle name="Total 19" xfId="888"/>
    <cellStyle name="Total 19 10" xfId="4533"/>
    <cellStyle name="Total 19 11" xfId="4534"/>
    <cellStyle name="Total 19 12" xfId="4535"/>
    <cellStyle name="Total 19 2" xfId="4536"/>
    <cellStyle name="Total 19 3" xfId="4537"/>
    <cellStyle name="Total 19 4" xfId="4538"/>
    <cellStyle name="Total 19 5" xfId="4539"/>
    <cellStyle name="Total 19 6" xfId="4540"/>
    <cellStyle name="Total 19 7" xfId="4541"/>
    <cellStyle name="Total 19 8" xfId="4542"/>
    <cellStyle name="Total 19 9" xfId="4543"/>
    <cellStyle name="Total 2" xfId="889"/>
    <cellStyle name="Total 2 10" xfId="4544"/>
    <cellStyle name="Total 2 11" xfId="4545"/>
    <cellStyle name="Total 2 12" xfId="4546"/>
    <cellStyle name="Total 2 2" xfId="4547"/>
    <cellStyle name="Total 2 3" xfId="4548"/>
    <cellStyle name="Total 2 4" xfId="4549"/>
    <cellStyle name="Total 2 5" xfId="4550"/>
    <cellStyle name="Total 2 6" xfId="4551"/>
    <cellStyle name="Total 2 7" xfId="4552"/>
    <cellStyle name="Total 2 8" xfId="4553"/>
    <cellStyle name="Total 2 9" xfId="4554"/>
    <cellStyle name="Total 3" xfId="890"/>
    <cellStyle name="Total 3 10" xfId="4555"/>
    <cellStyle name="Total 3 11" xfId="4556"/>
    <cellStyle name="Total 3 12" xfId="4557"/>
    <cellStyle name="Total 3 2" xfId="4558"/>
    <cellStyle name="Total 3 3" xfId="4559"/>
    <cellStyle name="Total 3 4" xfId="4560"/>
    <cellStyle name="Total 3 5" xfId="4561"/>
    <cellStyle name="Total 3 6" xfId="4562"/>
    <cellStyle name="Total 3 7" xfId="4563"/>
    <cellStyle name="Total 3 8" xfId="4564"/>
    <cellStyle name="Total 3 9" xfId="4565"/>
    <cellStyle name="Total 4" xfId="891"/>
    <cellStyle name="Total 4 10" xfId="4566"/>
    <cellStyle name="Total 4 11" xfId="4567"/>
    <cellStyle name="Total 4 12" xfId="4568"/>
    <cellStyle name="Total 4 2" xfId="4569"/>
    <cellStyle name="Total 4 3" xfId="4570"/>
    <cellStyle name="Total 4 4" xfId="4571"/>
    <cellStyle name="Total 4 5" xfId="4572"/>
    <cellStyle name="Total 4 6" xfId="4573"/>
    <cellStyle name="Total 4 7" xfId="4574"/>
    <cellStyle name="Total 4 8" xfId="4575"/>
    <cellStyle name="Total 4 9" xfId="4576"/>
    <cellStyle name="Total 5" xfId="892"/>
    <cellStyle name="Total 5 10" xfId="4577"/>
    <cellStyle name="Total 5 11" xfId="4578"/>
    <cellStyle name="Total 5 12" xfId="4579"/>
    <cellStyle name="Total 5 2" xfId="4580"/>
    <cellStyle name="Total 5 3" xfId="4581"/>
    <cellStyle name="Total 5 4" xfId="4582"/>
    <cellStyle name="Total 5 5" xfId="4583"/>
    <cellStyle name="Total 5 6" xfId="4584"/>
    <cellStyle name="Total 5 7" xfId="4585"/>
    <cellStyle name="Total 5 8" xfId="4586"/>
    <cellStyle name="Total 5 9" xfId="4587"/>
    <cellStyle name="Total 6" xfId="893"/>
    <cellStyle name="Total 6 10" xfId="4588"/>
    <cellStyle name="Total 6 11" xfId="4589"/>
    <cellStyle name="Total 6 12" xfId="4590"/>
    <cellStyle name="Total 6 2" xfId="4591"/>
    <cellStyle name="Total 6 3" xfId="4592"/>
    <cellStyle name="Total 6 4" xfId="4593"/>
    <cellStyle name="Total 6 5" xfId="4594"/>
    <cellStyle name="Total 6 6" xfId="4595"/>
    <cellStyle name="Total 6 7" xfId="4596"/>
    <cellStyle name="Total 6 8" xfId="4597"/>
    <cellStyle name="Total 6 9" xfId="4598"/>
    <cellStyle name="Total 7" xfId="894"/>
    <cellStyle name="Total 7 10" xfId="4599"/>
    <cellStyle name="Total 7 11" xfId="4600"/>
    <cellStyle name="Total 7 12" xfId="4601"/>
    <cellStyle name="Total 7 2" xfId="4602"/>
    <cellStyle name="Total 7 3" xfId="4603"/>
    <cellStyle name="Total 7 4" xfId="4604"/>
    <cellStyle name="Total 7 5" xfId="4605"/>
    <cellStyle name="Total 7 6" xfId="4606"/>
    <cellStyle name="Total 7 7" xfId="4607"/>
    <cellStyle name="Total 7 8" xfId="4608"/>
    <cellStyle name="Total 7 9" xfId="4609"/>
    <cellStyle name="Total 8" xfId="895"/>
    <cellStyle name="Total 8 10" xfId="4610"/>
    <cellStyle name="Total 8 11" xfId="4611"/>
    <cellStyle name="Total 8 12" xfId="4612"/>
    <cellStyle name="Total 8 2" xfId="4613"/>
    <cellStyle name="Total 8 3" xfId="4614"/>
    <cellStyle name="Total 8 4" xfId="4615"/>
    <cellStyle name="Total 8 5" xfId="4616"/>
    <cellStyle name="Total 8 6" xfId="4617"/>
    <cellStyle name="Total 8 7" xfId="4618"/>
    <cellStyle name="Total 8 8" xfId="4619"/>
    <cellStyle name="Total 8 9" xfId="4620"/>
    <cellStyle name="Total 9" xfId="896"/>
    <cellStyle name="Total 9 10" xfId="4621"/>
    <cellStyle name="Total 9 11" xfId="4622"/>
    <cellStyle name="Total 9 12" xfId="4623"/>
    <cellStyle name="Total 9 2" xfId="4624"/>
    <cellStyle name="Total 9 3" xfId="4625"/>
    <cellStyle name="Total 9 4" xfId="4626"/>
    <cellStyle name="Total 9 5" xfId="4627"/>
    <cellStyle name="Total 9 6" xfId="4628"/>
    <cellStyle name="Total 9 7" xfId="4629"/>
    <cellStyle name="Total 9 8" xfId="4630"/>
    <cellStyle name="Total 9 9" xfId="4631"/>
    <cellStyle name="Warning Text 10" xfId="897"/>
    <cellStyle name="Warning Text 11" xfId="898"/>
    <cellStyle name="Warning Text 12" xfId="899"/>
    <cellStyle name="Warning Text 13" xfId="900"/>
    <cellStyle name="Warning Text 14" xfId="901"/>
    <cellStyle name="Warning Text 15" xfId="902"/>
    <cellStyle name="Warning Text 16" xfId="903"/>
    <cellStyle name="Warning Text 17" xfId="904"/>
    <cellStyle name="Warning Text 18" xfId="905"/>
    <cellStyle name="Warning Text 19" xfId="906"/>
    <cellStyle name="Warning Text 2" xfId="907"/>
    <cellStyle name="Warning Text 3" xfId="908"/>
    <cellStyle name="Warning Text 4" xfId="909"/>
    <cellStyle name="Warning Text 5" xfId="910"/>
    <cellStyle name="Warning Text 6" xfId="911"/>
    <cellStyle name="Warning Text 7" xfId="912"/>
    <cellStyle name="Warning Text 8" xfId="913"/>
    <cellStyle name="Warning Text 9" xfId="91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externalLink" Target="externalLinks/externalLink1.xml"/><Relationship Id="rId76" Type="http://schemas.openxmlformats.org/officeDocument/2006/relationships/externalLink" Target="externalLinks/externalLink9.xml"/><Relationship Id="rId84" Type="http://schemas.openxmlformats.org/officeDocument/2006/relationships/externalLink" Target="externalLinks/externalLink17.xml"/><Relationship Id="rId89" Type="http://schemas.openxmlformats.org/officeDocument/2006/relationships/externalLink" Target="externalLinks/externalLink22.xml"/><Relationship Id="rId9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4.xml"/><Relationship Id="rId92" Type="http://schemas.openxmlformats.org/officeDocument/2006/relationships/externalLink" Target="externalLinks/externalLink25.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externalLink" Target="externalLinks/externalLink7.xml"/><Relationship Id="rId79" Type="http://schemas.openxmlformats.org/officeDocument/2006/relationships/externalLink" Target="externalLinks/externalLink12.xml"/><Relationship Id="rId87" Type="http://schemas.openxmlformats.org/officeDocument/2006/relationships/externalLink" Target="externalLinks/externalLink20.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15.xml"/><Relationship Id="rId90" Type="http://schemas.openxmlformats.org/officeDocument/2006/relationships/externalLink" Target="externalLinks/externalLink23.xml"/><Relationship Id="rId95"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2.xml"/><Relationship Id="rId77" Type="http://schemas.openxmlformats.org/officeDocument/2006/relationships/externalLink" Target="externalLinks/externalLink1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5.xml"/><Relationship Id="rId80" Type="http://schemas.openxmlformats.org/officeDocument/2006/relationships/externalLink" Target="externalLinks/externalLink13.xml"/><Relationship Id="rId85" Type="http://schemas.openxmlformats.org/officeDocument/2006/relationships/externalLink" Target="externalLinks/externalLink18.xml"/><Relationship Id="rId93" Type="http://schemas.openxmlformats.org/officeDocument/2006/relationships/externalLink" Target="externalLinks/externalLink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3.xml"/><Relationship Id="rId75" Type="http://schemas.openxmlformats.org/officeDocument/2006/relationships/externalLink" Target="externalLinks/externalLink8.xml"/><Relationship Id="rId83" Type="http://schemas.openxmlformats.org/officeDocument/2006/relationships/externalLink" Target="externalLinks/externalLink16.xml"/><Relationship Id="rId88" Type="http://schemas.openxmlformats.org/officeDocument/2006/relationships/externalLink" Target="externalLinks/externalLink21.xml"/><Relationship Id="rId91" Type="http://schemas.openxmlformats.org/officeDocument/2006/relationships/externalLink" Target="externalLinks/externalLink24.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6.xml"/><Relationship Id="rId78" Type="http://schemas.openxmlformats.org/officeDocument/2006/relationships/externalLink" Target="externalLinks/externalLink11.xml"/><Relationship Id="rId81" Type="http://schemas.openxmlformats.org/officeDocument/2006/relationships/externalLink" Target="externalLinks/externalLink14.xml"/><Relationship Id="rId86" Type="http://schemas.openxmlformats.org/officeDocument/2006/relationships/externalLink" Target="externalLinks/externalLink19.xml"/><Relationship Id="rId9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drawing1.xml><?xml version="1.0" encoding="utf-8"?>
<xdr:wsDr xmlns:xdr="http://schemas.openxmlformats.org/drawingml/2006/spreadsheetDrawing" xmlns:a="http://schemas.openxmlformats.org/drawingml/2006/main">
  <xdr:twoCellAnchor editAs="oneCell">
    <xdr:from>
      <xdr:col>3</xdr:col>
      <xdr:colOff>523875</xdr:colOff>
      <xdr:row>33</xdr:row>
      <xdr:rowOff>0</xdr:rowOff>
    </xdr:from>
    <xdr:to>
      <xdr:col>3</xdr:col>
      <xdr:colOff>609600</xdr:colOff>
      <xdr:row>33</xdr:row>
      <xdr:rowOff>28575</xdr:rowOff>
    </xdr:to>
    <xdr:sp macro="" textlink="">
      <xdr:nvSpPr>
        <xdr:cNvPr id="2"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3"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4"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6"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7"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8"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9"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10"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605409</xdr:colOff>
      <xdr:row>33</xdr:row>
      <xdr:rowOff>7493</xdr:rowOff>
    </xdr:to>
    <xdr:sp macro="" textlink="">
      <xdr:nvSpPr>
        <xdr:cNvPr id="11" name="Text Box 72"/>
        <xdr:cNvSpPr txBox="1">
          <a:spLocks noChangeArrowheads="1"/>
        </xdr:cNvSpPr>
      </xdr:nvSpPr>
      <xdr:spPr bwMode="auto">
        <a:xfrm>
          <a:off x="1752600"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12"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13"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14"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15"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16"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17"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18"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19"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20"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21"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22"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23"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24"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25"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26"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27"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28"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29"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30"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31"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605409</xdr:colOff>
      <xdr:row>33</xdr:row>
      <xdr:rowOff>7493</xdr:rowOff>
    </xdr:to>
    <xdr:sp macro="" textlink="">
      <xdr:nvSpPr>
        <xdr:cNvPr id="32" name="Text Box 72"/>
        <xdr:cNvSpPr txBox="1">
          <a:spLocks noChangeArrowheads="1"/>
        </xdr:cNvSpPr>
      </xdr:nvSpPr>
      <xdr:spPr bwMode="auto">
        <a:xfrm>
          <a:off x="1752600"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33"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34"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35"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6"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37"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38"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39"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40"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41"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42"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610743</xdr:colOff>
      <xdr:row>33</xdr:row>
      <xdr:rowOff>28575</xdr:rowOff>
    </xdr:to>
    <xdr:sp macro="" textlink="">
      <xdr:nvSpPr>
        <xdr:cNvPr id="43"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44"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45"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4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47"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48"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4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0"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1"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52"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53"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4"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5"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7"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8"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60"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6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62"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6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6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65"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66"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6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68"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69"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7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71"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72"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73"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74"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75"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76"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7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78"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79"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8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81"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8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83"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8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85"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oneCellAnchor>
    <xdr:from>
      <xdr:col>6</xdr:col>
      <xdr:colOff>66675</xdr:colOff>
      <xdr:row>33</xdr:row>
      <xdr:rowOff>0</xdr:rowOff>
    </xdr:from>
    <xdr:ext cx="194454" cy="240740"/>
    <xdr:sp macro="" textlink="">
      <xdr:nvSpPr>
        <xdr:cNvPr id="86" name="TextBox 85"/>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33</xdr:row>
      <xdr:rowOff>0</xdr:rowOff>
    </xdr:from>
    <xdr:to>
      <xdr:col>3</xdr:col>
      <xdr:colOff>609600</xdr:colOff>
      <xdr:row>33</xdr:row>
      <xdr:rowOff>28575</xdr:rowOff>
    </xdr:to>
    <xdr:sp macro="" textlink="">
      <xdr:nvSpPr>
        <xdr:cNvPr id="87"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88"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89"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9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91"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92"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9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94"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95"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96"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97"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98"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99"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100"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101"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102"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10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104"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105"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10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107"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108"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109"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11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11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112"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113"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114"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115"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116"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117"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118"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9525</xdr:rowOff>
    </xdr:to>
    <xdr:sp macro="" textlink="">
      <xdr:nvSpPr>
        <xdr:cNvPr id="119"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28575</xdr:rowOff>
    </xdr:to>
    <xdr:sp macro="" textlink="">
      <xdr:nvSpPr>
        <xdr:cNvPr id="120"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33</xdr:row>
      <xdr:rowOff>0</xdr:rowOff>
    </xdr:from>
    <xdr:to>
      <xdr:col>3</xdr:col>
      <xdr:colOff>523875</xdr:colOff>
      <xdr:row>33</xdr:row>
      <xdr:rowOff>0</xdr:rowOff>
    </xdr:to>
    <xdr:sp macro="" textlink="">
      <xdr:nvSpPr>
        <xdr:cNvPr id="121"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122"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33</xdr:row>
      <xdr:rowOff>0</xdr:rowOff>
    </xdr:from>
    <xdr:ext cx="194454" cy="240740"/>
    <xdr:sp macro="" textlink="">
      <xdr:nvSpPr>
        <xdr:cNvPr id="123" name="TextBox 122"/>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33</xdr:row>
      <xdr:rowOff>0</xdr:rowOff>
    </xdr:from>
    <xdr:ext cx="194454" cy="240740"/>
    <xdr:sp macro="" textlink="">
      <xdr:nvSpPr>
        <xdr:cNvPr id="124" name="TextBox 123"/>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33</xdr:row>
      <xdr:rowOff>0</xdr:rowOff>
    </xdr:from>
    <xdr:to>
      <xdr:col>3</xdr:col>
      <xdr:colOff>609600</xdr:colOff>
      <xdr:row>33</xdr:row>
      <xdr:rowOff>0</xdr:rowOff>
    </xdr:to>
    <xdr:sp macro="" textlink="">
      <xdr:nvSpPr>
        <xdr:cNvPr id="12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26"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2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104062</xdr:rowOff>
    </xdr:to>
    <xdr:sp macro="" textlink="">
      <xdr:nvSpPr>
        <xdr:cNvPr id="128"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2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609600</xdr:colOff>
      <xdr:row>33</xdr:row>
      <xdr:rowOff>0</xdr:rowOff>
    </xdr:to>
    <xdr:sp macro="" textlink="">
      <xdr:nvSpPr>
        <xdr:cNvPr id="130"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31"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3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104062</xdr:rowOff>
    </xdr:to>
    <xdr:sp macro="" textlink="">
      <xdr:nvSpPr>
        <xdr:cNvPr id="133"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3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35"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36"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13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3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3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4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41"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42"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43"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14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45"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46"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95250</xdr:rowOff>
    </xdr:to>
    <xdr:sp macro="" textlink="">
      <xdr:nvSpPr>
        <xdr:cNvPr id="147" name="Text Box 8"/>
        <xdr:cNvSpPr txBox="1">
          <a:spLocks noChangeArrowheads="1"/>
        </xdr:cNvSpPr>
      </xdr:nvSpPr>
      <xdr:spPr bwMode="auto">
        <a:xfrm>
          <a:off x="1838325" y="828675"/>
          <a:ext cx="857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95250</xdr:rowOff>
    </xdr:to>
    <xdr:sp macro="" textlink="">
      <xdr:nvSpPr>
        <xdr:cNvPr id="148"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49" name="Text Box 1"/>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50"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95250</xdr:rowOff>
    </xdr:to>
    <xdr:sp macro="" textlink="">
      <xdr:nvSpPr>
        <xdr:cNvPr id="151"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15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15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5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5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5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5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58"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15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60"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6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6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63"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6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6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66"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6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6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69"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7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7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72"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17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74"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75"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176"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77"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78"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17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180"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81"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82"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8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8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85"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186"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87"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8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8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9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9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92"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19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194"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9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9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197"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9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19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20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20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20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203"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204"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0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0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0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0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0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1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22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229"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104775</xdr:rowOff>
    </xdr:to>
    <xdr:sp macro="" textlink="">
      <xdr:nvSpPr>
        <xdr:cNvPr id="230"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31"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32"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233"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34"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35"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36"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37"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38"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239"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240"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41"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42"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43"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44"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45"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46"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247"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248"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49"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50"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51"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52"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5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54"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55"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5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257"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58"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5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6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6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6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263"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609600</xdr:colOff>
      <xdr:row>33</xdr:row>
      <xdr:rowOff>0</xdr:rowOff>
    </xdr:to>
    <xdr:sp macro="" textlink="">
      <xdr:nvSpPr>
        <xdr:cNvPr id="264"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104775</xdr:rowOff>
    </xdr:to>
    <xdr:sp macro="" textlink="">
      <xdr:nvSpPr>
        <xdr:cNvPr id="265"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6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67"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268"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69"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70"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7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72"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273"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274"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275"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76"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7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278"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279"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80"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81"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82"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8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284"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28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286"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87"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88"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8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4"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5"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6"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297"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oneCellAnchor>
    <xdr:from>
      <xdr:col>6</xdr:col>
      <xdr:colOff>66675</xdr:colOff>
      <xdr:row>33</xdr:row>
      <xdr:rowOff>0</xdr:rowOff>
    </xdr:from>
    <xdr:ext cx="194454" cy="240740"/>
    <xdr:sp macro="" textlink="">
      <xdr:nvSpPr>
        <xdr:cNvPr id="298" name="TextBox 297"/>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33</xdr:row>
      <xdr:rowOff>0</xdr:rowOff>
    </xdr:from>
    <xdr:to>
      <xdr:col>3</xdr:col>
      <xdr:colOff>609600</xdr:colOff>
      <xdr:row>33</xdr:row>
      <xdr:rowOff>28575</xdr:rowOff>
    </xdr:to>
    <xdr:sp macro="" textlink="">
      <xdr:nvSpPr>
        <xdr:cNvPr id="299"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300"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301"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30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03"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304"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305"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06"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307"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308"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309"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310"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311"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312"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313"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314"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315"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16"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317"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318"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319"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32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21"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32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32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324"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25"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326"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27"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328"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329"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330"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9525</xdr:rowOff>
    </xdr:to>
    <xdr:sp macro="" textlink="">
      <xdr:nvSpPr>
        <xdr:cNvPr id="331"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28575</xdr:rowOff>
    </xdr:to>
    <xdr:sp macro="" textlink="">
      <xdr:nvSpPr>
        <xdr:cNvPr id="332"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33</xdr:row>
      <xdr:rowOff>0</xdr:rowOff>
    </xdr:from>
    <xdr:to>
      <xdr:col>3</xdr:col>
      <xdr:colOff>523875</xdr:colOff>
      <xdr:row>33</xdr:row>
      <xdr:rowOff>0</xdr:rowOff>
    </xdr:to>
    <xdr:sp macro="" textlink="">
      <xdr:nvSpPr>
        <xdr:cNvPr id="333"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334"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33</xdr:row>
      <xdr:rowOff>0</xdr:rowOff>
    </xdr:from>
    <xdr:ext cx="194454" cy="240740"/>
    <xdr:sp macro="" textlink="">
      <xdr:nvSpPr>
        <xdr:cNvPr id="335" name="TextBox 334"/>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33</xdr:row>
      <xdr:rowOff>0</xdr:rowOff>
    </xdr:from>
    <xdr:ext cx="194454" cy="240740"/>
    <xdr:sp macro="" textlink="">
      <xdr:nvSpPr>
        <xdr:cNvPr id="336" name="TextBox 335"/>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33</xdr:row>
      <xdr:rowOff>0</xdr:rowOff>
    </xdr:from>
    <xdr:to>
      <xdr:col>3</xdr:col>
      <xdr:colOff>609600</xdr:colOff>
      <xdr:row>33</xdr:row>
      <xdr:rowOff>0</xdr:rowOff>
    </xdr:to>
    <xdr:sp macro="" textlink="">
      <xdr:nvSpPr>
        <xdr:cNvPr id="33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38"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3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104062</xdr:rowOff>
    </xdr:to>
    <xdr:sp macro="" textlink="">
      <xdr:nvSpPr>
        <xdr:cNvPr id="340"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4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609600</xdr:colOff>
      <xdr:row>33</xdr:row>
      <xdr:rowOff>0</xdr:rowOff>
    </xdr:to>
    <xdr:sp macro="" textlink="">
      <xdr:nvSpPr>
        <xdr:cNvPr id="342"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43"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4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104062</xdr:rowOff>
    </xdr:to>
    <xdr:sp macro="" textlink="">
      <xdr:nvSpPr>
        <xdr:cNvPr id="345"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4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47"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48"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34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5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5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352"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53"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54"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55"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35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57"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58"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95250</xdr:rowOff>
    </xdr:to>
    <xdr:sp macro="" textlink="">
      <xdr:nvSpPr>
        <xdr:cNvPr id="359" name="Text Box 8"/>
        <xdr:cNvSpPr txBox="1">
          <a:spLocks noChangeArrowheads="1"/>
        </xdr:cNvSpPr>
      </xdr:nvSpPr>
      <xdr:spPr bwMode="auto">
        <a:xfrm>
          <a:off x="1838325" y="828675"/>
          <a:ext cx="857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95250</xdr:rowOff>
    </xdr:to>
    <xdr:sp macro="" textlink="">
      <xdr:nvSpPr>
        <xdr:cNvPr id="360"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61" name="Text Box 1"/>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62"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95250</xdr:rowOff>
    </xdr:to>
    <xdr:sp macro="" textlink="">
      <xdr:nvSpPr>
        <xdr:cNvPr id="363"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36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36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6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6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6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6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37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37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72"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7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7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375"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7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7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378"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7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8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81"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8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8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384"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385"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86"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87"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388"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89"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90"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39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39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93"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94"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9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39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397"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398"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399"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0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0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0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0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04"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405"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406"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0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0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09"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1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1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12"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41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414"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57150</xdr:rowOff>
    </xdr:to>
    <xdr:sp macro="" textlink="">
      <xdr:nvSpPr>
        <xdr:cNvPr id="415"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104775</xdr:rowOff>
    </xdr:to>
    <xdr:sp macro="" textlink="">
      <xdr:nvSpPr>
        <xdr:cNvPr id="416"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1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1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1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2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3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0</xdr:rowOff>
    </xdr:to>
    <xdr:sp macro="" textlink="">
      <xdr:nvSpPr>
        <xdr:cNvPr id="44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41"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104775</xdr:rowOff>
    </xdr:to>
    <xdr:sp macro="" textlink="">
      <xdr:nvSpPr>
        <xdr:cNvPr id="442"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4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44"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445"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46"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47"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48"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49"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50"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51"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452"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53"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5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55"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56"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57"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58"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59"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460"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61"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62"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63"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64"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6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66"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67"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6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469"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7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7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7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7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74"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75"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609600</xdr:colOff>
      <xdr:row>33</xdr:row>
      <xdr:rowOff>0</xdr:rowOff>
    </xdr:to>
    <xdr:sp macro="" textlink="">
      <xdr:nvSpPr>
        <xdr:cNvPr id="476"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104775</xdr:rowOff>
    </xdr:to>
    <xdr:sp macro="" textlink="">
      <xdr:nvSpPr>
        <xdr:cNvPr id="477"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7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79"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480"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81"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82"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8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84"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66675</xdr:rowOff>
    </xdr:to>
    <xdr:sp macro="" textlink="">
      <xdr:nvSpPr>
        <xdr:cNvPr id="485"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86"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487"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88"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89"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0</xdr:rowOff>
    </xdr:to>
    <xdr:sp macro="" textlink="">
      <xdr:nvSpPr>
        <xdr:cNvPr id="49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491"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92"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9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94"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9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104775</xdr:rowOff>
    </xdr:to>
    <xdr:sp macro="" textlink="">
      <xdr:nvSpPr>
        <xdr:cNvPr id="496"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49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95250</xdr:rowOff>
    </xdr:to>
    <xdr:sp macro="" textlink="">
      <xdr:nvSpPr>
        <xdr:cNvPr id="498"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49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4"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5"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6"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7"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8"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0</xdr:rowOff>
    </xdr:to>
    <xdr:sp macro="" textlink="">
      <xdr:nvSpPr>
        <xdr:cNvPr id="50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10"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511"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12"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1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14"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15"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1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17"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18"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519"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520"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21"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22"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23"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24"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25"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2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27"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28"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2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30"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3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32"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3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3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35"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26670</xdr:rowOff>
    </xdr:to>
    <xdr:sp macro="" textlink="">
      <xdr:nvSpPr>
        <xdr:cNvPr id="536"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37"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38"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39"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40"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4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42"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43"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19050</xdr:rowOff>
    </xdr:to>
    <xdr:sp macro="" textlink="">
      <xdr:nvSpPr>
        <xdr:cNvPr id="544"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545"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46"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47"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48"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49"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0</xdr:rowOff>
    </xdr:to>
    <xdr:sp macro="" textlink="">
      <xdr:nvSpPr>
        <xdr:cNvPr id="550"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5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52"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53"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5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19050</xdr:rowOff>
    </xdr:to>
    <xdr:sp macro="" textlink="">
      <xdr:nvSpPr>
        <xdr:cNvPr id="555"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5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57"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58"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28575</xdr:rowOff>
    </xdr:to>
    <xdr:sp macro="" textlink="">
      <xdr:nvSpPr>
        <xdr:cNvPr id="55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oneCellAnchor>
    <xdr:from>
      <xdr:col>6</xdr:col>
      <xdr:colOff>66675</xdr:colOff>
      <xdr:row>33</xdr:row>
      <xdr:rowOff>0</xdr:rowOff>
    </xdr:from>
    <xdr:ext cx="194454" cy="240740"/>
    <xdr:sp macro="" textlink="">
      <xdr:nvSpPr>
        <xdr:cNvPr id="560" name="TextBox 559"/>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33</xdr:row>
      <xdr:rowOff>0</xdr:rowOff>
    </xdr:from>
    <xdr:to>
      <xdr:col>4</xdr:col>
      <xdr:colOff>1143</xdr:colOff>
      <xdr:row>33</xdr:row>
      <xdr:rowOff>29718</xdr:rowOff>
    </xdr:to>
    <xdr:sp macro="" textlink="">
      <xdr:nvSpPr>
        <xdr:cNvPr id="561"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62"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563"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64"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565"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566"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567"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9525</xdr:rowOff>
    </xdr:to>
    <xdr:sp macro="" textlink="">
      <xdr:nvSpPr>
        <xdr:cNvPr id="568"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28575</xdr:rowOff>
    </xdr:to>
    <xdr:sp macro="" textlink="">
      <xdr:nvSpPr>
        <xdr:cNvPr id="569"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33</xdr:row>
      <xdr:rowOff>0</xdr:rowOff>
    </xdr:from>
    <xdr:to>
      <xdr:col>3</xdr:col>
      <xdr:colOff>523875</xdr:colOff>
      <xdr:row>33</xdr:row>
      <xdr:rowOff>0</xdr:rowOff>
    </xdr:to>
    <xdr:sp macro="" textlink="">
      <xdr:nvSpPr>
        <xdr:cNvPr id="570"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571"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33</xdr:row>
      <xdr:rowOff>0</xdr:rowOff>
    </xdr:from>
    <xdr:ext cx="194454" cy="240740"/>
    <xdr:sp macro="" textlink="">
      <xdr:nvSpPr>
        <xdr:cNvPr id="572" name="TextBox 571"/>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33</xdr:row>
      <xdr:rowOff>0</xdr:rowOff>
    </xdr:from>
    <xdr:ext cx="194454" cy="240740"/>
    <xdr:sp macro="" textlink="">
      <xdr:nvSpPr>
        <xdr:cNvPr id="573" name="TextBox 572"/>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33</xdr:row>
      <xdr:rowOff>0</xdr:rowOff>
    </xdr:from>
    <xdr:to>
      <xdr:col>3</xdr:col>
      <xdr:colOff>609600</xdr:colOff>
      <xdr:row>33</xdr:row>
      <xdr:rowOff>104062</xdr:rowOff>
    </xdr:to>
    <xdr:sp macro="" textlink="">
      <xdr:nvSpPr>
        <xdr:cNvPr id="574"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104062</xdr:rowOff>
    </xdr:to>
    <xdr:sp macro="" textlink="">
      <xdr:nvSpPr>
        <xdr:cNvPr id="575"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76"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77"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78"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7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80"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8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8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8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584"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8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586"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8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588"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89"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90"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91"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92"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593"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9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595"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9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9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59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oneCellAnchor>
    <xdr:from>
      <xdr:col>6</xdr:col>
      <xdr:colOff>66675</xdr:colOff>
      <xdr:row>33</xdr:row>
      <xdr:rowOff>0</xdr:rowOff>
    </xdr:from>
    <xdr:ext cx="194454" cy="240740"/>
    <xdr:sp macro="" textlink="">
      <xdr:nvSpPr>
        <xdr:cNvPr id="599" name="TextBox 598"/>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33</xdr:row>
      <xdr:rowOff>0</xdr:rowOff>
    </xdr:from>
    <xdr:to>
      <xdr:col>4</xdr:col>
      <xdr:colOff>1143</xdr:colOff>
      <xdr:row>33</xdr:row>
      <xdr:rowOff>29718</xdr:rowOff>
    </xdr:to>
    <xdr:sp macro="" textlink="">
      <xdr:nvSpPr>
        <xdr:cNvPr id="600"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601"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602"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603"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1143</xdr:colOff>
      <xdr:row>33</xdr:row>
      <xdr:rowOff>29718</xdr:rowOff>
    </xdr:to>
    <xdr:sp macro="" textlink="">
      <xdr:nvSpPr>
        <xdr:cNvPr id="604"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33</xdr:row>
      <xdr:rowOff>0</xdr:rowOff>
    </xdr:from>
    <xdr:to>
      <xdr:col>3</xdr:col>
      <xdr:colOff>609600</xdr:colOff>
      <xdr:row>33</xdr:row>
      <xdr:rowOff>28575</xdr:rowOff>
    </xdr:to>
    <xdr:sp macro="" textlink="">
      <xdr:nvSpPr>
        <xdr:cNvPr id="605"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33</xdr:row>
      <xdr:rowOff>0</xdr:rowOff>
    </xdr:from>
    <xdr:to>
      <xdr:col>4</xdr:col>
      <xdr:colOff>0</xdr:colOff>
      <xdr:row>33</xdr:row>
      <xdr:rowOff>28575</xdr:rowOff>
    </xdr:to>
    <xdr:sp macro="" textlink="">
      <xdr:nvSpPr>
        <xdr:cNvPr id="606"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33</xdr:row>
      <xdr:rowOff>0</xdr:rowOff>
    </xdr:from>
    <xdr:to>
      <xdr:col>3</xdr:col>
      <xdr:colOff>609600</xdr:colOff>
      <xdr:row>33</xdr:row>
      <xdr:rowOff>9525</xdr:rowOff>
    </xdr:to>
    <xdr:sp macro="" textlink="">
      <xdr:nvSpPr>
        <xdr:cNvPr id="607"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33</xdr:row>
      <xdr:rowOff>0</xdr:rowOff>
    </xdr:from>
    <xdr:to>
      <xdr:col>3</xdr:col>
      <xdr:colOff>714375</xdr:colOff>
      <xdr:row>33</xdr:row>
      <xdr:rowOff>28575</xdr:rowOff>
    </xdr:to>
    <xdr:sp macro="" textlink="">
      <xdr:nvSpPr>
        <xdr:cNvPr id="608"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33</xdr:row>
      <xdr:rowOff>0</xdr:rowOff>
    </xdr:from>
    <xdr:to>
      <xdr:col>3</xdr:col>
      <xdr:colOff>523875</xdr:colOff>
      <xdr:row>33</xdr:row>
      <xdr:rowOff>0</xdr:rowOff>
    </xdr:to>
    <xdr:sp macro="" textlink="">
      <xdr:nvSpPr>
        <xdr:cNvPr id="609"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33</xdr:row>
      <xdr:rowOff>0</xdr:rowOff>
    </xdr:from>
    <xdr:to>
      <xdr:col>3</xdr:col>
      <xdr:colOff>613410</xdr:colOff>
      <xdr:row>33</xdr:row>
      <xdr:rowOff>7493</xdr:rowOff>
    </xdr:to>
    <xdr:sp macro="" textlink="">
      <xdr:nvSpPr>
        <xdr:cNvPr id="610"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33</xdr:row>
      <xdr:rowOff>0</xdr:rowOff>
    </xdr:from>
    <xdr:ext cx="194454" cy="240740"/>
    <xdr:sp macro="" textlink="">
      <xdr:nvSpPr>
        <xdr:cNvPr id="611" name="TextBox 610"/>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33</xdr:row>
      <xdr:rowOff>0</xdr:rowOff>
    </xdr:from>
    <xdr:ext cx="194454" cy="240740"/>
    <xdr:sp macro="" textlink="">
      <xdr:nvSpPr>
        <xdr:cNvPr id="612" name="TextBox 611"/>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33</xdr:row>
      <xdr:rowOff>0</xdr:rowOff>
    </xdr:from>
    <xdr:to>
      <xdr:col>3</xdr:col>
      <xdr:colOff>609600</xdr:colOff>
      <xdr:row>33</xdr:row>
      <xdr:rowOff>104062</xdr:rowOff>
    </xdr:to>
    <xdr:sp macro="" textlink="">
      <xdr:nvSpPr>
        <xdr:cNvPr id="613"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104062</xdr:rowOff>
    </xdr:to>
    <xdr:sp macro="" textlink="">
      <xdr:nvSpPr>
        <xdr:cNvPr id="614"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15"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16"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17"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18"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1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20"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2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2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609600</xdr:colOff>
      <xdr:row>33</xdr:row>
      <xdr:rowOff>113587</xdr:rowOff>
    </xdr:to>
    <xdr:sp macro="" textlink="">
      <xdr:nvSpPr>
        <xdr:cNvPr id="62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2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625"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2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627"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2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29"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30"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31"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632"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3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104062</xdr:rowOff>
    </xdr:to>
    <xdr:sp macro="" textlink="">
      <xdr:nvSpPr>
        <xdr:cNvPr id="634"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3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3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33</xdr:row>
      <xdr:rowOff>0</xdr:rowOff>
    </xdr:from>
    <xdr:to>
      <xdr:col>3</xdr:col>
      <xdr:colOff>600075</xdr:colOff>
      <xdr:row>33</xdr:row>
      <xdr:rowOff>113587</xdr:rowOff>
    </xdr:to>
    <xdr:sp macro="" textlink="">
      <xdr:nvSpPr>
        <xdr:cNvPr id="63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43"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644"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45"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46"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47"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48"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49"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50"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651"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605409</xdr:colOff>
      <xdr:row>89</xdr:row>
      <xdr:rowOff>7493</xdr:rowOff>
    </xdr:to>
    <xdr:sp macro="" textlink="">
      <xdr:nvSpPr>
        <xdr:cNvPr id="652" name="Text Box 72"/>
        <xdr:cNvSpPr txBox="1">
          <a:spLocks noChangeArrowheads="1"/>
        </xdr:cNvSpPr>
      </xdr:nvSpPr>
      <xdr:spPr bwMode="auto">
        <a:xfrm>
          <a:off x="1752600"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53"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54"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55"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56"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57"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58"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59"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60"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61"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62"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63"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64"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665"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66"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67"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68"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69"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70"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71"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672"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605409</xdr:colOff>
      <xdr:row>89</xdr:row>
      <xdr:rowOff>7493</xdr:rowOff>
    </xdr:to>
    <xdr:sp macro="" textlink="">
      <xdr:nvSpPr>
        <xdr:cNvPr id="673" name="Text Box 72"/>
        <xdr:cNvSpPr txBox="1">
          <a:spLocks noChangeArrowheads="1"/>
        </xdr:cNvSpPr>
      </xdr:nvSpPr>
      <xdr:spPr bwMode="auto">
        <a:xfrm>
          <a:off x="1752600"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74"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75"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76"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77"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78"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79"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80"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81"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82"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83"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610743</xdr:colOff>
      <xdr:row>89</xdr:row>
      <xdr:rowOff>28575</xdr:rowOff>
    </xdr:to>
    <xdr:sp macro="" textlink="">
      <xdr:nvSpPr>
        <xdr:cNvPr id="684" name="Text Box 68"/>
        <xdr:cNvSpPr txBox="1">
          <a:spLocks noChangeArrowheads="1"/>
        </xdr:cNvSpPr>
      </xdr:nvSpPr>
      <xdr:spPr bwMode="auto">
        <a:xfrm>
          <a:off x="1762125" y="0"/>
          <a:ext cx="163068"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85"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686"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68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88"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89"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69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91"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92"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693"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613410</xdr:colOff>
      <xdr:row>89</xdr:row>
      <xdr:rowOff>7493</xdr:rowOff>
    </xdr:to>
    <xdr:sp macro="" textlink="">
      <xdr:nvSpPr>
        <xdr:cNvPr id="694"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95"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696"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69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698"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699"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0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701"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0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03"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0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05"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06"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707"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08"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09"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710"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1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12"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713"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714"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613410</xdr:colOff>
      <xdr:row>89</xdr:row>
      <xdr:rowOff>7493</xdr:rowOff>
    </xdr:to>
    <xdr:sp macro="" textlink="">
      <xdr:nvSpPr>
        <xdr:cNvPr id="715"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716"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717" name="Text Box 11"/>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18"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19"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720"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2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722" name="Text Box 25"/>
        <xdr:cNvSpPr txBox="1">
          <a:spLocks noChangeArrowheads="1"/>
        </xdr:cNvSpPr>
      </xdr:nvSpPr>
      <xdr:spPr bwMode="auto">
        <a:xfrm>
          <a:off x="2333625" y="0"/>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2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24"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25"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2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oneCellAnchor>
    <xdr:from>
      <xdr:col>6</xdr:col>
      <xdr:colOff>66675</xdr:colOff>
      <xdr:row>89</xdr:row>
      <xdr:rowOff>66675</xdr:rowOff>
    </xdr:from>
    <xdr:ext cx="194454" cy="240740"/>
    <xdr:sp macro="" textlink="">
      <xdr:nvSpPr>
        <xdr:cNvPr id="727" name="TextBox 726"/>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89</xdr:row>
      <xdr:rowOff>0</xdr:rowOff>
    </xdr:from>
    <xdr:to>
      <xdr:col>3</xdr:col>
      <xdr:colOff>609600</xdr:colOff>
      <xdr:row>89</xdr:row>
      <xdr:rowOff>28575</xdr:rowOff>
    </xdr:to>
    <xdr:sp macro="" textlink="">
      <xdr:nvSpPr>
        <xdr:cNvPr id="728"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729"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730"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3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32"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733"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3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35"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736"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737"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613410</xdr:colOff>
      <xdr:row>89</xdr:row>
      <xdr:rowOff>7493</xdr:rowOff>
    </xdr:to>
    <xdr:sp macro="" textlink="">
      <xdr:nvSpPr>
        <xdr:cNvPr id="738"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739"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740"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741"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742"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743"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4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45"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746"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4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748"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4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750"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5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75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753"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754"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755"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756"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757"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758"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0</xdr:colOff>
      <xdr:row>90</xdr:row>
      <xdr:rowOff>28575</xdr:rowOff>
    </xdr:to>
    <xdr:sp macro="" textlink="">
      <xdr:nvSpPr>
        <xdr:cNvPr id="759"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90</xdr:row>
      <xdr:rowOff>0</xdr:rowOff>
    </xdr:from>
    <xdr:to>
      <xdr:col>3</xdr:col>
      <xdr:colOff>609600</xdr:colOff>
      <xdr:row>90</xdr:row>
      <xdr:rowOff>9525</xdr:rowOff>
    </xdr:to>
    <xdr:sp macro="" textlink="">
      <xdr:nvSpPr>
        <xdr:cNvPr id="760"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90</xdr:row>
      <xdr:rowOff>0</xdr:rowOff>
    </xdr:from>
    <xdr:to>
      <xdr:col>3</xdr:col>
      <xdr:colOff>714375</xdr:colOff>
      <xdr:row>90</xdr:row>
      <xdr:rowOff>28575</xdr:rowOff>
    </xdr:to>
    <xdr:sp macro="" textlink="">
      <xdr:nvSpPr>
        <xdr:cNvPr id="761"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90</xdr:row>
      <xdr:rowOff>0</xdr:rowOff>
    </xdr:from>
    <xdr:to>
      <xdr:col>3</xdr:col>
      <xdr:colOff>523875</xdr:colOff>
      <xdr:row>90</xdr:row>
      <xdr:rowOff>0</xdr:rowOff>
    </xdr:to>
    <xdr:sp macro="" textlink="">
      <xdr:nvSpPr>
        <xdr:cNvPr id="762"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90</xdr:row>
      <xdr:rowOff>0</xdr:rowOff>
    </xdr:from>
    <xdr:to>
      <xdr:col>3</xdr:col>
      <xdr:colOff>613410</xdr:colOff>
      <xdr:row>90</xdr:row>
      <xdr:rowOff>7493</xdr:rowOff>
    </xdr:to>
    <xdr:sp macro="" textlink="">
      <xdr:nvSpPr>
        <xdr:cNvPr id="763"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90</xdr:row>
      <xdr:rowOff>0</xdr:rowOff>
    </xdr:from>
    <xdr:ext cx="194454" cy="240740"/>
    <xdr:sp macro="" textlink="">
      <xdr:nvSpPr>
        <xdr:cNvPr id="764" name="TextBox 763"/>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89</xdr:row>
      <xdr:rowOff>66675</xdr:rowOff>
    </xdr:from>
    <xdr:ext cx="194454" cy="240740"/>
    <xdr:sp macro="" textlink="">
      <xdr:nvSpPr>
        <xdr:cNvPr id="765" name="TextBox 764"/>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92</xdr:row>
      <xdr:rowOff>304800</xdr:rowOff>
    </xdr:from>
    <xdr:to>
      <xdr:col>3</xdr:col>
      <xdr:colOff>609600</xdr:colOff>
      <xdr:row>93</xdr:row>
      <xdr:rowOff>2242</xdr:rowOff>
    </xdr:to>
    <xdr:sp macro="" textlink="">
      <xdr:nvSpPr>
        <xdr:cNvPr id="76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67"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6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99734</xdr:rowOff>
    </xdr:to>
    <xdr:sp macro="" textlink="">
      <xdr:nvSpPr>
        <xdr:cNvPr id="769"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7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438150</xdr:colOff>
      <xdr:row>92</xdr:row>
      <xdr:rowOff>257175</xdr:rowOff>
    </xdr:from>
    <xdr:to>
      <xdr:col>3</xdr:col>
      <xdr:colOff>609600</xdr:colOff>
      <xdr:row>93</xdr:row>
      <xdr:rowOff>2242</xdr:rowOff>
    </xdr:to>
    <xdr:sp macro="" textlink="">
      <xdr:nvSpPr>
        <xdr:cNvPr id="771"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72"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7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99734</xdr:rowOff>
    </xdr:to>
    <xdr:sp macro="" textlink="">
      <xdr:nvSpPr>
        <xdr:cNvPr id="774"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7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76"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777"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77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7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8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781"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782"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83"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784"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78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86"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787"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0</xdr:rowOff>
    </xdr:from>
    <xdr:to>
      <xdr:col>3</xdr:col>
      <xdr:colOff>609600</xdr:colOff>
      <xdr:row>92</xdr:row>
      <xdr:rowOff>95250</xdr:rowOff>
    </xdr:to>
    <xdr:sp macro="" textlink="">
      <xdr:nvSpPr>
        <xdr:cNvPr id="788" name="Text Box 8"/>
        <xdr:cNvSpPr txBox="1">
          <a:spLocks noChangeArrowheads="1"/>
        </xdr:cNvSpPr>
      </xdr:nvSpPr>
      <xdr:spPr bwMode="auto">
        <a:xfrm>
          <a:off x="1838325" y="828675"/>
          <a:ext cx="85725"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95250</xdr:rowOff>
    </xdr:to>
    <xdr:sp macro="" textlink="">
      <xdr:nvSpPr>
        <xdr:cNvPr id="789"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90" name="Text Box 1"/>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91"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95250</xdr:rowOff>
    </xdr:to>
    <xdr:sp macro="" textlink="">
      <xdr:nvSpPr>
        <xdr:cNvPr id="792"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79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79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9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9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9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79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799"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00"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801"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0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0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04"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0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0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07"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0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0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10"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1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1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13"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14"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15"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816"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17"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18"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819"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20"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2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22"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823"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2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2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26"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27"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828"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2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3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3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3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33"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34"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835"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3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3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38"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3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4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41"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4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84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844"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845"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4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4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4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4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5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86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7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0</xdr:rowOff>
    </xdr:from>
    <xdr:to>
      <xdr:col>3</xdr:col>
      <xdr:colOff>609600</xdr:colOff>
      <xdr:row>92</xdr:row>
      <xdr:rowOff>104775</xdr:rowOff>
    </xdr:to>
    <xdr:sp macro="" textlink="">
      <xdr:nvSpPr>
        <xdr:cNvPr id="871"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872"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73"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874"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75"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876"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877"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78"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79"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8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881"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882"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88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84"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85"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86"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87"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888"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889"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890"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891"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92"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893"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89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895"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896"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89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898"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89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0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0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0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0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904"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438150</xdr:colOff>
      <xdr:row>92</xdr:row>
      <xdr:rowOff>257175</xdr:rowOff>
    </xdr:from>
    <xdr:to>
      <xdr:col>3</xdr:col>
      <xdr:colOff>609600</xdr:colOff>
      <xdr:row>93</xdr:row>
      <xdr:rowOff>2242</xdr:rowOff>
    </xdr:to>
    <xdr:sp macro="" textlink="">
      <xdr:nvSpPr>
        <xdr:cNvPr id="905"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92</xdr:row>
      <xdr:rowOff>0</xdr:rowOff>
    </xdr:from>
    <xdr:to>
      <xdr:col>3</xdr:col>
      <xdr:colOff>609600</xdr:colOff>
      <xdr:row>92</xdr:row>
      <xdr:rowOff>104775</xdr:rowOff>
    </xdr:to>
    <xdr:sp macro="" textlink="">
      <xdr:nvSpPr>
        <xdr:cNvPr id="906"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90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908"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909"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910"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911"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1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913"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914"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915"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916"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917"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91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919"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920"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921"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922"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923"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92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925"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92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927"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28"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2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4"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5"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6"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7"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938"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oneCellAnchor>
    <xdr:from>
      <xdr:col>6</xdr:col>
      <xdr:colOff>66675</xdr:colOff>
      <xdr:row>89</xdr:row>
      <xdr:rowOff>66675</xdr:rowOff>
    </xdr:from>
    <xdr:ext cx="194454" cy="240740"/>
    <xdr:sp macro="" textlink="">
      <xdr:nvSpPr>
        <xdr:cNvPr id="939" name="TextBox 938"/>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89</xdr:row>
      <xdr:rowOff>0</xdr:rowOff>
    </xdr:from>
    <xdr:to>
      <xdr:col>3</xdr:col>
      <xdr:colOff>609600</xdr:colOff>
      <xdr:row>89</xdr:row>
      <xdr:rowOff>28575</xdr:rowOff>
    </xdr:to>
    <xdr:sp macro="" textlink="">
      <xdr:nvSpPr>
        <xdr:cNvPr id="940"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941"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942"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94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944"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945"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94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947"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948"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949"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613410</xdr:colOff>
      <xdr:row>89</xdr:row>
      <xdr:rowOff>7493</xdr:rowOff>
    </xdr:to>
    <xdr:sp macro="" textlink="">
      <xdr:nvSpPr>
        <xdr:cNvPr id="950"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951"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952"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953"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954"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955"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956"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957"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958"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95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960"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961"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962"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963"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96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965"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966"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967"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968"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969"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970"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0</xdr:colOff>
      <xdr:row>90</xdr:row>
      <xdr:rowOff>28575</xdr:rowOff>
    </xdr:to>
    <xdr:sp macro="" textlink="">
      <xdr:nvSpPr>
        <xdr:cNvPr id="971"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90</xdr:row>
      <xdr:rowOff>0</xdr:rowOff>
    </xdr:from>
    <xdr:to>
      <xdr:col>3</xdr:col>
      <xdr:colOff>609600</xdr:colOff>
      <xdr:row>90</xdr:row>
      <xdr:rowOff>9525</xdr:rowOff>
    </xdr:to>
    <xdr:sp macro="" textlink="">
      <xdr:nvSpPr>
        <xdr:cNvPr id="972"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90</xdr:row>
      <xdr:rowOff>0</xdr:rowOff>
    </xdr:from>
    <xdr:to>
      <xdr:col>3</xdr:col>
      <xdr:colOff>714375</xdr:colOff>
      <xdr:row>90</xdr:row>
      <xdr:rowOff>28575</xdr:rowOff>
    </xdr:to>
    <xdr:sp macro="" textlink="">
      <xdr:nvSpPr>
        <xdr:cNvPr id="973"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90</xdr:row>
      <xdr:rowOff>0</xdr:rowOff>
    </xdr:from>
    <xdr:to>
      <xdr:col>3</xdr:col>
      <xdr:colOff>523875</xdr:colOff>
      <xdr:row>90</xdr:row>
      <xdr:rowOff>0</xdr:rowOff>
    </xdr:to>
    <xdr:sp macro="" textlink="">
      <xdr:nvSpPr>
        <xdr:cNvPr id="974"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90</xdr:row>
      <xdr:rowOff>0</xdr:rowOff>
    </xdr:from>
    <xdr:to>
      <xdr:col>3</xdr:col>
      <xdr:colOff>613410</xdr:colOff>
      <xdr:row>90</xdr:row>
      <xdr:rowOff>7493</xdr:rowOff>
    </xdr:to>
    <xdr:sp macro="" textlink="">
      <xdr:nvSpPr>
        <xdr:cNvPr id="975"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90</xdr:row>
      <xdr:rowOff>0</xdr:rowOff>
    </xdr:from>
    <xdr:ext cx="194454" cy="240740"/>
    <xdr:sp macro="" textlink="">
      <xdr:nvSpPr>
        <xdr:cNvPr id="976" name="TextBox 975"/>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89</xdr:row>
      <xdr:rowOff>66675</xdr:rowOff>
    </xdr:from>
    <xdr:ext cx="194454" cy="240740"/>
    <xdr:sp macro="" textlink="">
      <xdr:nvSpPr>
        <xdr:cNvPr id="977" name="TextBox 976"/>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92</xdr:row>
      <xdr:rowOff>304800</xdr:rowOff>
    </xdr:from>
    <xdr:to>
      <xdr:col>3</xdr:col>
      <xdr:colOff>609600</xdr:colOff>
      <xdr:row>93</xdr:row>
      <xdr:rowOff>2242</xdr:rowOff>
    </xdr:to>
    <xdr:sp macro="" textlink="">
      <xdr:nvSpPr>
        <xdr:cNvPr id="97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79"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8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99734</xdr:rowOff>
    </xdr:to>
    <xdr:sp macro="" textlink="">
      <xdr:nvSpPr>
        <xdr:cNvPr id="981"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8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438150</xdr:colOff>
      <xdr:row>92</xdr:row>
      <xdr:rowOff>257175</xdr:rowOff>
    </xdr:from>
    <xdr:to>
      <xdr:col>3</xdr:col>
      <xdr:colOff>609600</xdr:colOff>
      <xdr:row>93</xdr:row>
      <xdr:rowOff>2242</xdr:rowOff>
    </xdr:to>
    <xdr:sp macro="" textlink="">
      <xdr:nvSpPr>
        <xdr:cNvPr id="983"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84" name="Text Box 29"/>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8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99734</xdr:rowOff>
    </xdr:to>
    <xdr:sp macro="" textlink="">
      <xdr:nvSpPr>
        <xdr:cNvPr id="986"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8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88"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989"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99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9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9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993"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994"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95"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996"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99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998"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999"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0</xdr:rowOff>
    </xdr:from>
    <xdr:to>
      <xdr:col>3</xdr:col>
      <xdr:colOff>609600</xdr:colOff>
      <xdr:row>92</xdr:row>
      <xdr:rowOff>95250</xdr:rowOff>
    </xdr:to>
    <xdr:sp macro="" textlink="">
      <xdr:nvSpPr>
        <xdr:cNvPr id="1000" name="Text Box 8"/>
        <xdr:cNvSpPr txBox="1">
          <a:spLocks noChangeArrowheads="1"/>
        </xdr:cNvSpPr>
      </xdr:nvSpPr>
      <xdr:spPr bwMode="auto">
        <a:xfrm>
          <a:off x="1838325" y="828675"/>
          <a:ext cx="85725"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95250</xdr:rowOff>
    </xdr:to>
    <xdr:sp macro="" textlink="">
      <xdr:nvSpPr>
        <xdr:cNvPr id="1001"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02" name="Text Box 1"/>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03"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95250</xdr:rowOff>
    </xdr:to>
    <xdr:sp macro="" textlink="">
      <xdr:nvSpPr>
        <xdr:cNvPr id="1004" name="Text Box 68"/>
        <xdr:cNvSpPr txBox="1">
          <a:spLocks noChangeArrowheads="1"/>
        </xdr:cNvSpPr>
      </xdr:nvSpPr>
      <xdr:spPr bwMode="auto">
        <a:xfrm>
          <a:off x="1762125" y="828675"/>
          <a:ext cx="161925" cy="9525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0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0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0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0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0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1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11"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1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1013"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1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15"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16"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1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1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19"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20"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2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22"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2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2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25"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26"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27"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1028"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2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30"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1031"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3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3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34"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1035"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36"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37"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38"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3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1040"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4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4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43"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44"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45"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46"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1047"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48"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49"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5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51"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52" name="Text Box 8"/>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53"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54"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055"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85725</xdr:rowOff>
    </xdr:to>
    <xdr:sp macro="" textlink="">
      <xdr:nvSpPr>
        <xdr:cNvPr id="1056" name="Text Box 22"/>
        <xdr:cNvSpPr txBox="1">
          <a:spLocks noChangeArrowheads="1"/>
        </xdr:cNvSpPr>
      </xdr:nvSpPr>
      <xdr:spPr bwMode="auto">
        <a:xfrm>
          <a:off x="1838325" y="857250"/>
          <a:ext cx="85725" cy="571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609600</xdr:colOff>
      <xdr:row>92</xdr:row>
      <xdr:rowOff>104775</xdr:rowOff>
    </xdr:to>
    <xdr:sp macro="" textlink="">
      <xdr:nvSpPr>
        <xdr:cNvPr id="1057" name="Text Box 68"/>
        <xdr:cNvSpPr txBox="1">
          <a:spLocks noChangeArrowheads="1"/>
        </xdr:cNvSpPr>
      </xdr:nvSpPr>
      <xdr:spPr bwMode="auto">
        <a:xfrm>
          <a:off x="1762125" y="828675"/>
          <a:ext cx="161925"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5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5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6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2"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3"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4"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5"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6"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7"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8"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79"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80"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609600</xdr:colOff>
      <xdr:row>93</xdr:row>
      <xdr:rowOff>2242</xdr:rowOff>
    </xdr:to>
    <xdr:sp macro="" textlink="">
      <xdr:nvSpPr>
        <xdr:cNvPr id="1081" name="Text Box 68"/>
        <xdr:cNvSpPr txBox="1">
          <a:spLocks noChangeArrowheads="1"/>
        </xdr:cNvSpPr>
      </xdr:nvSpPr>
      <xdr:spPr bwMode="auto">
        <a:xfrm>
          <a:off x="1762125" y="1133475"/>
          <a:ext cx="161925" cy="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82"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523875</xdr:colOff>
      <xdr:row>92</xdr:row>
      <xdr:rowOff>0</xdr:rowOff>
    </xdr:from>
    <xdr:to>
      <xdr:col>3</xdr:col>
      <xdr:colOff>609600</xdr:colOff>
      <xdr:row>92</xdr:row>
      <xdr:rowOff>104775</xdr:rowOff>
    </xdr:to>
    <xdr:sp macro="" textlink="">
      <xdr:nvSpPr>
        <xdr:cNvPr id="1083"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08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85"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1086"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87"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088"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08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90"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91"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092"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093"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094"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09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96"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97"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98"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099"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100"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101"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02"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0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104"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05"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0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107"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08"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09"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1110"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1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1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1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14"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15"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116"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438150</xdr:colOff>
      <xdr:row>92</xdr:row>
      <xdr:rowOff>257175</xdr:rowOff>
    </xdr:from>
    <xdr:to>
      <xdr:col>3</xdr:col>
      <xdr:colOff>609600</xdr:colOff>
      <xdr:row>93</xdr:row>
      <xdr:rowOff>2242</xdr:rowOff>
    </xdr:to>
    <xdr:sp macro="" textlink="">
      <xdr:nvSpPr>
        <xdr:cNvPr id="1117" name="Text Box 72"/>
        <xdr:cNvSpPr txBox="1">
          <a:spLocks noChangeArrowheads="1"/>
        </xdr:cNvSpPr>
      </xdr:nvSpPr>
      <xdr:spPr bwMode="auto">
        <a:xfrm>
          <a:off x="1752600" y="1085850"/>
          <a:ext cx="171450" cy="0"/>
        </a:xfrm>
        <a:prstGeom prst="rect">
          <a:avLst/>
        </a:prstGeom>
        <a:noFill/>
        <a:ln w="9525">
          <a:noFill/>
          <a:miter lim="800000"/>
          <a:headEnd/>
          <a:tailEnd/>
        </a:ln>
      </xdr:spPr>
    </xdr:sp>
    <xdr:clientData/>
  </xdr:twoCellAnchor>
  <xdr:twoCellAnchor editAs="oneCell">
    <xdr:from>
      <xdr:col>3</xdr:col>
      <xdr:colOff>523875</xdr:colOff>
      <xdr:row>92</xdr:row>
      <xdr:rowOff>0</xdr:rowOff>
    </xdr:from>
    <xdr:to>
      <xdr:col>3</xdr:col>
      <xdr:colOff>609600</xdr:colOff>
      <xdr:row>92</xdr:row>
      <xdr:rowOff>104775</xdr:rowOff>
    </xdr:to>
    <xdr:sp macro="" textlink="">
      <xdr:nvSpPr>
        <xdr:cNvPr id="1118" name="Text Box 55"/>
        <xdr:cNvSpPr txBox="1">
          <a:spLocks noChangeArrowheads="1"/>
        </xdr:cNvSpPr>
      </xdr:nvSpPr>
      <xdr:spPr bwMode="auto">
        <a:xfrm>
          <a:off x="1838325" y="828675"/>
          <a:ext cx="857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19"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120"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1121"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122" name="Text Box 22"/>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23"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24"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125"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523875</xdr:colOff>
      <xdr:row>92</xdr:row>
      <xdr:rowOff>28575</xdr:rowOff>
    </xdr:from>
    <xdr:to>
      <xdr:col>3</xdr:col>
      <xdr:colOff>609600</xdr:colOff>
      <xdr:row>92</xdr:row>
      <xdr:rowOff>95250</xdr:rowOff>
    </xdr:to>
    <xdr:sp macro="" textlink="">
      <xdr:nvSpPr>
        <xdr:cNvPr id="1126" name="Text Box 8"/>
        <xdr:cNvSpPr txBox="1">
          <a:spLocks noChangeArrowheads="1"/>
        </xdr:cNvSpPr>
      </xdr:nvSpPr>
      <xdr:spPr bwMode="auto">
        <a:xfrm>
          <a:off x="1838325" y="857250"/>
          <a:ext cx="85725" cy="666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127"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128"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29"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30"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714375</xdr:colOff>
      <xdr:row>92</xdr:row>
      <xdr:rowOff>114300</xdr:rowOff>
    </xdr:from>
    <xdr:to>
      <xdr:col>3</xdr:col>
      <xdr:colOff>714375</xdr:colOff>
      <xdr:row>92</xdr:row>
      <xdr:rowOff>114300</xdr:rowOff>
    </xdr:to>
    <xdr:sp macro="" textlink="">
      <xdr:nvSpPr>
        <xdr:cNvPr id="1131" name="Text Box 68"/>
        <xdr:cNvSpPr txBox="1">
          <a:spLocks noChangeArrowheads="1"/>
        </xdr:cNvSpPr>
      </xdr:nvSpPr>
      <xdr:spPr bwMode="auto">
        <a:xfrm>
          <a:off x="2028825" y="942975"/>
          <a:ext cx="0" cy="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132"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33"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3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35"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3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104775</xdr:rowOff>
    </xdr:to>
    <xdr:sp macro="" textlink="">
      <xdr:nvSpPr>
        <xdr:cNvPr id="1137" name="Text Box 68"/>
        <xdr:cNvSpPr txBox="1">
          <a:spLocks noChangeArrowheads="1"/>
        </xdr:cNvSpPr>
      </xdr:nvSpPr>
      <xdr:spPr bwMode="auto">
        <a:xfrm>
          <a:off x="1762125" y="82867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13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92</xdr:row>
      <xdr:rowOff>0</xdr:rowOff>
    </xdr:from>
    <xdr:to>
      <xdr:col>3</xdr:col>
      <xdr:colOff>600075</xdr:colOff>
      <xdr:row>92</xdr:row>
      <xdr:rowOff>95250</xdr:rowOff>
    </xdr:to>
    <xdr:sp macro="" textlink="">
      <xdr:nvSpPr>
        <xdr:cNvPr id="1139" name="Text Box 68"/>
        <xdr:cNvSpPr txBox="1">
          <a:spLocks noChangeArrowheads="1"/>
        </xdr:cNvSpPr>
      </xdr:nvSpPr>
      <xdr:spPr bwMode="auto">
        <a:xfrm>
          <a:off x="1762125" y="828675"/>
          <a:ext cx="152400" cy="9525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1"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2"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3"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4"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5"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6"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7"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8"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49"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447675</xdr:colOff>
      <xdr:row>92</xdr:row>
      <xdr:rowOff>304800</xdr:rowOff>
    </xdr:from>
    <xdr:to>
      <xdr:col>3</xdr:col>
      <xdr:colOff>600075</xdr:colOff>
      <xdr:row>93</xdr:row>
      <xdr:rowOff>2242</xdr:rowOff>
    </xdr:to>
    <xdr:sp macro="" textlink="">
      <xdr:nvSpPr>
        <xdr:cNvPr id="1150" name="Text Box 68"/>
        <xdr:cNvSpPr txBox="1">
          <a:spLocks noChangeArrowheads="1"/>
        </xdr:cNvSpPr>
      </xdr:nvSpPr>
      <xdr:spPr bwMode="auto">
        <a:xfrm>
          <a:off x="1762125" y="1133475"/>
          <a:ext cx="152400" cy="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51"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1152"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53"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5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55"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1156"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5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58"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1159"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1160"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613410</xdr:colOff>
      <xdr:row>89</xdr:row>
      <xdr:rowOff>7493</xdr:rowOff>
    </xdr:to>
    <xdr:sp macro="" textlink="">
      <xdr:nvSpPr>
        <xdr:cNvPr id="1161"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62"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1163"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64"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1165"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66"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6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68"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1169"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7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1171"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7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73"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74"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75"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76" name="Text Box 29"/>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1143</xdr:colOff>
      <xdr:row>89</xdr:row>
      <xdr:rowOff>26670</xdr:rowOff>
    </xdr:to>
    <xdr:sp macro="" textlink="">
      <xdr:nvSpPr>
        <xdr:cNvPr id="1177" name="Text Box 31"/>
        <xdr:cNvSpPr txBox="1">
          <a:spLocks noChangeArrowheads="1"/>
        </xdr:cNvSpPr>
      </xdr:nvSpPr>
      <xdr:spPr bwMode="auto">
        <a:xfrm>
          <a:off x="23336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78" name="Text Box 34"/>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7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80"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1181"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8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83"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1184" name="Text Box 11"/>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19050</xdr:rowOff>
    </xdr:to>
    <xdr:sp macro="" textlink="">
      <xdr:nvSpPr>
        <xdr:cNvPr id="1185" name="Text Box 63"/>
        <xdr:cNvSpPr txBox="1">
          <a:spLocks noChangeArrowheads="1"/>
        </xdr:cNvSpPr>
      </xdr:nvSpPr>
      <xdr:spPr bwMode="auto">
        <a:xfrm>
          <a:off x="1838325" y="0"/>
          <a:ext cx="85725" cy="19050"/>
        </a:xfrm>
        <a:prstGeom prst="rect">
          <a:avLst/>
        </a:prstGeom>
        <a:noFill/>
        <a:ln w="9525">
          <a:noFill/>
          <a:miter lim="800000"/>
          <a:headEnd/>
          <a:tailEnd/>
        </a:ln>
      </xdr:spPr>
    </xdr:sp>
    <xdr:clientData/>
  </xdr:twoCellAnchor>
  <xdr:twoCellAnchor editAs="oneCell">
    <xdr:from>
      <xdr:col>3</xdr:col>
      <xdr:colOff>438150</xdr:colOff>
      <xdr:row>89</xdr:row>
      <xdr:rowOff>0</xdr:rowOff>
    </xdr:from>
    <xdr:to>
      <xdr:col>3</xdr:col>
      <xdr:colOff>613410</xdr:colOff>
      <xdr:row>89</xdr:row>
      <xdr:rowOff>7493</xdr:rowOff>
    </xdr:to>
    <xdr:sp macro="" textlink="">
      <xdr:nvSpPr>
        <xdr:cNvPr id="1186" name="Text Box 72"/>
        <xdr:cNvSpPr txBox="1">
          <a:spLocks noChangeArrowheads="1"/>
        </xdr:cNvSpPr>
      </xdr:nvSpPr>
      <xdr:spPr bwMode="auto">
        <a:xfrm>
          <a:off x="17526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87"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1188"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89" name="Text Box 8"/>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1190" name="Text Box 11"/>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0</xdr:rowOff>
    </xdr:to>
    <xdr:sp macro="" textlink="">
      <xdr:nvSpPr>
        <xdr:cNvPr id="1191" name="Text Box 63"/>
        <xdr:cNvSpPr txBox="1">
          <a:spLocks noChangeArrowheads="1"/>
        </xdr:cNvSpPr>
      </xdr:nvSpPr>
      <xdr:spPr bwMode="auto">
        <a:xfrm>
          <a:off x="1838325" y="28575"/>
          <a:ext cx="85725" cy="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92"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93" name="Text Box 22"/>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28575</xdr:rowOff>
    </xdr:to>
    <xdr:sp macro="" textlink="">
      <xdr:nvSpPr>
        <xdr:cNvPr id="1194" name="Text Box 25"/>
        <xdr:cNvSpPr txBox="1">
          <a:spLocks noChangeArrowheads="1"/>
        </xdr:cNvSpPr>
      </xdr:nvSpPr>
      <xdr:spPr bwMode="auto">
        <a:xfrm>
          <a:off x="2333625" y="0"/>
          <a:ext cx="0"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95"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1019175</xdr:colOff>
      <xdr:row>89</xdr:row>
      <xdr:rowOff>0</xdr:rowOff>
    </xdr:from>
    <xdr:to>
      <xdr:col>4</xdr:col>
      <xdr:colOff>0</xdr:colOff>
      <xdr:row>89</xdr:row>
      <xdr:rowOff>19050</xdr:rowOff>
    </xdr:to>
    <xdr:sp macro="" textlink="">
      <xdr:nvSpPr>
        <xdr:cNvPr id="1196" name="Text Box 25"/>
        <xdr:cNvSpPr txBox="1">
          <a:spLocks noChangeArrowheads="1"/>
        </xdr:cNvSpPr>
      </xdr:nvSpPr>
      <xdr:spPr bwMode="auto">
        <a:xfrm>
          <a:off x="2333625" y="9525"/>
          <a:ext cx="0" cy="19050"/>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97"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523875</xdr:colOff>
      <xdr:row>89</xdr:row>
      <xdr:rowOff>0</xdr:rowOff>
    </xdr:from>
    <xdr:to>
      <xdr:col>3</xdr:col>
      <xdr:colOff>609600</xdr:colOff>
      <xdr:row>89</xdr:row>
      <xdr:rowOff>28575</xdr:rowOff>
    </xdr:to>
    <xdr:sp macro="" textlink="">
      <xdr:nvSpPr>
        <xdr:cNvPr id="1198" name="Text Box 8"/>
        <xdr:cNvSpPr txBox="1">
          <a:spLocks noChangeArrowheads="1"/>
        </xdr:cNvSpPr>
      </xdr:nvSpPr>
      <xdr:spPr bwMode="auto">
        <a:xfrm>
          <a:off x="1838325" y="0"/>
          <a:ext cx="857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199"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twoCellAnchor editAs="oneCell">
    <xdr:from>
      <xdr:col>3</xdr:col>
      <xdr:colOff>447675</xdr:colOff>
      <xdr:row>89</xdr:row>
      <xdr:rowOff>0</xdr:rowOff>
    </xdr:from>
    <xdr:to>
      <xdr:col>3</xdr:col>
      <xdr:colOff>609600</xdr:colOff>
      <xdr:row>89</xdr:row>
      <xdr:rowOff>28575</xdr:rowOff>
    </xdr:to>
    <xdr:sp macro="" textlink="">
      <xdr:nvSpPr>
        <xdr:cNvPr id="1200" name="Text Box 68"/>
        <xdr:cNvSpPr txBox="1">
          <a:spLocks noChangeArrowheads="1"/>
        </xdr:cNvSpPr>
      </xdr:nvSpPr>
      <xdr:spPr bwMode="auto">
        <a:xfrm>
          <a:off x="1762125" y="0"/>
          <a:ext cx="161925" cy="28575"/>
        </a:xfrm>
        <a:prstGeom prst="rect">
          <a:avLst/>
        </a:prstGeom>
        <a:noFill/>
        <a:ln w="9525">
          <a:noFill/>
          <a:miter lim="800000"/>
          <a:headEnd/>
          <a:tailEnd/>
        </a:ln>
      </xdr:spPr>
    </xdr:sp>
    <xdr:clientData/>
  </xdr:twoCellAnchor>
  <xdr:oneCellAnchor>
    <xdr:from>
      <xdr:col>6</xdr:col>
      <xdr:colOff>66675</xdr:colOff>
      <xdr:row>89</xdr:row>
      <xdr:rowOff>66675</xdr:rowOff>
    </xdr:from>
    <xdr:ext cx="194454" cy="240740"/>
    <xdr:sp macro="" textlink="">
      <xdr:nvSpPr>
        <xdr:cNvPr id="1201" name="TextBox 1200"/>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90</xdr:row>
      <xdr:rowOff>0</xdr:rowOff>
    </xdr:from>
    <xdr:to>
      <xdr:col>4</xdr:col>
      <xdr:colOff>1143</xdr:colOff>
      <xdr:row>90</xdr:row>
      <xdr:rowOff>29718</xdr:rowOff>
    </xdr:to>
    <xdr:sp macro="" textlink="">
      <xdr:nvSpPr>
        <xdr:cNvPr id="1202"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1203"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1204"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1205"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1206"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1207"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0</xdr:colOff>
      <xdr:row>90</xdr:row>
      <xdr:rowOff>28575</xdr:rowOff>
    </xdr:to>
    <xdr:sp macro="" textlink="">
      <xdr:nvSpPr>
        <xdr:cNvPr id="1208"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90</xdr:row>
      <xdr:rowOff>0</xdr:rowOff>
    </xdr:from>
    <xdr:to>
      <xdr:col>3</xdr:col>
      <xdr:colOff>609600</xdr:colOff>
      <xdr:row>90</xdr:row>
      <xdr:rowOff>9525</xdr:rowOff>
    </xdr:to>
    <xdr:sp macro="" textlink="">
      <xdr:nvSpPr>
        <xdr:cNvPr id="1209"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90</xdr:row>
      <xdr:rowOff>0</xdr:rowOff>
    </xdr:from>
    <xdr:to>
      <xdr:col>3</xdr:col>
      <xdr:colOff>714375</xdr:colOff>
      <xdr:row>90</xdr:row>
      <xdr:rowOff>28575</xdr:rowOff>
    </xdr:to>
    <xdr:sp macro="" textlink="">
      <xdr:nvSpPr>
        <xdr:cNvPr id="1210"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90</xdr:row>
      <xdr:rowOff>0</xdr:rowOff>
    </xdr:from>
    <xdr:to>
      <xdr:col>3</xdr:col>
      <xdr:colOff>523875</xdr:colOff>
      <xdr:row>90</xdr:row>
      <xdr:rowOff>0</xdr:rowOff>
    </xdr:to>
    <xdr:sp macro="" textlink="">
      <xdr:nvSpPr>
        <xdr:cNvPr id="1211"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90</xdr:row>
      <xdr:rowOff>0</xdr:rowOff>
    </xdr:from>
    <xdr:to>
      <xdr:col>3</xdr:col>
      <xdr:colOff>613410</xdr:colOff>
      <xdr:row>90</xdr:row>
      <xdr:rowOff>7493</xdr:rowOff>
    </xdr:to>
    <xdr:sp macro="" textlink="">
      <xdr:nvSpPr>
        <xdr:cNvPr id="1212"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90</xdr:row>
      <xdr:rowOff>0</xdr:rowOff>
    </xdr:from>
    <xdr:ext cx="194454" cy="240740"/>
    <xdr:sp macro="" textlink="">
      <xdr:nvSpPr>
        <xdr:cNvPr id="1213" name="TextBox 1212"/>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89</xdr:row>
      <xdr:rowOff>66675</xdr:rowOff>
    </xdr:from>
    <xdr:ext cx="194454" cy="240740"/>
    <xdr:sp macro="" textlink="">
      <xdr:nvSpPr>
        <xdr:cNvPr id="1214" name="TextBox 1213"/>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90</xdr:row>
      <xdr:rowOff>304800</xdr:rowOff>
    </xdr:from>
    <xdr:to>
      <xdr:col>3</xdr:col>
      <xdr:colOff>609600</xdr:colOff>
      <xdr:row>91</xdr:row>
      <xdr:rowOff>99734</xdr:rowOff>
    </xdr:to>
    <xdr:sp macro="" textlink="">
      <xdr:nvSpPr>
        <xdr:cNvPr id="1215"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99734</xdr:rowOff>
    </xdr:to>
    <xdr:sp macro="" textlink="">
      <xdr:nvSpPr>
        <xdr:cNvPr id="1216"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17"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18"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1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20"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2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2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2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24"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25"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2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27"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2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29"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0"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1"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2"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3"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34"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36"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39"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oneCellAnchor>
    <xdr:from>
      <xdr:col>6</xdr:col>
      <xdr:colOff>66675</xdr:colOff>
      <xdr:row>89</xdr:row>
      <xdr:rowOff>66675</xdr:rowOff>
    </xdr:from>
    <xdr:ext cx="194454" cy="240740"/>
    <xdr:sp macro="" textlink="">
      <xdr:nvSpPr>
        <xdr:cNvPr id="1240" name="TextBox 1239"/>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90</xdr:row>
      <xdr:rowOff>0</xdr:rowOff>
    </xdr:from>
    <xdr:to>
      <xdr:col>4</xdr:col>
      <xdr:colOff>1143</xdr:colOff>
      <xdr:row>90</xdr:row>
      <xdr:rowOff>29718</xdr:rowOff>
    </xdr:to>
    <xdr:sp macro="" textlink="">
      <xdr:nvSpPr>
        <xdr:cNvPr id="1241" name="Text Box 44"/>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1242" name="Text Box 50"/>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1243" name="Text Box 52"/>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1244" name="Text Box 55"/>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1143</xdr:colOff>
      <xdr:row>90</xdr:row>
      <xdr:rowOff>29718</xdr:rowOff>
    </xdr:to>
    <xdr:sp macro="" textlink="">
      <xdr:nvSpPr>
        <xdr:cNvPr id="1245" name="Text Box 39"/>
        <xdr:cNvSpPr txBox="1">
          <a:spLocks noChangeArrowheads="1"/>
        </xdr:cNvSpPr>
      </xdr:nvSpPr>
      <xdr:spPr bwMode="auto">
        <a:xfrm>
          <a:off x="2333625"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90</xdr:row>
      <xdr:rowOff>0</xdr:rowOff>
    </xdr:from>
    <xdr:to>
      <xdr:col>3</xdr:col>
      <xdr:colOff>609600</xdr:colOff>
      <xdr:row>90</xdr:row>
      <xdr:rowOff>28575</xdr:rowOff>
    </xdr:to>
    <xdr:sp macro="" textlink="">
      <xdr:nvSpPr>
        <xdr:cNvPr id="1246" name="Text Box 8"/>
        <xdr:cNvSpPr txBox="1">
          <a:spLocks noChangeArrowheads="1"/>
        </xdr:cNvSpPr>
      </xdr:nvSpPr>
      <xdr:spPr bwMode="auto">
        <a:xfrm>
          <a:off x="1838325" y="419100"/>
          <a:ext cx="85725" cy="28575"/>
        </a:xfrm>
        <a:prstGeom prst="rect">
          <a:avLst/>
        </a:prstGeom>
        <a:noFill/>
        <a:ln w="9525">
          <a:noFill/>
          <a:miter lim="800000"/>
          <a:headEnd/>
          <a:tailEnd/>
        </a:ln>
      </xdr:spPr>
    </xdr:sp>
    <xdr:clientData/>
  </xdr:twoCellAnchor>
  <xdr:twoCellAnchor editAs="oneCell">
    <xdr:from>
      <xdr:col>3</xdr:col>
      <xdr:colOff>1019175</xdr:colOff>
      <xdr:row>90</xdr:row>
      <xdr:rowOff>0</xdr:rowOff>
    </xdr:from>
    <xdr:to>
      <xdr:col>4</xdr:col>
      <xdr:colOff>0</xdr:colOff>
      <xdr:row>90</xdr:row>
      <xdr:rowOff>28575</xdr:rowOff>
    </xdr:to>
    <xdr:sp macro="" textlink="">
      <xdr:nvSpPr>
        <xdr:cNvPr id="1247" name="Text Box 11"/>
        <xdr:cNvSpPr txBox="1">
          <a:spLocks noChangeArrowheads="1"/>
        </xdr:cNvSpPr>
      </xdr:nvSpPr>
      <xdr:spPr bwMode="auto">
        <a:xfrm>
          <a:off x="2333625" y="419100"/>
          <a:ext cx="0" cy="28575"/>
        </a:xfrm>
        <a:prstGeom prst="rect">
          <a:avLst/>
        </a:prstGeom>
        <a:noFill/>
        <a:ln w="9525">
          <a:noFill/>
          <a:miter lim="800000"/>
          <a:headEnd/>
          <a:tailEnd/>
        </a:ln>
      </xdr:spPr>
    </xdr:sp>
    <xdr:clientData/>
  </xdr:twoCellAnchor>
  <xdr:twoCellAnchor editAs="oneCell">
    <xdr:from>
      <xdr:col>3</xdr:col>
      <xdr:colOff>523875</xdr:colOff>
      <xdr:row>90</xdr:row>
      <xdr:rowOff>0</xdr:rowOff>
    </xdr:from>
    <xdr:to>
      <xdr:col>3</xdr:col>
      <xdr:colOff>609600</xdr:colOff>
      <xdr:row>90</xdr:row>
      <xdr:rowOff>9525</xdr:rowOff>
    </xdr:to>
    <xdr:sp macro="" textlink="">
      <xdr:nvSpPr>
        <xdr:cNvPr id="1248" name="Text Box 63"/>
        <xdr:cNvSpPr txBox="1">
          <a:spLocks noChangeArrowheads="1"/>
        </xdr:cNvSpPr>
      </xdr:nvSpPr>
      <xdr:spPr bwMode="auto">
        <a:xfrm>
          <a:off x="1838325" y="419100"/>
          <a:ext cx="85725" cy="9525"/>
        </a:xfrm>
        <a:prstGeom prst="rect">
          <a:avLst/>
        </a:prstGeom>
        <a:noFill/>
        <a:ln w="9525">
          <a:noFill/>
          <a:miter lim="800000"/>
          <a:headEnd/>
          <a:tailEnd/>
        </a:ln>
      </xdr:spPr>
    </xdr:sp>
    <xdr:clientData/>
  </xdr:twoCellAnchor>
  <xdr:twoCellAnchor editAs="oneCell">
    <xdr:from>
      <xdr:col>3</xdr:col>
      <xdr:colOff>714375</xdr:colOff>
      <xdr:row>90</xdr:row>
      <xdr:rowOff>0</xdr:rowOff>
    </xdr:from>
    <xdr:to>
      <xdr:col>3</xdr:col>
      <xdr:colOff>714375</xdr:colOff>
      <xdr:row>90</xdr:row>
      <xdr:rowOff>28575</xdr:rowOff>
    </xdr:to>
    <xdr:sp macro="" textlink="">
      <xdr:nvSpPr>
        <xdr:cNvPr id="1249" name="Text Box 68"/>
        <xdr:cNvSpPr txBox="1">
          <a:spLocks noChangeArrowheads="1"/>
        </xdr:cNvSpPr>
      </xdr:nvSpPr>
      <xdr:spPr bwMode="auto">
        <a:xfrm>
          <a:off x="2028825" y="419100"/>
          <a:ext cx="0" cy="28575"/>
        </a:xfrm>
        <a:prstGeom prst="rect">
          <a:avLst/>
        </a:prstGeom>
        <a:noFill/>
        <a:ln w="9525">
          <a:noFill/>
          <a:miter lim="800000"/>
          <a:headEnd/>
          <a:tailEnd/>
        </a:ln>
      </xdr:spPr>
    </xdr:sp>
    <xdr:clientData/>
  </xdr:twoCellAnchor>
  <xdr:twoCellAnchor editAs="oneCell">
    <xdr:from>
      <xdr:col>3</xdr:col>
      <xdr:colOff>123825</xdr:colOff>
      <xdr:row>90</xdr:row>
      <xdr:rowOff>0</xdr:rowOff>
    </xdr:from>
    <xdr:to>
      <xdr:col>3</xdr:col>
      <xdr:colOff>523875</xdr:colOff>
      <xdr:row>90</xdr:row>
      <xdr:rowOff>0</xdr:rowOff>
    </xdr:to>
    <xdr:sp macro="" textlink="">
      <xdr:nvSpPr>
        <xdr:cNvPr id="1250" name="Text Box 71"/>
        <xdr:cNvSpPr txBox="1">
          <a:spLocks noChangeArrowheads="1"/>
        </xdr:cNvSpPr>
      </xdr:nvSpPr>
      <xdr:spPr bwMode="auto">
        <a:xfrm rot="313457">
          <a:off x="1438275" y="419100"/>
          <a:ext cx="400050" cy="0"/>
        </a:xfrm>
        <a:prstGeom prst="rect">
          <a:avLst/>
        </a:prstGeom>
        <a:noFill/>
        <a:ln w="9525">
          <a:noFill/>
          <a:miter lim="800000"/>
          <a:headEnd/>
          <a:tailEnd/>
        </a:ln>
      </xdr:spPr>
    </xdr:sp>
    <xdr:clientData/>
  </xdr:twoCellAnchor>
  <xdr:twoCellAnchor editAs="oneCell">
    <xdr:from>
      <xdr:col>3</xdr:col>
      <xdr:colOff>438150</xdr:colOff>
      <xdr:row>90</xdr:row>
      <xdr:rowOff>0</xdr:rowOff>
    </xdr:from>
    <xdr:to>
      <xdr:col>3</xdr:col>
      <xdr:colOff>613410</xdr:colOff>
      <xdr:row>90</xdr:row>
      <xdr:rowOff>7493</xdr:rowOff>
    </xdr:to>
    <xdr:sp macro="" textlink="">
      <xdr:nvSpPr>
        <xdr:cNvPr id="1251" name="Text Box 72"/>
        <xdr:cNvSpPr txBox="1">
          <a:spLocks noChangeArrowheads="1"/>
        </xdr:cNvSpPr>
      </xdr:nvSpPr>
      <xdr:spPr bwMode="auto">
        <a:xfrm>
          <a:off x="1752600"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90</xdr:row>
      <xdr:rowOff>0</xdr:rowOff>
    </xdr:from>
    <xdr:ext cx="194454" cy="240740"/>
    <xdr:sp macro="" textlink="">
      <xdr:nvSpPr>
        <xdr:cNvPr id="1252" name="TextBox 1251"/>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89</xdr:row>
      <xdr:rowOff>66675</xdr:rowOff>
    </xdr:from>
    <xdr:ext cx="194454" cy="240740"/>
    <xdr:sp macro="" textlink="">
      <xdr:nvSpPr>
        <xdr:cNvPr id="1253" name="TextBox 1252"/>
        <xdr:cNvSpPr txBox="1"/>
      </xdr:nvSpPr>
      <xdr:spPr>
        <a:xfrm>
          <a:off x="3848100"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90</xdr:row>
      <xdr:rowOff>304800</xdr:rowOff>
    </xdr:from>
    <xdr:to>
      <xdr:col>3</xdr:col>
      <xdr:colOff>609600</xdr:colOff>
      <xdr:row>91</xdr:row>
      <xdr:rowOff>99734</xdr:rowOff>
    </xdr:to>
    <xdr:sp macro="" textlink="">
      <xdr:nvSpPr>
        <xdr:cNvPr id="1254"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99734</xdr:rowOff>
    </xdr:to>
    <xdr:sp macro="" textlink="">
      <xdr:nvSpPr>
        <xdr:cNvPr id="1255" name="Text Box 68"/>
        <xdr:cNvSpPr txBox="1">
          <a:spLocks noChangeArrowheads="1"/>
        </xdr:cNvSpPr>
      </xdr:nvSpPr>
      <xdr:spPr bwMode="auto">
        <a:xfrm>
          <a:off x="1762125" y="619125"/>
          <a:ext cx="161925"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56"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57"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58"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59"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60"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61"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62"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63"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609600</xdr:colOff>
      <xdr:row>91</xdr:row>
      <xdr:rowOff>109259</xdr:rowOff>
    </xdr:to>
    <xdr:sp macro="" textlink="">
      <xdr:nvSpPr>
        <xdr:cNvPr id="1264" name="Text Box 68"/>
        <xdr:cNvSpPr txBox="1">
          <a:spLocks noChangeArrowheads="1"/>
        </xdr:cNvSpPr>
      </xdr:nvSpPr>
      <xdr:spPr bwMode="auto">
        <a:xfrm>
          <a:off x="1762125" y="619125"/>
          <a:ext cx="161925"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65"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66"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6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68"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69"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70"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71"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72"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73"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74"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99734</xdr:rowOff>
    </xdr:to>
    <xdr:sp macro="" textlink="">
      <xdr:nvSpPr>
        <xdr:cNvPr id="1275" name="Text Box 68"/>
        <xdr:cNvSpPr txBox="1">
          <a:spLocks noChangeArrowheads="1"/>
        </xdr:cNvSpPr>
      </xdr:nvSpPr>
      <xdr:spPr bwMode="auto">
        <a:xfrm>
          <a:off x="1762125" y="619125"/>
          <a:ext cx="152400" cy="95250"/>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76"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77"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editAs="oneCell">
    <xdr:from>
      <xdr:col>3</xdr:col>
      <xdr:colOff>447675</xdr:colOff>
      <xdr:row>90</xdr:row>
      <xdr:rowOff>304800</xdr:rowOff>
    </xdr:from>
    <xdr:to>
      <xdr:col>3</xdr:col>
      <xdr:colOff>600075</xdr:colOff>
      <xdr:row>91</xdr:row>
      <xdr:rowOff>109259</xdr:rowOff>
    </xdr:to>
    <xdr:sp macro="" textlink="">
      <xdr:nvSpPr>
        <xdr:cNvPr id="1278" name="Text Box 68"/>
        <xdr:cNvSpPr txBox="1">
          <a:spLocks noChangeArrowheads="1"/>
        </xdr:cNvSpPr>
      </xdr:nvSpPr>
      <xdr:spPr bwMode="auto">
        <a:xfrm>
          <a:off x="1762125" y="619125"/>
          <a:ext cx="152400" cy="104775"/>
        </a:xfrm>
        <a:prstGeom prst="rect">
          <a:avLst/>
        </a:prstGeom>
        <a:noFill/>
        <a:ln w="9525">
          <a:noFill/>
          <a:miter lim="800000"/>
          <a:headEnd/>
          <a:tailEnd/>
        </a:ln>
      </xdr:spPr>
    </xdr:sp>
    <xdr:clientData/>
  </xdr:twoCellAnchor>
  <xdr:twoCellAnchor>
    <xdr:from>
      <xdr:col>3</xdr:col>
      <xdr:colOff>152400</xdr:colOff>
      <xdr:row>95</xdr:row>
      <xdr:rowOff>133350</xdr:rowOff>
    </xdr:from>
    <xdr:to>
      <xdr:col>3</xdr:col>
      <xdr:colOff>800100</xdr:colOff>
      <xdr:row>95</xdr:row>
      <xdr:rowOff>134938</xdr:rowOff>
    </xdr:to>
    <xdr:cxnSp macro="">
      <xdr:nvCxnSpPr>
        <xdr:cNvPr id="1281" name="Straight Connector 1280"/>
        <xdr:cNvCxnSpPr/>
      </xdr:nvCxnSpPr>
      <xdr:spPr>
        <a:xfrm>
          <a:off x="2562225" y="24698325"/>
          <a:ext cx="64770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96</xdr:row>
      <xdr:rowOff>133350</xdr:rowOff>
    </xdr:from>
    <xdr:to>
      <xdr:col>3</xdr:col>
      <xdr:colOff>819150</xdr:colOff>
      <xdr:row>96</xdr:row>
      <xdr:rowOff>134938</xdr:rowOff>
    </xdr:to>
    <xdr:cxnSp macro="">
      <xdr:nvCxnSpPr>
        <xdr:cNvPr id="1282" name="Straight Connector 1281"/>
        <xdr:cNvCxnSpPr/>
      </xdr:nvCxnSpPr>
      <xdr:spPr>
        <a:xfrm>
          <a:off x="2581275" y="24945975"/>
          <a:ext cx="64770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97</xdr:row>
      <xdr:rowOff>152400</xdr:rowOff>
    </xdr:from>
    <xdr:to>
      <xdr:col>3</xdr:col>
      <xdr:colOff>723900</xdr:colOff>
      <xdr:row>97</xdr:row>
      <xdr:rowOff>153988</xdr:rowOff>
    </xdr:to>
    <xdr:cxnSp macro="">
      <xdr:nvCxnSpPr>
        <xdr:cNvPr id="1283" name="Straight Connector 1282"/>
        <xdr:cNvCxnSpPr/>
      </xdr:nvCxnSpPr>
      <xdr:spPr>
        <a:xfrm>
          <a:off x="2524125" y="25203150"/>
          <a:ext cx="60960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227808</xdr:colOff>
      <xdr:row>98</xdr:row>
      <xdr:rowOff>86519</xdr:rowOff>
    </xdr:from>
    <xdr:to>
      <xdr:col>3</xdr:col>
      <xdr:colOff>229396</xdr:colOff>
      <xdr:row>98</xdr:row>
      <xdr:rowOff>210344</xdr:rowOff>
    </xdr:to>
    <xdr:cxnSp macro="">
      <xdr:nvCxnSpPr>
        <xdr:cNvPr id="1284" name="Straight Connector 1283"/>
        <xdr:cNvCxnSpPr/>
      </xdr:nvCxnSpPr>
      <xdr:spPr>
        <a:xfrm rot="5400000" flipH="1" flipV="1">
          <a:off x="1481139" y="2767013"/>
          <a:ext cx="123825"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98</xdr:row>
      <xdr:rowOff>95250</xdr:rowOff>
    </xdr:from>
    <xdr:to>
      <xdr:col>3</xdr:col>
      <xdr:colOff>581025</xdr:colOff>
      <xdr:row>98</xdr:row>
      <xdr:rowOff>96838</xdr:rowOff>
    </xdr:to>
    <xdr:cxnSp macro="">
      <xdr:nvCxnSpPr>
        <xdr:cNvPr id="1285" name="Straight Connector 1284"/>
        <xdr:cNvCxnSpPr/>
      </xdr:nvCxnSpPr>
      <xdr:spPr>
        <a:xfrm>
          <a:off x="1552575" y="2714625"/>
          <a:ext cx="34290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523875</xdr:colOff>
      <xdr:row>36</xdr:row>
      <xdr:rowOff>0</xdr:rowOff>
    </xdr:from>
    <xdr:to>
      <xdr:col>3</xdr:col>
      <xdr:colOff>609600</xdr:colOff>
      <xdr:row>36</xdr:row>
      <xdr:rowOff>28575</xdr:rowOff>
    </xdr:to>
    <xdr:sp macro="" textlink="">
      <xdr:nvSpPr>
        <xdr:cNvPr id="2"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3"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4"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6"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7"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8"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9"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10"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605409</xdr:colOff>
      <xdr:row>36</xdr:row>
      <xdr:rowOff>7493</xdr:rowOff>
    </xdr:to>
    <xdr:sp macro="" textlink="">
      <xdr:nvSpPr>
        <xdr:cNvPr id="11" name="Text Box 72"/>
        <xdr:cNvSpPr txBox="1">
          <a:spLocks noChangeArrowheads="1"/>
        </xdr:cNvSpPr>
      </xdr:nvSpPr>
      <xdr:spPr bwMode="auto">
        <a:xfrm>
          <a:off x="1895475"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12"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13"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14"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15"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16"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17"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18" name="Text Box 25"/>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19"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20"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21"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22"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23"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24"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25"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26"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27"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28"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29"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30"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31"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605409</xdr:colOff>
      <xdr:row>36</xdr:row>
      <xdr:rowOff>7493</xdr:rowOff>
    </xdr:to>
    <xdr:sp macro="" textlink="">
      <xdr:nvSpPr>
        <xdr:cNvPr id="32" name="Text Box 72"/>
        <xdr:cNvSpPr txBox="1">
          <a:spLocks noChangeArrowheads="1"/>
        </xdr:cNvSpPr>
      </xdr:nvSpPr>
      <xdr:spPr bwMode="auto">
        <a:xfrm>
          <a:off x="1895475"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33"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34"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35"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6"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37"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38"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39" name="Text Box 25"/>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40"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41"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42"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610743</xdr:colOff>
      <xdr:row>36</xdr:row>
      <xdr:rowOff>28575</xdr:rowOff>
    </xdr:to>
    <xdr:sp macro="" textlink="">
      <xdr:nvSpPr>
        <xdr:cNvPr id="43" name="Text Box 68"/>
        <xdr:cNvSpPr txBox="1">
          <a:spLocks noChangeArrowheads="1"/>
        </xdr:cNvSpPr>
      </xdr:nvSpPr>
      <xdr:spPr bwMode="auto">
        <a:xfrm>
          <a:off x="1905000" y="0"/>
          <a:ext cx="163068"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44"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45"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46"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47"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48"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49"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0"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1"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52"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53" name="Text Box 72"/>
        <xdr:cNvSpPr txBox="1">
          <a:spLocks noChangeArrowheads="1"/>
        </xdr:cNvSpPr>
      </xdr:nvSpPr>
      <xdr:spPr bwMode="auto">
        <a:xfrm>
          <a:off x="1895475"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4"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5"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6"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7"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8"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9"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60" name="Text Box 25"/>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61"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62"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63"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64"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65"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66"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67"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68"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69"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70"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71"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72"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73"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74" name="Text Box 72"/>
        <xdr:cNvSpPr txBox="1">
          <a:spLocks noChangeArrowheads="1"/>
        </xdr:cNvSpPr>
      </xdr:nvSpPr>
      <xdr:spPr bwMode="auto">
        <a:xfrm>
          <a:off x="1895475"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75"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76" name="Text Box 11"/>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77"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78"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79"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80"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81" name="Text Box 25"/>
        <xdr:cNvSpPr txBox="1">
          <a:spLocks noChangeArrowheads="1"/>
        </xdr:cNvSpPr>
      </xdr:nvSpPr>
      <xdr:spPr bwMode="auto">
        <a:xfrm>
          <a:off x="2476500" y="0"/>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82"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83"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84"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85"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oneCellAnchor>
    <xdr:from>
      <xdr:col>6</xdr:col>
      <xdr:colOff>66675</xdr:colOff>
      <xdr:row>36</xdr:row>
      <xdr:rowOff>0</xdr:rowOff>
    </xdr:from>
    <xdr:ext cx="194454" cy="240740"/>
    <xdr:sp macro="" textlink="">
      <xdr:nvSpPr>
        <xdr:cNvPr id="86" name="TextBox 85"/>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36</xdr:row>
      <xdr:rowOff>0</xdr:rowOff>
    </xdr:from>
    <xdr:to>
      <xdr:col>3</xdr:col>
      <xdr:colOff>609600</xdr:colOff>
      <xdr:row>36</xdr:row>
      <xdr:rowOff>28575</xdr:rowOff>
    </xdr:to>
    <xdr:sp macro="" textlink="">
      <xdr:nvSpPr>
        <xdr:cNvPr id="87"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88"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89" name="Text Box 34"/>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90"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91"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92"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93"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94"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95"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96"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97" name="Text Box 72"/>
        <xdr:cNvSpPr txBox="1">
          <a:spLocks noChangeArrowheads="1"/>
        </xdr:cNvSpPr>
      </xdr:nvSpPr>
      <xdr:spPr bwMode="auto">
        <a:xfrm>
          <a:off x="1895475"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98"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99"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100"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101"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102" name="Text Box 63"/>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103"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104"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105"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106"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107" name="Text Box 25"/>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108"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109"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110"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111"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112" name="Text Box 44"/>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113" name="Text Box 50"/>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114" name="Text Box 52"/>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115" name="Text Box 55"/>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116" name="Text Box 39"/>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117" name="Text Box 8"/>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118" name="Text Box 11"/>
        <xdr:cNvSpPr txBox="1">
          <a:spLocks noChangeArrowheads="1"/>
        </xdr:cNvSpPr>
      </xdr:nvSpPr>
      <xdr:spPr bwMode="auto">
        <a:xfrm>
          <a:off x="2476500" y="41910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9525</xdr:rowOff>
    </xdr:to>
    <xdr:sp macro="" textlink="">
      <xdr:nvSpPr>
        <xdr:cNvPr id="119" name="Text Box 63"/>
        <xdr:cNvSpPr txBox="1">
          <a:spLocks noChangeArrowheads="1"/>
        </xdr:cNvSpPr>
      </xdr:nvSpPr>
      <xdr:spPr bwMode="auto">
        <a:xfrm>
          <a:off x="1981200" y="419100"/>
          <a:ext cx="85725" cy="9525"/>
        </a:xfrm>
        <a:prstGeom prst="rect">
          <a:avLst/>
        </a:prstGeom>
        <a:noFill/>
        <a:ln w="9525">
          <a:noFill/>
          <a:miter lim="800000"/>
          <a:headEnd/>
          <a:tailEnd/>
        </a:ln>
      </xdr:spPr>
    </xdr:sp>
    <xdr:clientData/>
  </xdr:twoCellAnchor>
  <xdr:twoCellAnchor editAs="oneCell">
    <xdr:from>
      <xdr:col>3</xdr:col>
      <xdr:colOff>714375</xdr:colOff>
      <xdr:row>36</xdr:row>
      <xdr:rowOff>0</xdr:rowOff>
    </xdr:from>
    <xdr:to>
      <xdr:col>3</xdr:col>
      <xdr:colOff>714375</xdr:colOff>
      <xdr:row>36</xdr:row>
      <xdr:rowOff>28575</xdr:rowOff>
    </xdr:to>
    <xdr:sp macro="" textlink="">
      <xdr:nvSpPr>
        <xdr:cNvPr id="120" name="Text Box 68"/>
        <xdr:cNvSpPr txBox="1">
          <a:spLocks noChangeArrowheads="1"/>
        </xdr:cNvSpPr>
      </xdr:nvSpPr>
      <xdr:spPr bwMode="auto">
        <a:xfrm>
          <a:off x="2171700" y="419100"/>
          <a:ext cx="0" cy="28575"/>
        </a:xfrm>
        <a:prstGeom prst="rect">
          <a:avLst/>
        </a:prstGeom>
        <a:noFill/>
        <a:ln w="9525">
          <a:noFill/>
          <a:miter lim="800000"/>
          <a:headEnd/>
          <a:tailEnd/>
        </a:ln>
      </xdr:spPr>
    </xdr:sp>
    <xdr:clientData/>
  </xdr:twoCellAnchor>
  <xdr:twoCellAnchor editAs="oneCell">
    <xdr:from>
      <xdr:col>3</xdr:col>
      <xdr:colOff>123825</xdr:colOff>
      <xdr:row>36</xdr:row>
      <xdr:rowOff>0</xdr:rowOff>
    </xdr:from>
    <xdr:to>
      <xdr:col>3</xdr:col>
      <xdr:colOff>523875</xdr:colOff>
      <xdr:row>36</xdr:row>
      <xdr:rowOff>0</xdr:rowOff>
    </xdr:to>
    <xdr:sp macro="" textlink="">
      <xdr:nvSpPr>
        <xdr:cNvPr id="121" name="Text Box 71"/>
        <xdr:cNvSpPr txBox="1">
          <a:spLocks noChangeArrowheads="1"/>
        </xdr:cNvSpPr>
      </xdr:nvSpPr>
      <xdr:spPr bwMode="auto">
        <a:xfrm rot="313457">
          <a:off x="1581150" y="419100"/>
          <a:ext cx="400050" cy="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122" name="Text Box 72"/>
        <xdr:cNvSpPr txBox="1">
          <a:spLocks noChangeArrowheads="1"/>
        </xdr:cNvSpPr>
      </xdr:nvSpPr>
      <xdr:spPr bwMode="auto">
        <a:xfrm>
          <a:off x="1895475"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36</xdr:row>
      <xdr:rowOff>0</xdr:rowOff>
    </xdr:from>
    <xdr:ext cx="194454" cy="240740"/>
    <xdr:sp macro="" textlink="">
      <xdr:nvSpPr>
        <xdr:cNvPr id="123" name="TextBox 122"/>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0</xdr:rowOff>
    </xdr:from>
    <xdr:ext cx="194454" cy="240740"/>
    <xdr:sp macro="" textlink="">
      <xdr:nvSpPr>
        <xdr:cNvPr id="124" name="TextBox 123"/>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38</xdr:row>
      <xdr:rowOff>304800</xdr:rowOff>
    </xdr:from>
    <xdr:to>
      <xdr:col>3</xdr:col>
      <xdr:colOff>609600</xdr:colOff>
      <xdr:row>39</xdr:row>
      <xdr:rowOff>0</xdr:rowOff>
    </xdr:to>
    <xdr:sp macro="" textlink="">
      <xdr:nvSpPr>
        <xdr:cNvPr id="125"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26" name="Text Box 29"/>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27"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29"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438150</xdr:colOff>
      <xdr:row>38</xdr:row>
      <xdr:rowOff>257175</xdr:rowOff>
    </xdr:from>
    <xdr:to>
      <xdr:col>3</xdr:col>
      <xdr:colOff>609600</xdr:colOff>
      <xdr:row>39</xdr:row>
      <xdr:rowOff>0</xdr:rowOff>
    </xdr:to>
    <xdr:sp macro="" textlink="">
      <xdr:nvSpPr>
        <xdr:cNvPr id="130" name="Text Box 72"/>
        <xdr:cNvSpPr txBox="1">
          <a:spLocks noChangeArrowheads="1"/>
        </xdr:cNvSpPr>
      </xdr:nvSpPr>
      <xdr:spPr bwMode="auto">
        <a:xfrm>
          <a:off x="1895475" y="1085850"/>
          <a:ext cx="17145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31" name="Text Box 29"/>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32"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34"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35"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36"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13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38"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39"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40"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41"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42"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43"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144"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45"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46"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0</xdr:rowOff>
    </xdr:from>
    <xdr:to>
      <xdr:col>3</xdr:col>
      <xdr:colOff>609600</xdr:colOff>
      <xdr:row>38</xdr:row>
      <xdr:rowOff>95250</xdr:rowOff>
    </xdr:to>
    <xdr:sp macro="" textlink="">
      <xdr:nvSpPr>
        <xdr:cNvPr id="147" name="Text Box 8"/>
        <xdr:cNvSpPr txBox="1">
          <a:spLocks noChangeArrowheads="1"/>
        </xdr:cNvSpPr>
      </xdr:nvSpPr>
      <xdr:spPr bwMode="auto">
        <a:xfrm>
          <a:off x="1981200" y="828675"/>
          <a:ext cx="85725"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95250</xdr:rowOff>
    </xdr:to>
    <xdr:sp macro="" textlink="">
      <xdr:nvSpPr>
        <xdr:cNvPr id="148" name="Text Box 68"/>
        <xdr:cNvSpPr txBox="1">
          <a:spLocks noChangeArrowheads="1"/>
        </xdr:cNvSpPr>
      </xdr:nvSpPr>
      <xdr:spPr bwMode="auto">
        <a:xfrm>
          <a:off x="1905000" y="828675"/>
          <a:ext cx="161925"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49" name="Text Box 1"/>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50"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95250</xdr:rowOff>
    </xdr:to>
    <xdr:sp macro="" textlink="">
      <xdr:nvSpPr>
        <xdr:cNvPr id="151" name="Text Box 68"/>
        <xdr:cNvSpPr txBox="1">
          <a:spLocks noChangeArrowheads="1"/>
        </xdr:cNvSpPr>
      </xdr:nvSpPr>
      <xdr:spPr bwMode="auto">
        <a:xfrm>
          <a:off x="1905000" y="828675"/>
          <a:ext cx="161925" cy="9525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152"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153"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54"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55"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56"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57"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58"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159"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60"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61"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62"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63"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64"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65"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66"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67"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68"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69"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70"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71"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72"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173"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74"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75"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176"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77"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78"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179"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180"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81"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82"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83"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84"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85"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186"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87"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88"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89"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90"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91"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92"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193"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194"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95"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96"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197"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98"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199"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200"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201"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202"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203"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204"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05"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06"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0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08"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09"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0"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1"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2"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3"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4"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5"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6"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8"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19"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0"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1"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2"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3"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4"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5"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6"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228"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229"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0</xdr:rowOff>
    </xdr:from>
    <xdr:to>
      <xdr:col>3</xdr:col>
      <xdr:colOff>609600</xdr:colOff>
      <xdr:row>38</xdr:row>
      <xdr:rowOff>104775</xdr:rowOff>
    </xdr:to>
    <xdr:sp macro="" textlink="">
      <xdr:nvSpPr>
        <xdr:cNvPr id="230" name="Text Box 55"/>
        <xdr:cNvSpPr txBox="1">
          <a:spLocks noChangeArrowheads="1"/>
        </xdr:cNvSpPr>
      </xdr:nvSpPr>
      <xdr:spPr bwMode="auto">
        <a:xfrm>
          <a:off x="1981200" y="828675"/>
          <a:ext cx="857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31"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32"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233"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34"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35"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36"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37"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38"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239"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240"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41"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42"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43"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44"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45"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46"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247"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248"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49"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50"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51"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52"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53"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54"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55"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56"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257"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58"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59"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60"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61"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62"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263"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438150</xdr:colOff>
      <xdr:row>38</xdr:row>
      <xdr:rowOff>257175</xdr:rowOff>
    </xdr:from>
    <xdr:to>
      <xdr:col>3</xdr:col>
      <xdr:colOff>609600</xdr:colOff>
      <xdr:row>39</xdr:row>
      <xdr:rowOff>0</xdr:rowOff>
    </xdr:to>
    <xdr:sp macro="" textlink="">
      <xdr:nvSpPr>
        <xdr:cNvPr id="264" name="Text Box 72"/>
        <xdr:cNvSpPr txBox="1">
          <a:spLocks noChangeArrowheads="1"/>
        </xdr:cNvSpPr>
      </xdr:nvSpPr>
      <xdr:spPr bwMode="auto">
        <a:xfrm>
          <a:off x="1895475" y="1085850"/>
          <a:ext cx="171450" cy="0"/>
        </a:xfrm>
        <a:prstGeom prst="rect">
          <a:avLst/>
        </a:prstGeom>
        <a:noFill/>
        <a:ln w="9525">
          <a:noFill/>
          <a:miter lim="800000"/>
          <a:headEnd/>
          <a:tailEnd/>
        </a:ln>
      </xdr:spPr>
    </xdr:sp>
    <xdr:clientData/>
  </xdr:twoCellAnchor>
  <xdr:twoCellAnchor editAs="oneCell">
    <xdr:from>
      <xdr:col>3</xdr:col>
      <xdr:colOff>523875</xdr:colOff>
      <xdr:row>38</xdr:row>
      <xdr:rowOff>0</xdr:rowOff>
    </xdr:from>
    <xdr:to>
      <xdr:col>3</xdr:col>
      <xdr:colOff>609600</xdr:colOff>
      <xdr:row>38</xdr:row>
      <xdr:rowOff>104775</xdr:rowOff>
    </xdr:to>
    <xdr:sp macro="" textlink="">
      <xdr:nvSpPr>
        <xdr:cNvPr id="265" name="Text Box 55"/>
        <xdr:cNvSpPr txBox="1">
          <a:spLocks noChangeArrowheads="1"/>
        </xdr:cNvSpPr>
      </xdr:nvSpPr>
      <xdr:spPr bwMode="auto">
        <a:xfrm>
          <a:off x="1981200" y="828675"/>
          <a:ext cx="857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66"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67"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268"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69"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70"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71"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72"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273"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274"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275"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76"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77"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278"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279"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80"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81"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82"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83"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284"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285"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286"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87"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88"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89"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0"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1"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2"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3"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4"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5"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6"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297"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oneCellAnchor>
    <xdr:from>
      <xdr:col>6</xdr:col>
      <xdr:colOff>66675</xdr:colOff>
      <xdr:row>36</xdr:row>
      <xdr:rowOff>0</xdr:rowOff>
    </xdr:from>
    <xdr:ext cx="194454" cy="240740"/>
    <xdr:sp macro="" textlink="">
      <xdr:nvSpPr>
        <xdr:cNvPr id="298" name="TextBox 297"/>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36</xdr:row>
      <xdr:rowOff>0</xdr:rowOff>
    </xdr:from>
    <xdr:to>
      <xdr:col>3</xdr:col>
      <xdr:colOff>609600</xdr:colOff>
      <xdr:row>36</xdr:row>
      <xdr:rowOff>28575</xdr:rowOff>
    </xdr:to>
    <xdr:sp macro="" textlink="">
      <xdr:nvSpPr>
        <xdr:cNvPr id="299"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300"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301" name="Text Box 34"/>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302"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03"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304"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305"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06"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307"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308"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309" name="Text Box 72"/>
        <xdr:cNvSpPr txBox="1">
          <a:spLocks noChangeArrowheads="1"/>
        </xdr:cNvSpPr>
      </xdr:nvSpPr>
      <xdr:spPr bwMode="auto">
        <a:xfrm>
          <a:off x="1895475"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310"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311"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312"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313"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314" name="Text Box 63"/>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315"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16"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317"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318"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319" name="Text Box 25"/>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320"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21"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322"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323"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324" name="Text Box 44"/>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25" name="Text Box 50"/>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326" name="Text Box 52"/>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27" name="Text Box 55"/>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328" name="Text Box 39"/>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329" name="Text Box 8"/>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330" name="Text Box 11"/>
        <xdr:cNvSpPr txBox="1">
          <a:spLocks noChangeArrowheads="1"/>
        </xdr:cNvSpPr>
      </xdr:nvSpPr>
      <xdr:spPr bwMode="auto">
        <a:xfrm>
          <a:off x="2476500" y="41910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9525</xdr:rowOff>
    </xdr:to>
    <xdr:sp macro="" textlink="">
      <xdr:nvSpPr>
        <xdr:cNvPr id="331" name="Text Box 63"/>
        <xdr:cNvSpPr txBox="1">
          <a:spLocks noChangeArrowheads="1"/>
        </xdr:cNvSpPr>
      </xdr:nvSpPr>
      <xdr:spPr bwMode="auto">
        <a:xfrm>
          <a:off x="1981200" y="419100"/>
          <a:ext cx="85725" cy="9525"/>
        </a:xfrm>
        <a:prstGeom prst="rect">
          <a:avLst/>
        </a:prstGeom>
        <a:noFill/>
        <a:ln w="9525">
          <a:noFill/>
          <a:miter lim="800000"/>
          <a:headEnd/>
          <a:tailEnd/>
        </a:ln>
      </xdr:spPr>
    </xdr:sp>
    <xdr:clientData/>
  </xdr:twoCellAnchor>
  <xdr:twoCellAnchor editAs="oneCell">
    <xdr:from>
      <xdr:col>3</xdr:col>
      <xdr:colOff>714375</xdr:colOff>
      <xdr:row>36</xdr:row>
      <xdr:rowOff>0</xdr:rowOff>
    </xdr:from>
    <xdr:to>
      <xdr:col>3</xdr:col>
      <xdr:colOff>714375</xdr:colOff>
      <xdr:row>36</xdr:row>
      <xdr:rowOff>28575</xdr:rowOff>
    </xdr:to>
    <xdr:sp macro="" textlink="">
      <xdr:nvSpPr>
        <xdr:cNvPr id="332" name="Text Box 68"/>
        <xdr:cNvSpPr txBox="1">
          <a:spLocks noChangeArrowheads="1"/>
        </xdr:cNvSpPr>
      </xdr:nvSpPr>
      <xdr:spPr bwMode="auto">
        <a:xfrm>
          <a:off x="2171700" y="419100"/>
          <a:ext cx="0" cy="28575"/>
        </a:xfrm>
        <a:prstGeom prst="rect">
          <a:avLst/>
        </a:prstGeom>
        <a:noFill/>
        <a:ln w="9525">
          <a:noFill/>
          <a:miter lim="800000"/>
          <a:headEnd/>
          <a:tailEnd/>
        </a:ln>
      </xdr:spPr>
    </xdr:sp>
    <xdr:clientData/>
  </xdr:twoCellAnchor>
  <xdr:twoCellAnchor editAs="oneCell">
    <xdr:from>
      <xdr:col>3</xdr:col>
      <xdr:colOff>123825</xdr:colOff>
      <xdr:row>36</xdr:row>
      <xdr:rowOff>0</xdr:rowOff>
    </xdr:from>
    <xdr:to>
      <xdr:col>3</xdr:col>
      <xdr:colOff>523875</xdr:colOff>
      <xdr:row>36</xdr:row>
      <xdr:rowOff>0</xdr:rowOff>
    </xdr:to>
    <xdr:sp macro="" textlink="">
      <xdr:nvSpPr>
        <xdr:cNvPr id="333" name="Text Box 71"/>
        <xdr:cNvSpPr txBox="1">
          <a:spLocks noChangeArrowheads="1"/>
        </xdr:cNvSpPr>
      </xdr:nvSpPr>
      <xdr:spPr bwMode="auto">
        <a:xfrm rot="313457">
          <a:off x="1581150" y="419100"/>
          <a:ext cx="400050" cy="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334" name="Text Box 72"/>
        <xdr:cNvSpPr txBox="1">
          <a:spLocks noChangeArrowheads="1"/>
        </xdr:cNvSpPr>
      </xdr:nvSpPr>
      <xdr:spPr bwMode="auto">
        <a:xfrm>
          <a:off x="1895475"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36</xdr:row>
      <xdr:rowOff>0</xdr:rowOff>
    </xdr:from>
    <xdr:ext cx="194454" cy="240740"/>
    <xdr:sp macro="" textlink="">
      <xdr:nvSpPr>
        <xdr:cNvPr id="335" name="TextBox 334"/>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0</xdr:rowOff>
    </xdr:from>
    <xdr:ext cx="194454" cy="240740"/>
    <xdr:sp macro="" textlink="">
      <xdr:nvSpPr>
        <xdr:cNvPr id="336" name="TextBox 335"/>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38</xdr:row>
      <xdr:rowOff>304800</xdr:rowOff>
    </xdr:from>
    <xdr:to>
      <xdr:col>3</xdr:col>
      <xdr:colOff>609600</xdr:colOff>
      <xdr:row>39</xdr:row>
      <xdr:rowOff>0</xdr:rowOff>
    </xdr:to>
    <xdr:sp macro="" textlink="">
      <xdr:nvSpPr>
        <xdr:cNvPr id="33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38" name="Text Box 29"/>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39"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95250</xdr:rowOff>
    </xdr:to>
    <xdr:sp macro="" textlink="">
      <xdr:nvSpPr>
        <xdr:cNvPr id="340" name="Text Box 68"/>
        <xdr:cNvSpPr txBox="1">
          <a:spLocks noChangeArrowheads="1"/>
        </xdr:cNvSpPr>
      </xdr:nvSpPr>
      <xdr:spPr bwMode="auto">
        <a:xfrm>
          <a:off x="1905000" y="619125"/>
          <a:ext cx="161925"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41"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438150</xdr:colOff>
      <xdr:row>38</xdr:row>
      <xdr:rowOff>257175</xdr:rowOff>
    </xdr:from>
    <xdr:to>
      <xdr:col>3</xdr:col>
      <xdr:colOff>609600</xdr:colOff>
      <xdr:row>39</xdr:row>
      <xdr:rowOff>0</xdr:rowOff>
    </xdr:to>
    <xdr:sp macro="" textlink="">
      <xdr:nvSpPr>
        <xdr:cNvPr id="342" name="Text Box 72"/>
        <xdr:cNvSpPr txBox="1">
          <a:spLocks noChangeArrowheads="1"/>
        </xdr:cNvSpPr>
      </xdr:nvSpPr>
      <xdr:spPr bwMode="auto">
        <a:xfrm>
          <a:off x="1895475" y="1085850"/>
          <a:ext cx="17145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43" name="Text Box 29"/>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44"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95250</xdr:rowOff>
    </xdr:to>
    <xdr:sp macro="" textlink="">
      <xdr:nvSpPr>
        <xdr:cNvPr id="345" name="Text Box 68"/>
        <xdr:cNvSpPr txBox="1">
          <a:spLocks noChangeArrowheads="1"/>
        </xdr:cNvSpPr>
      </xdr:nvSpPr>
      <xdr:spPr bwMode="auto">
        <a:xfrm>
          <a:off x="1905000" y="619125"/>
          <a:ext cx="161925"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46"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47"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48"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349"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50"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51"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352"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53"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54"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55"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356"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57"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58"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0</xdr:rowOff>
    </xdr:from>
    <xdr:to>
      <xdr:col>3</xdr:col>
      <xdr:colOff>609600</xdr:colOff>
      <xdr:row>38</xdr:row>
      <xdr:rowOff>95250</xdr:rowOff>
    </xdr:to>
    <xdr:sp macro="" textlink="">
      <xdr:nvSpPr>
        <xdr:cNvPr id="359" name="Text Box 8"/>
        <xdr:cNvSpPr txBox="1">
          <a:spLocks noChangeArrowheads="1"/>
        </xdr:cNvSpPr>
      </xdr:nvSpPr>
      <xdr:spPr bwMode="auto">
        <a:xfrm>
          <a:off x="1981200" y="828675"/>
          <a:ext cx="85725"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95250</xdr:rowOff>
    </xdr:to>
    <xdr:sp macro="" textlink="">
      <xdr:nvSpPr>
        <xdr:cNvPr id="360" name="Text Box 68"/>
        <xdr:cNvSpPr txBox="1">
          <a:spLocks noChangeArrowheads="1"/>
        </xdr:cNvSpPr>
      </xdr:nvSpPr>
      <xdr:spPr bwMode="auto">
        <a:xfrm>
          <a:off x="1905000" y="828675"/>
          <a:ext cx="161925"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61" name="Text Box 1"/>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62"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95250</xdr:rowOff>
    </xdr:to>
    <xdr:sp macro="" textlink="">
      <xdr:nvSpPr>
        <xdr:cNvPr id="363" name="Text Box 68"/>
        <xdr:cNvSpPr txBox="1">
          <a:spLocks noChangeArrowheads="1"/>
        </xdr:cNvSpPr>
      </xdr:nvSpPr>
      <xdr:spPr bwMode="auto">
        <a:xfrm>
          <a:off x="1905000" y="828675"/>
          <a:ext cx="161925" cy="9525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364"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365"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66"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67"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68"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69"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370"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371"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72"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73"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74"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375"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76"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77"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378"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79"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80"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81"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82"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83"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384"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385"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86"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87"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388"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89"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90"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391"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392"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93"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94"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95"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396"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397"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398"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399"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00"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01"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02"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03"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04"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405"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406"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07"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08"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09"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10"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11" name="Text Box 8"/>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12"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413"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414"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85725</xdr:rowOff>
    </xdr:to>
    <xdr:sp macro="" textlink="">
      <xdr:nvSpPr>
        <xdr:cNvPr id="415" name="Text Box 22"/>
        <xdr:cNvSpPr txBox="1">
          <a:spLocks noChangeArrowheads="1"/>
        </xdr:cNvSpPr>
      </xdr:nvSpPr>
      <xdr:spPr bwMode="auto">
        <a:xfrm>
          <a:off x="1981200" y="857250"/>
          <a:ext cx="85725" cy="571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609600</xdr:colOff>
      <xdr:row>38</xdr:row>
      <xdr:rowOff>104775</xdr:rowOff>
    </xdr:to>
    <xdr:sp macro="" textlink="">
      <xdr:nvSpPr>
        <xdr:cNvPr id="416" name="Text Box 68"/>
        <xdr:cNvSpPr txBox="1">
          <a:spLocks noChangeArrowheads="1"/>
        </xdr:cNvSpPr>
      </xdr:nvSpPr>
      <xdr:spPr bwMode="auto">
        <a:xfrm>
          <a:off x="1905000" y="828675"/>
          <a:ext cx="161925"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1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18"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19"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0"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1"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2"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3"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4"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5"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6"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8"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29"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0"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1"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2"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3"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4"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5"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6"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7"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8"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39"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609600</xdr:colOff>
      <xdr:row>39</xdr:row>
      <xdr:rowOff>0</xdr:rowOff>
    </xdr:to>
    <xdr:sp macro="" textlink="">
      <xdr:nvSpPr>
        <xdr:cNvPr id="440" name="Text Box 68"/>
        <xdr:cNvSpPr txBox="1">
          <a:spLocks noChangeArrowheads="1"/>
        </xdr:cNvSpPr>
      </xdr:nvSpPr>
      <xdr:spPr bwMode="auto">
        <a:xfrm>
          <a:off x="1905000" y="1133475"/>
          <a:ext cx="161925" cy="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41"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523875</xdr:colOff>
      <xdr:row>38</xdr:row>
      <xdr:rowOff>0</xdr:rowOff>
    </xdr:from>
    <xdr:to>
      <xdr:col>3</xdr:col>
      <xdr:colOff>609600</xdr:colOff>
      <xdr:row>38</xdr:row>
      <xdr:rowOff>104775</xdr:rowOff>
    </xdr:to>
    <xdr:sp macro="" textlink="">
      <xdr:nvSpPr>
        <xdr:cNvPr id="442" name="Text Box 55"/>
        <xdr:cNvSpPr txBox="1">
          <a:spLocks noChangeArrowheads="1"/>
        </xdr:cNvSpPr>
      </xdr:nvSpPr>
      <xdr:spPr bwMode="auto">
        <a:xfrm>
          <a:off x="1981200" y="828675"/>
          <a:ext cx="857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43"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44"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445"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46"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47"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48"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49"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50"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51"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452"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53"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54"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55"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56"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57"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58"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59"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460"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61"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62"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63"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64"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65"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66"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67"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68"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469"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70"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71"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72"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73"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74"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75"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438150</xdr:colOff>
      <xdr:row>38</xdr:row>
      <xdr:rowOff>257175</xdr:rowOff>
    </xdr:from>
    <xdr:to>
      <xdr:col>3</xdr:col>
      <xdr:colOff>609600</xdr:colOff>
      <xdr:row>39</xdr:row>
      <xdr:rowOff>0</xdr:rowOff>
    </xdr:to>
    <xdr:sp macro="" textlink="">
      <xdr:nvSpPr>
        <xdr:cNvPr id="476" name="Text Box 72"/>
        <xdr:cNvSpPr txBox="1">
          <a:spLocks noChangeArrowheads="1"/>
        </xdr:cNvSpPr>
      </xdr:nvSpPr>
      <xdr:spPr bwMode="auto">
        <a:xfrm>
          <a:off x="1895475" y="1085850"/>
          <a:ext cx="171450" cy="0"/>
        </a:xfrm>
        <a:prstGeom prst="rect">
          <a:avLst/>
        </a:prstGeom>
        <a:noFill/>
        <a:ln w="9525">
          <a:noFill/>
          <a:miter lim="800000"/>
          <a:headEnd/>
          <a:tailEnd/>
        </a:ln>
      </xdr:spPr>
    </xdr:sp>
    <xdr:clientData/>
  </xdr:twoCellAnchor>
  <xdr:twoCellAnchor editAs="oneCell">
    <xdr:from>
      <xdr:col>3</xdr:col>
      <xdr:colOff>523875</xdr:colOff>
      <xdr:row>38</xdr:row>
      <xdr:rowOff>0</xdr:rowOff>
    </xdr:from>
    <xdr:to>
      <xdr:col>3</xdr:col>
      <xdr:colOff>609600</xdr:colOff>
      <xdr:row>38</xdr:row>
      <xdr:rowOff>104775</xdr:rowOff>
    </xdr:to>
    <xdr:sp macro="" textlink="">
      <xdr:nvSpPr>
        <xdr:cNvPr id="477" name="Text Box 55"/>
        <xdr:cNvSpPr txBox="1">
          <a:spLocks noChangeArrowheads="1"/>
        </xdr:cNvSpPr>
      </xdr:nvSpPr>
      <xdr:spPr bwMode="auto">
        <a:xfrm>
          <a:off x="1981200" y="828675"/>
          <a:ext cx="857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78"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79"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480"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81" name="Text Box 22"/>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82"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83"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84"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523875</xdr:colOff>
      <xdr:row>38</xdr:row>
      <xdr:rowOff>28575</xdr:rowOff>
    </xdr:from>
    <xdr:to>
      <xdr:col>3</xdr:col>
      <xdr:colOff>609600</xdr:colOff>
      <xdr:row>38</xdr:row>
      <xdr:rowOff>95250</xdr:rowOff>
    </xdr:to>
    <xdr:sp macro="" textlink="">
      <xdr:nvSpPr>
        <xdr:cNvPr id="485" name="Text Box 8"/>
        <xdr:cNvSpPr txBox="1">
          <a:spLocks noChangeArrowheads="1"/>
        </xdr:cNvSpPr>
      </xdr:nvSpPr>
      <xdr:spPr bwMode="auto">
        <a:xfrm>
          <a:off x="1981200" y="857250"/>
          <a:ext cx="85725" cy="666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86"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487"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88"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89"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714375</xdr:colOff>
      <xdr:row>38</xdr:row>
      <xdr:rowOff>114300</xdr:rowOff>
    </xdr:from>
    <xdr:to>
      <xdr:col>3</xdr:col>
      <xdr:colOff>714375</xdr:colOff>
      <xdr:row>38</xdr:row>
      <xdr:rowOff>114300</xdr:rowOff>
    </xdr:to>
    <xdr:sp macro="" textlink="">
      <xdr:nvSpPr>
        <xdr:cNvPr id="490" name="Text Box 68"/>
        <xdr:cNvSpPr txBox="1">
          <a:spLocks noChangeArrowheads="1"/>
        </xdr:cNvSpPr>
      </xdr:nvSpPr>
      <xdr:spPr bwMode="auto">
        <a:xfrm>
          <a:off x="2171700" y="942975"/>
          <a:ext cx="0" cy="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491"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92"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93"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94"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95"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104775</xdr:rowOff>
    </xdr:to>
    <xdr:sp macro="" textlink="">
      <xdr:nvSpPr>
        <xdr:cNvPr id="496" name="Text Box 68"/>
        <xdr:cNvSpPr txBox="1">
          <a:spLocks noChangeArrowheads="1"/>
        </xdr:cNvSpPr>
      </xdr:nvSpPr>
      <xdr:spPr bwMode="auto">
        <a:xfrm>
          <a:off x="1905000" y="82867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497"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38</xdr:row>
      <xdr:rowOff>0</xdr:rowOff>
    </xdr:from>
    <xdr:to>
      <xdr:col>3</xdr:col>
      <xdr:colOff>600075</xdr:colOff>
      <xdr:row>38</xdr:row>
      <xdr:rowOff>95250</xdr:rowOff>
    </xdr:to>
    <xdr:sp macro="" textlink="">
      <xdr:nvSpPr>
        <xdr:cNvPr id="498" name="Text Box 68"/>
        <xdr:cNvSpPr txBox="1">
          <a:spLocks noChangeArrowheads="1"/>
        </xdr:cNvSpPr>
      </xdr:nvSpPr>
      <xdr:spPr bwMode="auto">
        <a:xfrm>
          <a:off x="1905000" y="828675"/>
          <a:ext cx="152400" cy="9525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499"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0"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1"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2"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3"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4"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5"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6"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7"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8"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447675</xdr:colOff>
      <xdr:row>38</xdr:row>
      <xdr:rowOff>304800</xdr:rowOff>
    </xdr:from>
    <xdr:to>
      <xdr:col>3</xdr:col>
      <xdr:colOff>600075</xdr:colOff>
      <xdr:row>39</xdr:row>
      <xdr:rowOff>0</xdr:rowOff>
    </xdr:to>
    <xdr:sp macro="" textlink="">
      <xdr:nvSpPr>
        <xdr:cNvPr id="509" name="Text Box 68"/>
        <xdr:cNvSpPr txBox="1">
          <a:spLocks noChangeArrowheads="1"/>
        </xdr:cNvSpPr>
      </xdr:nvSpPr>
      <xdr:spPr bwMode="auto">
        <a:xfrm>
          <a:off x="1905000" y="1133475"/>
          <a:ext cx="152400" cy="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10"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511"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12" name="Text Box 34"/>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13"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14"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15"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16"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17"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18"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519"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520" name="Text Box 72"/>
        <xdr:cNvSpPr txBox="1">
          <a:spLocks noChangeArrowheads="1"/>
        </xdr:cNvSpPr>
      </xdr:nvSpPr>
      <xdr:spPr bwMode="auto">
        <a:xfrm>
          <a:off x="1895475"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21"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22"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23"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24"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25" name="Text Box 63"/>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26"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27"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28"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29"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30" name="Text Box 25"/>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31"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32"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33"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34"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35" name="Text Box 29"/>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26670</xdr:rowOff>
    </xdr:to>
    <xdr:sp macro="" textlink="">
      <xdr:nvSpPr>
        <xdr:cNvPr id="536" name="Text Box 31"/>
        <xdr:cNvSpPr txBox="1">
          <a:spLocks noChangeArrowheads="1"/>
        </xdr:cNvSpPr>
      </xdr:nvSpPr>
      <xdr:spPr bwMode="auto">
        <a:xfrm>
          <a:off x="2476500"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37" name="Text Box 34"/>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38"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39"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40"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41"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42"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43" name="Text Box 11"/>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19050</xdr:rowOff>
    </xdr:to>
    <xdr:sp macro="" textlink="">
      <xdr:nvSpPr>
        <xdr:cNvPr id="544" name="Text Box 63"/>
        <xdr:cNvSpPr txBox="1">
          <a:spLocks noChangeArrowheads="1"/>
        </xdr:cNvSpPr>
      </xdr:nvSpPr>
      <xdr:spPr bwMode="auto">
        <a:xfrm>
          <a:off x="1981200" y="0"/>
          <a:ext cx="85725" cy="1905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545" name="Text Box 72"/>
        <xdr:cNvSpPr txBox="1">
          <a:spLocks noChangeArrowheads="1"/>
        </xdr:cNvSpPr>
      </xdr:nvSpPr>
      <xdr:spPr bwMode="auto">
        <a:xfrm>
          <a:off x="1895475"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46"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47"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48" name="Text Box 8"/>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49" name="Text Box 11"/>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0</xdr:rowOff>
    </xdr:to>
    <xdr:sp macro="" textlink="">
      <xdr:nvSpPr>
        <xdr:cNvPr id="550" name="Text Box 63"/>
        <xdr:cNvSpPr txBox="1">
          <a:spLocks noChangeArrowheads="1"/>
        </xdr:cNvSpPr>
      </xdr:nvSpPr>
      <xdr:spPr bwMode="auto">
        <a:xfrm>
          <a:off x="1981200" y="28575"/>
          <a:ext cx="85725" cy="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51"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52" name="Text Box 22"/>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53" name="Text Box 25"/>
        <xdr:cNvSpPr txBox="1">
          <a:spLocks noChangeArrowheads="1"/>
        </xdr:cNvSpPr>
      </xdr:nvSpPr>
      <xdr:spPr bwMode="auto">
        <a:xfrm>
          <a:off x="2476500" y="0"/>
          <a:ext cx="0"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54"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19050</xdr:rowOff>
    </xdr:to>
    <xdr:sp macro="" textlink="">
      <xdr:nvSpPr>
        <xdr:cNvPr id="555" name="Text Box 25"/>
        <xdr:cNvSpPr txBox="1">
          <a:spLocks noChangeArrowheads="1"/>
        </xdr:cNvSpPr>
      </xdr:nvSpPr>
      <xdr:spPr bwMode="auto">
        <a:xfrm>
          <a:off x="2476500" y="9525"/>
          <a:ext cx="0" cy="19050"/>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56"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57" name="Text Box 8"/>
        <xdr:cNvSpPr txBox="1">
          <a:spLocks noChangeArrowheads="1"/>
        </xdr:cNvSpPr>
      </xdr:nvSpPr>
      <xdr:spPr bwMode="auto">
        <a:xfrm>
          <a:off x="1981200" y="0"/>
          <a:ext cx="857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58"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twoCellAnchor editAs="oneCell">
    <xdr:from>
      <xdr:col>3</xdr:col>
      <xdr:colOff>447675</xdr:colOff>
      <xdr:row>36</xdr:row>
      <xdr:rowOff>0</xdr:rowOff>
    </xdr:from>
    <xdr:to>
      <xdr:col>3</xdr:col>
      <xdr:colOff>609600</xdr:colOff>
      <xdr:row>36</xdr:row>
      <xdr:rowOff>28575</xdr:rowOff>
    </xdr:to>
    <xdr:sp macro="" textlink="">
      <xdr:nvSpPr>
        <xdr:cNvPr id="559" name="Text Box 68"/>
        <xdr:cNvSpPr txBox="1">
          <a:spLocks noChangeArrowheads="1"/>
        </xdr:cNvSpPr>
      </xdr:nvSpPr>
      <xdr:spPr bwMode="auto">
        <a:xfrm>
          <a:off x="1905000" y="0"/>
          <a:ext cx="161925" cy="28575"/>
        </a:xfrm>
        <a:prstGeom prst="rect">
          <a:avLst/>
        </a:prstGeom>
        <a:noFill/>
        <a:ln w="9525">
          <a:noFill/>
          <a:miter lim="800000"/>
          <a:headEnd/>
          <a:tailEnd/>
        </a:ln>
      </xdr:spPr>
    </xdr:sp>
    <xdr:clientData/>
  </xdr:twoCellAnchor>
  <xdr:oneCellAnchor>
    <xdr:from>
      <xdr:col>6</xdr:col>
      <xdr:colOff>66675</xdr:colOff>
      <xdr:row>36</xdr:row>
      <xdr:rowOff>0</xdr:rowOff>
    </xdr:from>
    <xdr:ext cx="194454" cy="240740"/>
    <xdr:sp macro="" textlink="">
      <xdr:nvSpPr>
        <xdr:cNvPr id="560" name="TextBox 559"/>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36</xdr:row>
      <xdr:rowOff>0</xdr:rowOff>
    </xdr:from>
    <xdr:to>
      <xdr:col>4</xdr:col>
      <xdr:colOff>583</xdr:colOff>
      <xdr:row>36</xdr:row>
      <xdr:rowOff>29718</xdr:rowOff>
    </xdr:to>
    <xdr:sp macro="" textlink="">
      <xdr:nvSpPr>
        <xdr:cNvPr id="561" name="Text Box 44"/>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62" name="Text Box 50"/>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563" name="Text Box 52"/>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64" name="Text Box 55"/>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565" name="Text Box 39"/>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566" name="Text Box 8"/>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567" name="Text Box 11"/>
        <xdr:cNvSpPr txBox="1">
          <a:spLocks noChangeArrowheads="1"/>
        </xdr:cNvSpPr>
      </xdr:nvSpPr>
      <xdr:spPr bwMode="auto">
        <a:xfrm>
          <a:off x="2476500" y="419100"/>
          <a:ext cx="0" cy="28575"/>
        </a:xfrm>
        <a:prstGeom prst="rect">
          <a:avLst/>
        </a:prstGeom>
        <a:noFill/>
        <a:ln w="9525">
          <a:noFill/>
          <a:miter lim="800000"/>
          <a:headEnd/>
          <a:tailEnd/>
        </a:ln>
      </xdr:spPr>
    </xdr:sp>
    <xdr:clientData/>
  </xdr:twoCellAnchor>
  <xdr:twoCellAnchor editAs="oneCell">
    <xdr:from>
      <xdr:col>3</xdr:col>
      <xdr:colOff>523875</xdr:colOff>
      <xdr:row>36</xdr:row>
      <xdr:rowOff>0</xdr:rowOff>
    </xdr:from>
    <xdr:to>
      <xdr:col>3</xdr:col>
      <xdr:colOff>609600</xdr:colOff>
      <xdr:row>36</xdr:row>
      <xdr:rowOff>9525</xdr:rowOff>
    </xdr:to>
    <xdr:sp macro="" textlink="">
      <xdr:nvSpPr>
        <xdr:cNvPr id="568" name="Text Box 63"/>
        <xdr:cNvSpPr txBox="1">
          <a:spLocks noChangeArrowheads="1"/>
        </xdr:cNvSpPr>
      </xdr:nvSpPr>
      <xdr:spPr bwMode="auto">
        <a:xfrm>
          <a:off x="1981200" y="419100"/>
          <a:ext cx="85725" cy="9525"/>
        </a:xfrm>
        <a:prstGeom prst="rect">
          <a:avLst/>
        </a:prstGeom>
        <a:noFill/>
        <a:ln w="9525">
          <a:noFill/>
          <a:miter lim="800000"/>
          <a:headEnd/>
          <a:tailEnd/>
        </a:ln>
      </xdr:spPr>
    </xdr:sp>
    <xdr:clientData/>
  </xdr:twoCellAnchor>
  <xdr:twoCellAnchor editAs="oneCell">
    <xdr:from>
      <xdr:col>3</xdr:col>
      <xdr:colOff>714375</xdr:colOff>
      <xdr:row>36</xdr:row>
      <xdr:rowOff>0</xdr:rowOff>
    </xdr:from>
    <xdr:to>
      <xdr:col>3</xdr:col>
      <xdr:colOff>714375</xdr:colOff>
      <xdr:row>36</xdr:row>
      <xdr:rowOff>28575</xdr:rowOff>
    </xdr:to>
    <xdr:sp macro="" textlink="">
      <xdr:nvSpPr>
        <xdr:cNvPr id="569" name="Text Box 68"/>
        <xdr:cNvSpPr txBox="1">
          <a:spLocks noChangeArrowheads="1"/>
        </xdr:cNvSpPr>
      </xdr:nvSpPr>
      <xdr:spPr bwMode="auto">
        <a:xfrm>
          <a:off x="2171700" y="419100"/>
          <a:ext cx="0" cy="28575"/>
        </a:xfrm>
        <a:prstGeom prst="rect">
          <a:avLst/>
        </a:prstGeom>
        <a:noFill/>
        <a:ln w="9525">
          <a:noFill/>
          <a:miter lim="800000"/>
          <a:headEnd/>
          <a:tailEnd/>
        </a:ln>
      </xdr:spPr>
    </xdr:sp>
    <xdr:clientData/>
  </xdr:twoCellAnchor>
  <xdr:twoCellAnchor editAs="oneCell">
    <xdr:from>
      <xdr:col>3</xdr:col>
      <xdr:colOff>123825</xdr:colOff>
      <xdr:row>36</xdr:row>
      <xdr:rowOff>0</xdr:rowOff>
    </xdr:from>
    <xdr:to>
      <xdr:col>3</xdr:col>
      <xdr:colOff>523875</xdr:colOff>
      <xdr:row>36</xdr:row>
      <xdr:rowOff>0</xdr:rowOff>
    </xdr:to>
    <xdr:sp macro="" textlink="">
      <xdr:nvSpPr>
        <xdr:cNvPr id="570" name="Text Box 71"/>
        <xdr:cNvSpPr txBox="1">
          <a:spLocks noChangeArrowheads="1"/>
        </xdr:cNvSpPr>
      </xdr:nvSpPr>
      <xdr:spPr bwMode="auto">
        <a:xfrm rot="313457">
          <a:off x="1581150" y="419100"/>
          <a:ext cx="400050" cy="0"/>
        </a:xfrm>
        <a:prstGeom prst="rect">
          <a:avLst/>
        </a:prstGeom>
        <a:noFill/>
        <a:ln w="9525">
          <a:noFill/>
          <a:miter lim="800000"/>
          <a:headEnd/>
          <a:tailEnd/>
        </a:ln>
      </xdr:spPr>
    </xdr:sp>
    <xdr:clientData/>
  </xdr:twoCellAnchor>
  <xdr:twoCellAnchor editAs="oneCell">
    <xdr:from>
      <xdr:col>3</xdr:col>
      <xdr:colOff>438150</xdr:colOff>
      <xdr:row>36</xdr:row>
      <xdr:rowOff>0</xdr:rowOff>
    </xdr:from>
    <xdr:to>
      <xdr:col>3</xdr:col>
      <xdr:colOff>613410</xdr:colOff>
      <xdr:row>36</xdr:row>
      <xdr:rowOff>7493</xdr:rowOff>
    </xdr:to>
    <xdr:sp macro="" textlink="">
      <xdr:nvSpPr>
        <xdr:cNvPr id="571" name="Text Box 72"/>
        <xdr:cNvSpPr txBox="1">
          <a:spLocks noChangeArrowheads="1"/>
        </xdr:cNvSpPr>
      </xdr:nvSpPr>
      <xdr:spPr bwMode="auto">
        <a:xfrm>
          <a:off x="1895475" y="4191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36</xdr:row>
      <xdr:rowOff>0</xdr:rowOff>
    </xdr:from>
    <xdr:ext cx="194454" cy="240740"/>
    <xdr:sp macro="" textlink="">
      <xdr:nvSpPr>
        <xdr:cNvPr id="572" name="TextBox 571"/>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0</xdr:rowOff>
    </xdr:from>
    <xdr:ext cx="194454" cy="240740"/>
    <xdr:sp macro="" textlink="">
      <xdr:nvSpPr>
        <xdr:cNvPr id="573" name="TextBox 572"/>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36</xdr:row>
      <xdr:rowOff>304800</xdr:rowOff>
    </xdr:from>
    <xdr:to>
      <xdr:col>3</xdr:col>
      <xdr:colOff>609600</xdr:colOff>
      <xdr:row>37</xdr:row>
      <xdr:rowOff>95250</xdr:rowOff>
    </xdr:to>
    <xdr:sp macro="" textlink="">
      <xdr:nvSpPr>
        <xdr:cNvPr id="574" name="Text Box 68"/>
        <xdr:cNvSpPr txBox="1">
          <a:spLocks noChangeArrowheads="1"/>
        </xdr:cNvSpPr>
      </xdr:nvSpPr>
      <xdr:spPr bwMode="auto">
        <a:xfrm>
          <a:off x="1905000" y="619125"/>
          <a:ext cx="161925"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95250</xdr:rowOff>
    </xdr:to>
    <xdr:sp macro="" textlink="">
      <xdr:nvSpPr>
        <xdr:cNvPr id="575" name="Text Box 68"/>
        <xdr:cNvSpPr txBox="1">
          <a:spLocks noChangeArrowheads="1"/>
        </xdr:cNvSpPr>
      </xdr:nvSpPr>
      <xdr:spPr bwMode="auto">
        <a:xfrm>
          <a:off x="1905000" y="619125"/>
          <a:ext cx="161925"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76"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77"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78"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79"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80"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81"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82"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83"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584"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85"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586"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87"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588"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89"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90"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91"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92"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593"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94"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595"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96"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97"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598"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oneCellAnchor>
    <xdr:from>
      <xdr:col>6</xdr:col>
      <xdr:colOff>66675</xdr:colOff>
      <xdr:row>36</xdr:row>
      <xdr:rowOff>0</xdr:rowOff>
    </xdr:from>
    <xdr:ext cx="194454" cy="240740"/>
    <xdr:sp macro="" textlink="">
      <xdr:nvSpPr>
        <xdr:cNvPr id="599" name="TextBox 598"/>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36</xdr:row>
      <xdr:rowOff>0</xdr:rowOff>
    </xdr:from>
    <xdr:to>
      <xdr:col>4</xdr:col>
      <xdr:colOff>583</xdr:colOff>
      <xdr:row>36</xdr:row>
      <xdr:rowOff>29718</xdr:rowOff>
    </xdr:to>
    <xdr:sp macro="" textlink="">
      <xdr:nvSpPr>
        <xdr:cNvPr id="600" name="Text Box 44"/>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601" name="Text Box 50"/>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602" name="Text Box 52"/>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36</xdr:row>
      <xdr:rowOff>0</xdr:rowOff>
    </xdr:from>
    <xdr:to>
      <xdr:col>3</xdr:col>
      <xdr:colOff>609600</xdr:colOff>
      <xdr:row>36</xdr:row>
      <xdr:rowOff>28575</xdr:rowOff>
    </xdr:to>
    <xdr:sp macro="" textlink="">
      <xdr:nvSpPr>
        <xdr:cNvPr id="603" name="Text Box 55"/>
        <xdr:cNvSpPr txBox="1">
          <a:spLocks noChangeArrowheads="1"/>
        </xdr:cNvSpPr>
      </xdr:nvSpPr>
      <xdr:spPr bwMode="auto">
        <a:xfrm>
          <a:off x="1981200" y="419100"/>
          <a:ext cx="85725" cy="28575"/>
        </a:xfrm>
        <a:prstGeom prst="rect">
          <a:avLst/>
        </a:prstGeom>
        <a:noFill/>
        <a:ln w="9525">
          <a:noFill/>
          <a:miter lim="800000"/>
          <a:headEnd/>
          <a:tailEnd/>
        </a:ln>
      </xdr:spPr>
    </xdr:sp>
    <xdr:clientData/>
  </xdr:twoCellAnchor>
  <xdr:twoCellAnchor editAs="oneCell">
    <xdr:from>
      <xdr:col>3</xdr:col>
      <xdr:colOff>1019175</xdr:colOff>
      <xdr:row>36</xdr:row>
      <xdr:rowOff>0</xdr:rowOff>
    </xdr:from>
    <xdr:to>
      <xdr:col>4</xdr:col>
      <xdr:colOff>583</xdr:colOff>
      <xdr:row>36</xdr:row>
      <xdr:rowOff>29718</xdr:rowOff>
    </xdr:to>
    <xdr:sp macro="" textlink="">
      <xdr:nvSpPr>
        <xdr:cNvPr id="604" name="Text Box 39"/>
        <xdr:cNvSpPr txBox="1">
          <a:spLocks noChangeArrowheads="1"/>
        </xdr:cNvSpPr>
      </xdr:nvSpPr>
      <xdr:spPr bwMode="auto">
        <a:xfrm>
          <a:off x="2476500" y="4191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1019175</xdr:colOff>
      <xdr:row>36</xdr:row>
      <xdr:rowOff>0</xdr:rowOff>
    </xdr:from>
    <xdr:to>
      <xdr:col>4</xdr:col>
      <xdr:colOff>0</xdr:colOff>
      <xdr:row>36</xdr:row>
      <xdr:rowOff>28575</xdr:rowOff>
    </xdr:to>
    <xdr:sp macro="" textlink="">
      <xdr:nvSpPr>
        <xdr:cNvPr id="606" name="Text Box 11"/>
        <xdr:cNvSpPr txBox="1">
          <a:spLocks noChangeArrowheads="1"/>
        </xdr:cNvSpPr>
      </xdr:nvSpPr>
      <xdr:spPr bwMode="auto">
        <a:xfrm>
          <a:off x="2476500" y="419100"/>
          <a:ext cx="0" cy="28575"/>
        </a:xfrm>
        <a:prstGeom prst="rect">
          <a:avLst/>
        </a:prstGeom>
        <a:noFill/>
        <a:ln w="9525">
          <a:noFill/>
          <a:miter lim="800000"/>
          <a:headEnd/>
          <a:tailEnd/>
        </a:ln>
      </xdr:spPr>
    </xdr:sp>
    <xdr:clientData/>
  </xdr:twoCellAnchor>
  <xdr:twoCellAnchor editAs="oneCell">
    <xdr:from>
      <xdr:col>3</xdr:col>
      <xdr:colOff>714375</xdr:colOff>
      <xdr:row>36</xdr:row>
      <xdr:rowOff>0</xdr:rowOff>
    </xdr:from>
    <xdr:to>
      <xdr:col>3</xdr:col>
      <xdr:colOff>714375</xdr:colOff>
      <xdr:row>36</xdr:row>
      <xdr:rowOff>28575</xdr:rowOff>
    </xdr:to>
    <xdr:sp macro="" textlink="">
      <xdr:nvSpPr>
        <xdr:cNvPr id="608" name="Text Box 68"/>
        <xdr:cNvSpPr txBox="1">
          <a:spLocks noChangeArrowheads="1"/>
        </xdr:cNvSpPr>
      </xdr:nvSpPr>
      <xdr:spPr bwMode="auto">
        <a:xfrm>
          <a:off x="2171700" y="419100"/>
          <a:ext cx="0" cy="28575"/>
        </a:xfrm>
        <a:prstGeom prst="rect">
          <a:avLst/>
        </a:prstGeom>
        <a:noFill/>
        <a:ln w="9525">
          <a:noFill/>
          <a:miter lim="800000"/>
          <a:headEnd/>
          <a:tailEnd/>
        </a:ln>
      </xdr:spPr>
    </xdr:sp>
    <xdr:clientData/>
  </xdr:twoCellAnchor>
  <xdr:twoCellAnchor editAs="oneCell">
    <xdr:from>
      <xdr:col>3</xdr:col>
      <xdr:colOff>123825</xdr:colOff>
      <xdr:row>36</xdr:row>
      <xdr:rowOff>0</xdr:rowOff>
    </xdr:from>
    <xdr:to>
      <xdr:col>3</xdr:col>
      <xdr:colOff>523875</xdr:colOff>
      <xdr:row>36</xdr:row>
      <xdr:rowOff>0</xdr:rowOff>
    </xdr:to>
    <xdr:sp macro="" textlink="">
      <xdr:nvSpPr>
        <xdr:cNvPr id="609" name="Text Box 71"/>
        <xdr:cNvSpPr txBox="1">
          <a:spLocks noChangeArrowheads="1"/>
        </xdr:cNvSpPr>
      </xdr:nvSpPr>
      <xdr:spPr bwMode="auto">
        <a:xfrm rot="313457">
          <a:off x="1581150" y="419100"/>
          <a:ext cx="400050" cy="0"/>
        </a:xfrm>
        <a:prstGeom prst="rect">
          <a:avLst/>
        </a:prstGeom>
        <a:noFill/>
        <a:ln w="9525">
          <a:noFill/>
          <a:miter lim="800000"/>
          <a:headEnd/>
          <a:tailEnd/>
        </a:ln>
      </xdr:spPr>
    </xdr:sp>
    <xdr:clientData/>
  </xdr:twoCellAnchor>
  <xdr:oneCellAnchor>
    <xdr:from>
      <xdr:col>2</xdr:col>
      <xdr:colOff>476250</xdr:colOff>
      <xdr:row>36</xdr:row>
      <xdr:rowOff>0</xdr:rowOff>
    </xdr:from>
    <xdr:ext cx="194454" cy="240740"/>
    <xdr:sp macro="" textlink="">
      <xdr:nvSpPr>
        <xdr:cNvPr id="611" name="TextBox 610"/>
        <xdr:cNvSpPr txBox="1"/>
      </xdr:nvSpPr>
      <xdr:spPr>
        <a:xfrm>
          <a:off x="1085850" y="4191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0</xdr:rowOff>
    </xdr:from>
    <xdr:ext cx="194454" cy="240740"/>
    <xdr:sp macro="" textlink="">
      <xdr:nvSpPr>
        <xdr:cNvPr id="612" name="TextBox 611"/>
        <xdr:cNvSpPr txBox="1"/>
      </xdr:nvSpPr>
      <xdr:spPr>
        <a:xfrm>
          <a:off x="3914775" y="2762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36</xdr:row>
      <xdr:rowOff>304800</xdr:rowOff>
    </xdr:from>
    <xdr:to>
      <xdr:col>3</xdr:col>
      <xdr:colOff>609600</xdr:colOff>
      <xdr:row>37</xdr:row>
      <xdr:rowOff>95250</xdr:rowOff>
    </xdr:to>
    <xdr:sp macro="" textlink="">
      <xdr:nvSpPr>
        <xdr:cNvPr id="613" name="Text Box 68"/>
        <xdr:cNvSpPr txBox="1">
          <a:spLocks noChangeArrowheads="1"/>
        </xdr:cNvSpPr>
      </xdr:nvSpPr>
      <xdr:spPr bwMode="auto">
        <a:xfrm>
          <a:off x="1905000" y="619125"/>
          <a:ext cx="161925"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95250</xdr:rowOff>
    </xdr:to>
    <xdr:sp macro="" textlink="">
      <xdr:nvSpPr>
        <xdr:cNvPr id="614" name="Text Box 68"/>
        <xdr:cNvSpPr txBox="1">
          <a:spLocks noChangeArrowheads="1"/>
        </xdr:cNvSpPr>
      </xdr:nvSpPr>
      <xdr:spPr bwMode="auto">
        <a:xfrm>
          <a:off x="1905000" y="619125"/>
          <a:ext cx="161925"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15"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16"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17"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18"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19"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20"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21"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22"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609600</xdr:colOff>
      <xdr:row>37</xdr:row>
      <xdr:rowOff>104775</xdr:rowOff>
    </xdr:to>
    <xdr:sp macro="" textlink="">
      <xdr:nvSpPr>
        <xdr:cNvPr id="623" name="Text Box 68"/>
        <xdr:cNvSpPr txBox="1">
          <a:spLocks noChangeArrowheads="1"/>
        </xdr:cNvSpPr>
      </xdr:nvSpPr>
      <xdr:spPr bwMode="auto">
        <a:xfrm>
          <a:off x="1905000" y="619125"/>
          <a:ext cx="161925"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24"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625"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26"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627"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28"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29"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30"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31"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632"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33"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95250</xdr:rowOff>
    </xdr:to>
    <xdr:sp macro="" textlink="">
      <xdr:nvSpPr>
        <xdr:cNvPr id="634" name="Text Box 68"/>
        <xdr:cNvSpPr txBox="1">
          <a:spLocks noChangeArrowheads="1"/>
        </xdr:cNvSpPr>
      </xdr:nvSpPr>
      <xdr:spPr bwMode="auto">
        <a:xfrm>
          <a:off x="1905000" y="619125"/>
          <a:ext cx="152400" cy="95250"/>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35"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36"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twoCellAnchor editAs="oneCell">
    <xdr:from>
      <xdr:col>3</xdr:col>
      <xdr:colOff>447675</xdr:colOff>
      <xdr:row>36</xdr:row>
      <xdr:rowOff>304800</xdr:rowOff>
    </xdr:from>
    <xdr:to>
      <xdr:col>3</xdr:col>
      <xdr:colOff>600075</xdr:colOff>
      <xdr:row>37</xdr:row>
      <xdr:rowOff>104775</xdr:rowOff>
    </xdr:to>
    <xdr:sp macro="" textlink="">
      <xdr:nvSpPr>
        <xdr:cNvPr id="637" name="Text Box 68"/>
        <xdr:cNvSpPr txBox="1">
          <a:spLocks noChangeArrowheads="1"/>
        </xdr:cNvSpPr>
      </xdr:nvSpPr>
      <xdr:spPr bwMode="auto">
        <a:xfrm>
          <a:off x="1905000" y="619125"/>
          <a:ext cx="152400" cy="1047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523875</xdr:colOff>
      <xdr:row>70</xdr:row>
      <xdr:rowOff>0</xdr:rowOff>
    </xdr:from>
    <xdr:to>
      <xdr:col>3</xdr:col>
      <xdr:colOff>609600</xdr:colOff>
      <xdr:row>70</xdr:row>
      <xdr:rowOff>28575</xdr:rowOff>
    </xdr:to>
    <xdr:sp macro="" textlink="">
      <xdr:nvSpPr>
        <xdr:cNvPr id="2"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3"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4"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6"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7"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8"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9"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10"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605409</xdr:colOff>
      <xdr:row>70</xdr:row>
      <xdr:rowOff>7493</xdr:rowOff>
    </xdr:to>
    <xdr:sp macro="" textlink="">
      <xdr:nvSpPr>
        <xdr:cNvPr id="11" name="Text Box 72"/>
        <xdr:cNvSpPr txBox="1">
          <a:spLocks noChangeArrowheads="1"/>
        </xdr:cNvSpPr>
      </xdr:nvSpPr>
      <xdr:spPr bwMode="auto">
        <a:xfrm>
          <a:off x="1866900"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12"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13"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14"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15"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16"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17"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18" name="Text Box 25"/>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19"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20"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21"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22"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23"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24"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25"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26"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27"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28"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29"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30"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31"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605409</xdr:colOff>
      <xdr:row>70</xdr:row>
      <xdr:rowOff>7493</xdr:rowOff>
    </xdr:to>
    <xdr:sp macro="" textlink="">
      <xdr:nvSpPr>
        <xdr:cNvPr id="32" name="Text Box 72"/>
        <xdr:cNvSpPr txBox="1">
          <a:spLocks noChangeArrowheads="1"/>
        </xdr:cNvSpPr>
      </xdr:nvSpPr>
      <xdr:spPr bwMode="auto">
        <a:xfrm>
          <a:off x="1866900" y="0"/>
          <a:ext cx="167259"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33"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34"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35"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36"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37"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38"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39" name="Text Box 25"/>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40"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41"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42"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610743</xdr:colOff>
      <xdr:row>70</xdr:row>
      <xdr:rowOff>28575</xdr:rowOff>
    </xdr:to>
    <xdr:sp macro="" textlink="">
      <xdr:nvSpPr>
        <xdr:cNvPr id="43" name="Text Box 68"/>
        <xdr:cNvSpPr txBox="1">
          <a:spLocks noChangeArrowheads="1"/>
        </xdr:cNvSpPr>
      </xdr:nvSpPr>
      <xdr:spPr bwMode="auto">
        <a:xfrm>
          <a:off x="1876425" y="0"/>
          <a:ext cx="163068"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44"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45"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46"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47"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48"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49"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0"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1"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52"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613410</xdr:colOff>
      <xdr:row>70</xdr:row>
      <xdr:rowOff>7493</xdr:rowOff>
    </xdr:to>
    <xdr:sp macro="" textlink="">
      <xdr:nvSpPr>
        <xdr:cNvPr id="53" name="Text Box 72"/>
        <xdr:cNvSpPr txBox="1">
          <a:spLocks noChangeArrowheads="1"/>
        </xdr:cNvSpPr>
      </xdr:nvSpPr>
      <xdr:spPr bwMode="auto">
        <a:xfrm>
          <a:off x="18669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54"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55"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6"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7"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8"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9"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60" name="Text Box 25"/>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61"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62"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63"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64"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65"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66"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67"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68"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69"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70"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71"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72"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73"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613410</xdr:colOff>
      <xdr:row>70</xdr:row>
      <xdr:rowOff>7493</xdr:rowOff>
    </xdr:to>
    <xdr:sp macro="" textlink="">
      <xdr:nvSpPr>
        <xdr:cNvPr id="74" name="Text Box 72"/>
        <xdr:cNvSpPr txBox="1">
          <a:spLocks noChangeArrowheads="1"/>
        </xdr:cNvSpPr>
      </xdr:nvSpPr>
      <xdr:spPr bwMode="auto">
        <a:xfrm>
          <a:off x="18669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75"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76" name="Text Box 11"/>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77"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78"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79"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80"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19050</xdr:rowOff>
    </xdr:to>
    <xdr:sp macro="" textlink="">
      <xdr:nvSpPr>
        <xdr:cNvPr id="81" name="Text Box 25"/>
        <xdr:cNvSpPr txBox="1">
          <a:spLocks noChangeArrowheads="1"/>
        </xdr:cNvSpPr>
      </xdr:nvSpPr>
      <xdr:spPr bwMode="auto">
        <a:xfrm>
          <a:off x="2447925" y="0"/>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82"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83"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84"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85"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oneCellAnchor>
    <xdr:from>
      <xdr:col>6</xdr:col>
      <xdr:colOff>66675</xdr:colOff>
      <xdr:row>71</xdr:row>
      <xdr:rowOff>66675</xdr:rowOff>
    </xdr:from>
    <xdr:ext cx="194454" cy="240740"/>
    <xdr:sp macro="" textlink="">
      <xdr:nvSpPr>
        <xdr:cNvPr id="86" name="TextBox 85"/>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70</xdr:row>
      <xdr:rowOff>0</xdr:rowOff>
    </xdr:from>
    <xdr:to>
      <xdr:col>3</xdr:col>
      <xdr:colOff>609600</xdr:colOff>
      <xdr:row>70</xdr:row>
      <xdr:rowOff>28575</xdr:rowOff>
    </xdr:to>
    <xdr:sp macro="" textlink="">
      <xdr:nvSpPr>
        <xdr:cNvPr id="87"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88"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89" name="Text Box 34"/>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90"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91"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92"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93"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94"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95"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96"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613410</xdr:colOff>
      <xdr:row>70</xdr:row>
      <xdr:rowOff>7493</xdr:rowOff>
    </xdr:to>
    <xdr:sp macro="" textlink="">
      <xdr:nvSpPr>
        <xdr:cNvPr id="97" name="Text Box 72"/>
        <xdr:cNvSpPr txBox="1">
          <a:spLocks noChangeArrowheads="1"/>
        </xdr:cNvSpPr>
      </xdr:nvSpPr>
      <xdr:spPr bwMode="auto">
        <a:xfrm>
          <a:off x="18669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98"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99"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100"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101"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102" name="Text Box 63"/>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103"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104"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105"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106"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107" name="Text Box 25"/>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108"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109"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110"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111"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112" name="Text Box 44"/>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113" name="Text Box 50"/>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114" name="Text Box 52"/>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115" name="Text Box 55"/>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116" name="Text Box 39"/>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117" name="Text Box 8"/>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1019175</xdr:colOff>
      <xdr:row>72</xdr:row>
      <xdr:rowOff>28575</xdr:rowOff>
    </xdr:to>
    <xdr:sp macro="" textlink="">
      <xdr:nvSpPr>
        <xdr:cNvPr id="118" name="Text Box 11"/>
        <xdr:cNvSpPr txBox="1">
          <a:spLocks noChangeArrowheads="1"/>
        </xdr:cNvSpPr>
      </xdr:nvSpPr>
      <xdr:spPr bwMode="auto">
        <a:xfrm>
          <a:off x="2447925" y="381000"/>
          <a:ext cx="0" cy="28575"/>
        </a:xfrm>
        <a:prstGeom prst="rect">
          <a:avLst/>
        </a:prstGeom>
        <a:noFill/>
        <a:ln w="9525">
          <a:noFill/>
          <a:miter lim="800000"/>
          <a:headEnd/>
          <a:tailEnd/>
        </a:ln>
      </xdr:spPr>
    </xdr:sp>
    <xdr:clientData/>
  </xdr:twoCellAnchor>
  <xdr:twoCellAnchor editAs="oneCell">
    <xdr:from>
      <xdr:col>3</xdr:col>
      <xdr:colOff>523875</xdr:colOff>
      <xdr:row>72</xdr:row>
      <xdr:rowOff>0</xdr:rowOff>
    </xdr:from>
    <xdr:to>
      <xdr:col>3</xdr:col>
      <xdr:colOff>609600</xdr:colOff>
      <xdr:row>72</xdr:row>
      <xdr:rowOff>9525</xdr:rowOff>
    </xdr:to>
    <xdr:sp macro="" textlink="">
      <xdr:nvSpPr>
        <xdr:cNvPr id="119" name="Text Box 63"/>
        <xdr:cNvSpPr txBox="1">
          <a:spLocks noChangeArrowheads="1"/>
        </xdr:cNvSpPr>
      </xdr:nvSpPr>
      <xdr:spPr bwMode="auto">
        <a:xfrm>
          <a:off x="1952625" y="381000"/>
          <a:ext cx="85725" cy="9525"/>
        </a:xfrm>
        <a:prstGeom prst="rect">
          <a:avLst/>
        </a:prstGeom>
        <a:noFill/>
        <a:ln w="9525">
          <a:noFill/>
          <a:miter lim="800000"/>
          <a:headEnd/>
          <a:tailEnd/>
        </a:ln>
      </xdr:spPr>
    </xdr:sp>
    <xdr:clientData/>
  </xdr:twoCellAnchor>
  <xdr:twoCellAnchor editAs="oneCell">
    <xdr:from>
      <xdr:col>3</xdr:col>
      <xdr:colOff>714375</xdr:colOff>
      <xdr:row>72</xdr:row>
      <xdr:rowOff>0</xdr:rowOff>
    </xdr:from>
    <xdr:to>
      <xdr:col>3</xdr:col>
      <xdr:colOff>714375</xdr:colOff>
      <xdr:row>72</xdr:row>
      <xdr:rowOff>28575</xdr:rowOff>
    </xdr:to>
    <xdr:sp macro="" textlink="">
      <xdr:nvSpPr>
        <xdr:cNvPr id="120" name="Text Box 68"/>
        <xdr:cNvSpPr txBox="1">
          <a:spLocks noChangeArrowheads="1"/>
        </xdr:cNvSpPr>
      </xdr:nvSpPr>
      <xdr:spPr bwMode="auto">
        <a:xfrm>
          <a:off x="2143125" y="381000"/>
          <a:ext cx="0" cy="28575"/>
        </a:xfrm>
        <a:prstGeom prst="rect">
          <a:avLst/>
        </a:prstGeom>
        <a:noFill/>
        <a:ln w="9525">
          <a:noFill/>
          <a:miter lim="800000"/>
          <a:headEnd/>
          <a:tailEnd/>
        </a:ln>
      </xdr:spPr>
    </xdr:sp>
    <xdr:clientData/>
  </xdr:twoCellAnchor>
  <xdr:twoCellAnchor editAs="oneCell">
    <xdr:from>
      <xdr:col>3</xdr:col>
      <xdr:colOff>123825</xdr:colOff>
      <xdr:row>72</xdr:row>
      <xdr:rowOff>0</xdr:rowOff>
    </xdr:from>
    <xdr:to>
      <xdr:col>3</xdr:col>
      <xdr:colOff>523875</xdr:colOff>
      <xdr:row>72</xdr:row>
      <xdr:rowOff>0</xdr:rowOff>
    </xdr:to>
    <xdr:sp macro="" textlink="">
      <xdr:nvSpPr>
        <xdr:cNvPr id="121" name="Text Box 71"/>
        <xdr:cNvSpPr txBox="1">
          <a:spLocks noChangeArrowheads="1"/>
        </xdr:cNvSpPr>
      </xdr:nvSpPr>
      <xdr:spPr bwMode="auto">
        <a:xfrm rot="313457">
          <a:off x="1552575" y="381000"/>
          <a:ext cx="400050" cy="0"/>
        </a:xfrm>
        <a:prstGeom prst="rect">
          <a:avLst/>
        </a:prstGeom>
        <a:noFill/>
        <a:ln w="9525">
          <a:noFill/>
          <a:miter lim="800000"/>
          <a:headEnd/>
          <a:tailEnd/>
        </a:ln>
      </xdr:spPr>
    </xdr:sp>
    <xdr:clientData/>
  </xdr:twoCellAnchor>
  <xdr:twoCellAnchor editAs="oneCell">
    <xdr:from>
      <xdr:col>3</xdr:col>
      <xdr:colOff>438150</xdr:colOff>
      <xdr:row>72</xdr:row>
      <xdr:rowOff>0</xdr:rowOff>
    </xdr:from>
    <xdr:to>
      <xdr:col>3</xdr:col>
      <xdr:colOff>613410</xdr:colOff>
      <xdr:row>72</xdr:row>
      <xdr:rowOff>7493</xdr:rowOff>
    </xdr:to>
    <xdr:sp macro="" textlink="">
      <xdr:nvSpPr>
        <xdr:cNvPr id="122" name="Text Box 72"/>
        <xdr:cNvSpPr txBox="1">
          <a:spLocks noChangeArrowheads="1"/>
        </xdr:cNvSpPr>
      </xdr:nvSpPr>
      <xdr:spPr bwMode="auto">
        <a:xfrm>
          <a:off x="1866900" y="381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72</xdr:row>
      <xdr:rowOff>0</xdr:rowOff>
    </xdr:from>
    <xdr:ext cx="194454" cy="240740"/>
    <xdr:sp macro="" textlink="">
      <xdr:nvSpPr>
        <xdr:cNvPr id="123" name="TextBox 122"/>
        <xdr:cNvSpPr txBox="1"/>
      </xdr:nvSpPr>
      <xdr:spPr>
        <a:xfrm>
          <a:off x="933450" y="381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71</xdr:row>
      <xdr:rowOff>66675</xdr:rowOff>
    </xdr:from>
    <xdr:ext cx="194454" cy="240740"/>
    <xdr:sp macro="" textlink="">
      <xdr:nvSpPr>
        <xdr:cNvPr id="124" name="TextBox 123"/>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74</xdr:row>
      <xdr:rowOff>304800</xdr:rowOff>
    </xdr:from>
    <xdr:to>
      <xdr:col>3</xdr:col>
      <xdr:colOff>609600</xdr:colOff>
      <xdr:row>75</xdr:row>
      <xdr:rowOff>1681</xdr:rowOff>
    </xdr:to>
    <xdr:sp macro="" textlink="">
      <xdr:nvSpPr>
        <xdr:cNvPr id="125"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26" name="Text Box 29"/>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27"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99732</xdr:rowOff>
    </xdr:to>
    <xdr:sp macro="" textlink="">
      <xdr:nvSpPr>
        <xdr:cNvPr id="128"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29"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438150</xdr:colOff>
      <xdr:row>74</xdr:row>
      <xdr:rowOff>257175</xdr:rowOff>
    </xdr:from>
    <xdr:to>
      <xdr:col>3</xdr:col>
      <xdr:colOff>609600</xdr:colOff>
      <xdr:row>75</xdr:row>
      <xdr:rowOff>1681</xdr:rowOff>
    </xdr:to>
    <xdr:sp macro="" textlink="">
      <xdr:nvSpPr>
        <xdr:cNvPr id="130" name="Text Box 72"/>
        <xdr:cNvSpPr txBox="1">
          <a:spLocks noChangeArrowheads="1"/>
        </xdr:cNvSpPr>
      </xdr:nvSpPr>
      <xdr:spPr bwMode="auto">
        <a:xfrm>
          <a:off x="1866900" y="952500"/>
          <a:ext cx="17145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31" name="Text Box 29"/>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32"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99732</xdr:rowOff>
    </xdr:to>
    <xdr:sp macro="" textlink="">
      <xdr:nvSpPr>
        <xdr:cNvPr id="133"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34"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35"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36"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13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38"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39"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40"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41"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42"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43"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144"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45"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46"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0</xdr:rowOff>
    </xdr:from>
    <xdr:to>
      <xdr:col>3</xdr:col>
      <xdr:colOff>609600</xdr:colOff>
      <xdr:row>74</xdr:row>
      <xdr:rowOff>95250</xdr:rowOff>
    </xdr:to>
    <xdr:sp macro="" textlink="">
      <xdr:nvSpPr>
        <xdr:cNvPr id="147" name="Text Box 8"/>
        <xdr:cNvSpPr txBox="1">
          <a:spLocks noChangeArrowheads="1"/>
        </xdr:cNvSpPr>
      </xdr:nvSpPr>
      <xdr:spPr bwMode="auto">
        <a:xfrm>
          <a:off x="1952625" y="762000"/>
          <a:ext cx="85725"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95250</xdr:rowOff>
    </xdr:to>
    <xdr:sp macro="" textlink="">
      <xdr:nvSpPr>
        <xdr:cNvPr id="148" name="Text Box 68"/>
        <xdr:cNvSpPr txBox="1">
          <a:spLocks noChangeArrowheads="1"/>
        </xdr:cNvSpPr>
      </xdr:nvSpPr>
      <xdr:spPr bwMode="auto">
        <a:xfrm>
          <a:off x="1876425" y="762000"/>
          <a:ext cx="161925"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49" name="Text Box 1"/>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50"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95250</xdr:rowOff>
    </xdr:to>
    <xdr:sp macro="" textlink="">
      <xdr:nvSpPr>
        <xdr:cNvPr id="151" name="Text Box 68"/>
        <xdr:cNvSpPr txBox="1">
          <a:spLocks noChangeArrowheads="1"/>
        </xdr:cNvSpPr>
      </xdr:nvSpPr>
      <xdr:spPr bwMode="auto">
        <a:xfrm>
          <a:off x="1876425" y="762000"/>
          <a:ext cx="161925" cy="9525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152"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153"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54"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55"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56"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57"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58"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159"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60"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61"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62"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63"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64"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65"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66"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67"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68"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69"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70"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71"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72"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173"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74"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75"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176"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77"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78"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179"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180"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81"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82"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83"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84"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85"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186"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87"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88"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89"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90"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91"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92"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193"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194"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95"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96"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197"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98"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199"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200"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201"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202"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203"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204"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05"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06"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0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08"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09"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0"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1"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2"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3"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4"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5"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6"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8"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19"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0"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1"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2"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3"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4"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5"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6"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228"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229"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0</xdr:rowOff>
    </xdr:from>
    <xdr:to>
      <xdr:col>3</xdr:col>
      <xdr:colOff>609600</xdr:colOff>
      <xdr:row>74</xdr:row>
      <xdr:rowOff>104775</xdr:rowOff>
    </xdr:to>
    <xdr:sp macro="" textlink="">
      <xdr:nvSpPr>
        <xdr:cNvPr id="230" name="Text Box 55"/>
        <xdr:cNvSpPr txBox="1">
          <a:spLocks noChangeArrowheads="1"/>
        </xdr:cNvSpPr>
      </xdr:nvSpPr>
      <xdr:spPr bwMode="auto">
        <a:xfrm>
          <a:off x="1952625" y="762000"/>
          <a:ext cx="857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31"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32"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233"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34"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35"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36"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37"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38"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239"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240"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41"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42"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43"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44"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45"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46"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247"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248"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49"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50"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51"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52"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53"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54"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55"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56"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257"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58"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59"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60"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61"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62"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263"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438150</xdr:colOff>
      <xdr:row>74</xdr:row>
      <xdr:rowOff>257175</xdr:rowOff>
    </xdr:from>
    <xdr:to>
      <xdr:col>3</xdr:col>
      <xdr:colOff>609600</xdr:colOff>
      <xdr:row>75</xdr:row>
      <xdr:rowOff>1681</xdr:rowOff>
    </xdr:to>
    <xdr:sp macro="" textlink="">
      <xdr:nvSpPr>
        <xdr:cNvPr id="264" name="Text Box 72"/>
        <xdr:cNvSpPr txBox="1">
          <a:spLocks noChangeArrowheads="1"/>
        </xdr:cNvSpPr>
      </xdr:nvSpPr>
      <xdr:spPr bwMode="auto">
        <a:xfrm>
          <a:off x="1866900" y="952500"/>
          <a:ext cx="171450" cy="0"/>
        </a:xfrm>
        <a:prstGeom prst="rect">
          <a:avLst/>
        </a:prstGeom>
        <a:noFill/>
        <a:ln w="9525">
          <a:noFill/>
          <a:miter lim="800000"/>
          <a:headEnd/>
          <a:tailEnd/>
        </a:ln>
      </xdr:spPr>
    </xdr:sp>
    <xdr:clientData/>
  </xdr:twoCellAnchor>
  <xdr:twoCellAnchor editAs="oneCell">
    <xdr:from>
      <xdr:col>3</xdr:col>
      <xdr:colOff>523875</xdr:colOff>
      <xdr:row>74</xdr:row>
      <xdr:rowOff>0</xdr:rowOff>
    </xdr:from>
    <xdr:to>
      <xdr:col>3</xdr:col>
      <xdr:colOff>609600</xdr:colOff>
      <xdr:row>74</xdr:row>
      <xdr:rowOff>104775</xdr:rowOff>
    </xdr:to>
    <xdr:sp macro="" textlink="">
      <xdr:nvSpPr>
        <xdr:cNvPr id="265" name="Text Box 55"/>
        <xdr:cNvSpPr txBox="1">
          <a:spLocks noChangeArrowheads="1"/>
        </xdr:cNvSpPr>
      </xdr:nvSpPr>
      <xdr:spPr bwMode="auto">
        <a:xfrm>
          <a:off x="1952625" y="762000"/>
          <a:ext cx="857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66"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67"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268"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69"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70"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71"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72"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273"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274"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275"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76"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77"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278"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279"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80"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81"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82"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83"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284"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285"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286"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87"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88"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89"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0"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1"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2"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3"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4"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5"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6"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297"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oneCellAnchor>
    <xdr:from>
      <xdr:col>6</xdr:col>
      <xdr:colOff>66675</xdr:colOff>
      <xdr:row>71</xdr:row>
      <xdr:rowOff>66675</xdr:rowOff>
    </xdr:from>
    <xdr:ext cx="194454" cy="240740"/>
    <xdr:sp macro="" textlink="">
      <xdr:nvSpPr>
        <xdr:cNvPr id="298" name="TextBox 297"/>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70</xdr:row>
      <xdr:rowOff>0</xdr:rowOff>
    </xdr:from>
    <xdr:to>
      <xdr:col>3</xdr:col>
      <xdr:colOff>609600</xdr:colOff>
      <xdr:row>70</xdr:row>
      <xdr:rowOff>28575</xdr:rowOff>
    </xdr:to>
    <xdr:sp macro="" textlink="">
      <xdr:nvSpPr>
        <xdr:cNvPr id="299"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300"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301" name="Text Box 34"/>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302"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303"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304"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305"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306"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307"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308"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613410</xdr:colOff>
      <xdr:row>70</xdr:row>
      <xdr:rowOff>7493</xdr:rowOff>
    </xdr:to>
    <xdr:sp macro="" textlink="">
      <xdr:nvSpPr>
        <xdr:cNvPr id="309" name="Text Box 72"/>
        <xdr:cNvSpPr txBox="1">
          <a:spLocks noChangeArrowheads="1"/>
        </xdr:cNvSpPr>
      </xdr:nvSpPr>
      <xdr:spPr bwMode="auto">
        <a:xfrm>
          <a:off x="18669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310"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311"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312"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313"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314" name="Text Box 63"/>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315"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316"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317"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318"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319" name="Text Box 25"/>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320"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321"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322"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323"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324" name="Text Box 44"/>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325" name="Text Box 50"/>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326" name="Text Box 52"/>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327" name="Text Box 55"/>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328" name="Text Box 39"/>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329" name="Text Box 8"/>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1019175</xdr:colOff>
      <xdr:row>72</xdr:row>
      <xdr:rowOff>28575</xdr:rowOff>
    </xdr:to>
    <xdr:sp macro="" textlink="">
      <xdr:nvSpPr>
        <xdr:cNvPr id="330" name="Text Box 11"/>
        <xdr:cNvSpPr txBox="1">
          <a:spLocks noChangeArrowheads="1"/>
        </xdr:cNvSpPr>
      </xdr:nvSpPr>
      <xdr:spPr bwMode="auto">
        <a:xfrm>
          <a:off x="2447925" y="381000"/>
          <a:ext cx="0" cy="28575"/>
        </a:xfrm>
        <a:prstGeom prst="rect">
          <a:avLst/>
        </a:prstGeom>
        <a:noFill/>
        <a:ln w="9525">
          <a:noFill/>
          <a:miter lim="800000"/>
          <a:headEnd/>
          <a:tailEnd/>
        </a:ln>
      </xdr:spPr>
    </xdr:sp>
    <xdr:clientData/>
  </xdr:twoCellAnchor>
  <xdr:twoCellAnchor editAs="oneCell">
    <xdr:from>
      <xdr:col>3</xdr:col>
      <xdr:colOff>523875</xdr:colOff>
      <xdr:row>72</xdr:row>
      <xdr:rowOff>0</xdr:rowOff>
    </xdr:from>
    <xdr:to>
      <xdr:col>3</xdr:col>
      <xdr:colOff>609600</xdr:colOff>
      <xdr:row>72</xdr:row>
      <xdr:rowOff>9525</xdr:rowOff>
    </xdr:to>
    <xdr:sp macro="" textlink="">
      <xdr:nvSpPr>
        <xdr:cNvPr id="331" name="Text Box 63"/>
        <xdr:cNvSpPr txBox="1">
          <a:spLocks noChangeArrowheads="1"/>
        </xdr:cNvSpPr>
      </xdr:nvSpPr>
      <xdr:spPr bwMode="auto">
        <a:xfrm>
          <a:off x="1952625" y="381000"/>
          <a:ext cx="85725" cy="9525"/>
        </a:xfrm>
        <a:prstGeom prst="rect">
          <a:avLst/>
        </a:prstGeom>
        <a:noFill/>
        <a:ln w="9525">
          <a:noFill/>
          <a:miter lim="800000"/>
          <a:headEnd/>
          <a:tailEnd/>
        </a:ln>
      </xdr:spPr>
    </xdr:sp>
    <xdr:clientData/>
  </xdr:twoCellAnchor>
  <xdr:twoCellAnchor editAs="oneCell">
    <xdr:from>
      <xdr:col>3</xdr:col>
      <xdr:colOff>714375</xdr:colOff>
      <xdr:row>72</xdr:row>
      <xdr:rowOff>0</xdr:rowOff>
    </xdr:from>
    <xdr:to>
      <xdr:col>3</xdr:col>
      <xdr:colOff>714375</xdr:colOff>
      <xdr:row>72</xdr:row>
      <xdr:rowOff>28575</xdr:rowOff>
    </xdr:to>
    <xdr:sp macro="" textlink="">
      <xdr:nvSpPr>
        <xdr:cNvPr id="332" name="Text Box 68"/>
        <xdr:cNvSpPr txBox="1">
          <a:spLocks noChangeArrowheads="1"/>
        </xdr:cNvSpPr>
      </xdr:nvSpPr>
      <xdr:spPr bwMode="auto">
        <a:xfrm>
          <a:off x="2143125" y="381000"/>
          <a:ext cx="0" cy="28575"/>
        </a:xfrm>
        <a:prstGeom prst="rect">
          <a:avLst/>
        </a:prstGeom>
        <a:noFill/>
        <a:ln w="9525">
          <a:noFill/>
          <a:miter lim="800000"/>
          <a:headEnd/>
          <a:tailEnd/>
        </a:ln>
      </xdr:spPr>
    </xdr:sp>
    <xdr:clientData/>
  </xdr:twoCellAnchor>
  <xdr:twoCellAnchor editAs="oneCell">
    <xdr:from>
      <xdr:col>3</xdr:col>
      <xdr:colOff>123825</xdr:colOff>
      <xdr:row>72</xdr:row>
      <xdr:rowOff>0</xdr:rowOff>
    </xdr:from>
    <xdr:to>
      <xdr:col>3</xdr:col>
      <xdr:colOff>523875</xdr:colOff>
      <xdr:row>72</xdr:row>
      <xdr:rowOff>0</xdr:rowOff>
    </xdr:to>
    <xdr:sp macro="" textlink="">
      <xdr:nvSpPr>
        <xdr:cNvPr id="333" name="Text Box 71"/>
        <xdr:cNvSpPr txBox="1">
          <a:spLocks noChangeArrowheads="1"/>
        </xdr:cNvSpPr>
      </xdr:nvSpPr>
      <xdr:spPr bwMode="auto">
        <a:xfrm rot="313457">
          <a:off x="1552575" y="381000"/>
          <a:ext cx="400050" cy="0"/>
        </a:xfrm>
        <a:prstGeom prst="rect">
          <a:avLst/>
        </a:prstGeom>
        <a:noFill/>
        <a:ln w="9525">
          <a:noFill/>
          <a:miter lim="800000"/>
          <a:headEnd/>
          <a:tailEnd/>
        </a:ln>
      </xdr:spPr>
    </xdr:sp>
    <xdr:clientData/>
  </xdr:twoCellAnchor>
  <xdr:twoCellAnchor editAs="oneCell">
    <xdr:from>
      <xdr:col>3</xdr:col>
      <xdr:colOff>438150</xdr:colOff>
      <xdr:row>72</xdr:row>
      <xdr:rowOff>0</xdr:rowOff>
    </xdr:from>
    <xdr:to>
      <xdr:col>3</xdr:col>
      <xdr:colOff>613410</xdr:colOff>
      <xdr:row>72</xdr:row>
      <xdr:rowOff>7493</xdr:rowOff>
    </xdr:to>
    <xdr:sp macro="" textlink="">
      <xdr:nvSpPr>
        <xdr:cNvPr id="334" name="Text Box 72"/>
        <xdr:cNvSpPr txBox="1">
          <a:spLocks noChangeArrowheads="1"/>
        </xdr:cNvSpPr>
      </xdr:nvSpPr>
      <xdr:spPr bwMode="auto">
        <a:xfrm>
          <a:off x="1866900" y="381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72</xdr:row>
      <xdr:rowOff>0</xdr:rowOff>
    </xdr:from>
    <xdr:ext cx="194454" cy="240740"/>
    <xdr:sp macro="" textlink="">
      <xdr:nvSpPr>
        <xdr:cNvPr id="335" name="TextBox 334"/>
        <xdr:cNvSpPr txBox="1"/>
      </xdr:nvSpPr>
      <xdr:spPr>
        <a:xfrm>
          <a:off x="933450" y="381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71</xdr:row>
      <xdr:rowOff>66675</xdr:rowOff>
    </xdr:from>
    <xdr:ext cx="194454" cy="240740"/>
    <xdr:sp macro="" textlink="">
      <xdr:nvSpPr>
        <xdr:cNvPr id="336" name="TextBox 335"/>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74</xdr:row>
      <xdr:rowOff>304800</xdr:rowOff>
    </xdr:from>
    <xdr:to>
      <xdr:col>3</xdr:col>
      <xdr:colOff>609600</xdr:colOff>
      <xdr:row>75</xdr:row>
      <xdr:rowOff>1681</xdr:rowOff>
    </xdr:to>
    <xdr:sp macro="" textlink="">
      <xdr:nvSpPr>
        <xdr:cNvPr id="33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38" name="Text Box 29"/>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39"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99732</xdr:rowOff>
    </xdr:to>
    <xdr:sp macro="" textlink="">
      <xdr:nvSpPr>
        <xdr:cNvPr id="340"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41"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438150</xdr:colOff>
      <xdr:row>74</xdr:row>
      <xdr:rowOff>257175</xdr:rowOff>
    </xdr:from>
    <xdr:to>
      <xdr:col>3</xdr:col>
      <xdr:colOff>609600</xdr:colOff>
      <xdr:row>75</xdr:row>
      <xdr:rowOff>1681</xdr:rowOff>
    </xdr:to>
    <xdr:sp macro="" textlink="">
      <xdr:nvSpPr>
        <xdr:cNvPr id="342" name="Text Box 72"/>
        <xdr:cNvSpPr txBox="1">
          <a:spLocks noChangeArrowheads="1"/>
        </xdr:cNvSpPr>
      </xdr:nvSpPr>
      <xdr:spPr bwMode="auto">
        <a:xfrm>
          <a:off x="1866900" y="952500"/>
          <a:ext cx="17145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43" name="Text Box 29"/>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44"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99732</xdr:rowOff>
    </xdr:to>
    <xdr:sp macro="" textlink="">
      <xdr:nvSpPr>
        <xdr:cNvPr id="345"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46"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47"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48"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349"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50"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51"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352"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53"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54"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55"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356"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57"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58"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0</xdr:rowOff>
    </xdr:from>
    <xdr:to>
      <xdr:col>3</xdr:col>
      <xdr:colOff>609600</xdr:colOff>
      <xdr:row>74</xdr:row>
      <xdr:rowOff>95250</xdr:rowOff>
    </xdr:to>
    <xdr:sp macro="" textlink="">
      <xdr:nvSpPr>
        <xdr:cNvPr id="359" name="Text Box 8"/>
        <xdr:cNvSpPr txBox="1">
          <a:spLocks noChangeArrowheads="1"/>
        </xdr:cNvSpPr>
      </xdr:nvSpPr>
      <xdr:spPr bwMode="auto">
        <a:xfrm>
          <a:off x="1952625" y="762000"/>
          <a:ext cx="85725"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95250</xdr:rowOff>
    </xdr:to>
    <xdr:sp macro="" textlink="">
      <xdr:nvSpPr>
        <xdr:cNvPr id="360" name="Text Box 68"/>
        <xdr:cNvSpPr txBox="1">
          <a:spLocks noChangeArrowheads="1"/>
        </xdr:cNvSpPr>
      </xdr:nvSpPr>
      <xdr:spPr bwMode="auto">
        <a:xfrm>
          <a:off x="1876425" y="762000"/>
          <a:ext cx="161925"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61" name="Text Box 1"/>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62"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95250</xdr:rowOff>
    </xdr:to>
    <xdr:sp macro="" textlink="">
      <xdr:nvSpPr>
        <xdr:cNvPr id="363" name="Text Box 68"/>
        <xdr:cNvSpPr txBox="1">
          <a:spLocks noChangeArrowheads="1"/>
        </xdr:cNvSpPr>
      </xdr:nvSpPr>
      <xdr:spPr bwMode="auto">
        <a:xfrm>
          <a:off x="1876425" y="762000"/>
          <a:ext cx="161925" cy="9525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364"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365"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66"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67"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68"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69"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370"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371"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72"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73"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74"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375"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76"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77"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378"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79"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80"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81"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82"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83"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384"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385"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86"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87"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388"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89"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90"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391"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392"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93"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94"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95"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396"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397"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398"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399"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00"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01"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02"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03"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04"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405"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406"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07"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08"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09"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10"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11" name="Text Box 8"/>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12"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413"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414"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85725</xdr:rowOff>
    </xdr:to>
    <xdr:sp macro="" textlink="">
      <xdr:nvSpPr>
        <xdr:cNvPr id="415" name="Text Box 22"/>
        <xdr:cNvSpPr txBox="1">
          <a:spLocks noChangeArrowheads="1"/>
        </xdr:cNvSpPr>
      </xdr:nvSpPr>
      <xdr:spPr bwMode="auto">
        <a:xfrm>
          <a:off x="1952625" y="790575"/>
          <a:ext cx="85725" cy="571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609600</xdr:colOff>
      <xdr:row>74</xdr:row>
      <xdr:rowOff>104775</xdr:rowOff>
    </xdr:to>
    <xdr:sp macro="" textlink="">
      <xdr:nvSpPr>
        <xdr:cNvPr id="416" name="Text Box 68"/>
        <xdr:cNvSpPr txBox="1">
          <a:spLocks noChangeArrowheads="1"/>
        </xdr:cNvSpPr>
      </xdr:nvSpPr>
      <xdr:spPr bwMode="auto">
        <a:xfrm>
          <a:off x="1876425" y="762000"/>
          <a:ext cx="161925"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1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18"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19"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0"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1"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2"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3"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4"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5"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6"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8"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29"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0"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1"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2"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3"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4"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5"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6"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7"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8"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39"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609600</xdr:colOff>
      <xdr:row>75</xdr:row>
      <xdr:rowOff>1681</xdr:rowOff>
    </xdr:to>
    <xdr:sp macro="" textlink="">
      <xdr:nvSpPr>
        <xdr:cNvPr id="440" name="Text Box 68"/>
        <xdr:cNvSpPr txBox="1">
          <a:spLocks noChangeArrowheads="1"/>
        </xdr:cNvSpPr>
      </xdr:nvSpPr>
      <xdr:spPr bwMode="auto">
        <a:xfrm>
          <a:off x="1876425" y="952500"/>
          <a:ext cx="161925" cy="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41"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523875</xdr:colOff>
      <xdr:row>74</xdr:row>
      <xdr:rowOff>0</xdr:rowOff>
    </xdr:from>
    <xdr:to>
      <xdr:col>3</xdr:col>
      <xdr:colOff>609600</xdr:colOff>
      <xdr:row>74</xdr:row>
      <xdr:rowOff>104775</xdr:rowOff>
    </xdr:to>
    <xdr:sp macro="" textlink="">
      <xdr:nvSpPr>
        <xdr:cNvPr id="442" name="Text Box 55"/>
        <xdr:cNvSpPr txBox="1">
          <a:spLocks noChangeArrowheads="1"/>
        </xdr:cNvSpPr>
      </xdr:nvSpPr>
      <xdr:spPr bwMode="auto">
        <a:xfrm>
          <a:off x="1952625" y="762000"/>
          <a:ext cx="857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43"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44"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445"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46"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47"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48"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49"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50"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51"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452"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53"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54"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55"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56"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57"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58"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59"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460"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61"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62"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63"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64"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65"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66"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67"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68"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469"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70"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71"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72"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73"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74"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75"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438150</xdr:colOff>
      <xdr:row>74</xdr:row>
      <xdr:rowOff>257175</xdr:rowOff>
    </xdr:from>
    <xdr:to>
      <xdr:col>3</xdr:col>
      <xdr:colOff>609600</xdr:colOff>
      <xdr:row>75</xdr:row>
      <xdr:rowOff>1681</xdr:rowOff>
    </xdr:to>
    <xdr:sp macro="" textlink="">
      <xdr:nvSpPr>
        <xdr:cNvPr id="476" name="Text Box 72"/>
        <xdr:cNvSpPr txBox="1">
          <a:spLocks noChangeArrowheads="1"/>
        </xdr:cNvSpPr>
      </xdr:nvSpPr>
      <xdr:spPr bwMode="auto">
        <a:xfrm>
          <a:off x="1866900" y="952500"/>
          <a:ext cx="171450" cy="0"/>
        </a:xfrm>
        <a:prstGeom prst="rect">
          <a:avLst/>
        </a:prstGeom>
        <a:noFill/>
        <a:ln w="9525">
          <a:noFill/>
          <a:miter lim="800000"/>
          <a:headEnd/>
          <a:tailEnd/>
        </a:ln>
      </xdr:spPr>
    </xdr:sp>
    <xdr:clientData/>
  </xdr:twoCellAnchor>
  <xdr:twoCellAnchor editAs="oneCell">
    <xdr:from>
      <xdr:col>3</xdr:col>
      <xdr:colOff>523875</xdr:colOff>
      <xdr:row>74</xdr:row>
      <xdr:rowOff>0</xdr:rowOff>
    </xdr:from>
    <xdr:to>
      <xdr:col>3</xdr:col>
      <xdr:colOff>609600</xdr:colOff>
      <xdr:row>74</xdr:row>
      <xdr:rowOff>104775</xdr:rowOff>
    </xdr:to>
    <xdr:sp macro="" textlink="">
      <xdr:nvSpPr>
        <xdr:cNvPr id="477" name="Text Box 55"/>
        <xdr:cNvSpPr txBox="1">
          <a:spLocks noChangeArrowheads="1"/>
        </xdr:cNvSpPr>
      </xdr:nvSpPr>
      <xdr:spPr bwMode="auto">
        <a:xfrm>
          <a:off x="1952625" y="762000"/>
          <a:ext cx="857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78"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79"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480"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81" name="Text Box 22"/>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82"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83"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84"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523875</xdr:colOff>
      <xdr:row>74</xdr:row>
      <xdr:rowOff>28575</xdr:rowOff>
    </xdr:from>
    <xdr:to>
      <xdr:col>3</xdr:col>
      <xdr:colOff>609600</xdr:colOff>
      <xdr:row>74</xdr:row>
      <xdr:rowOff>95250</xdr:rowOff>
    </xdr:to>
    <xdr:sp macro="" textlink="">
      <xdr:nvSpPr>
        <xdr:cNvPr id="485" name="Text Box 8"/>
        <xdr:cNvSpPr txBox="1">
          <a:spLocks noChangeArrowheads="1"/>
        </xdr:cNvSpPr>
      </xdr:nvSpPr>
      <xdr:spPr bwMode="auto">
        <a:xfrm>
          <a:off x="1952625" y="790575"/>
          <a:ext cx="85725" cy="666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86"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487"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88"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89"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714375</xdr:colOff>
      <xdr:row>74</xdr:row>
      <xdr:rowOff>114300</xdr:rowOff>
    </xdr:from>
    <xdr:to>
      <xdr:col>3</xdr:col>
      <xdr:colOff>714375</xdr:colOff>
      <xdr:row>74</xdr:row>
      <xdr:rowOff>114300</xdr:rowOff>
    </xdr:to>
    <xdr:sp macro="" textlink="">
      <xdr:nvSpPr>
        <xdr:cNvPr id="490" name="Text Box 68"/>
        <xdr:cNvSpPr txBox="1">
          <a:spLocks noChangeArrowheads="1"/>
        </xdr:cNvSpPr>
      </xdr:nvSpPr>
      <xdr:spPr bwMode="auto">
        <a:xfrm>
          <a:off x="2143125" y="876300"/>
          <a:ext cx="0" cy="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491"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92"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93"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94"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95"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104775</xdr:rowOff>
    </xdr:to>
    <xdr:sp macro="" textlink="">
      <xdr:nvSpPr>
        <xdr:cNvPr id="496" name="Text Box 68"/>
        <xdr:cNvSpPr txBox="1">
          <a:spLocks noChangeArrowheads="1"/>
        </xdr:cNvSpPr>
      </xdr:nvSpPr>
      <xdr:spPr bwMode="auto">
        <a:xfrm>
          <a:off x="1876425" y="7620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497"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74</xdr:row>
      <xdr:rowOff>0</xdr:rowOff>
    </xdr:from>
    <xdr:to>
      <xdr:col>3</xdr:col>
      <xdr:colOff>600075</xdr:colOff>
      <xdr:row>74</xdr:row>
      <xdr:rowOff>95250</xdr:rowOff>
    </xdr:to>
    <xdr:sp macro="" textlink="">
      <xdr:nvSpPr>
        <xdr:cNvPr id="498" name="Text Box 68"/>
        <xdr:cNvSpPr txBox="1">
          <a:spLocks noChangeArrowheads="1"/>
        </xdr:cNvSpPr>
      </xdr:nvSpPr>
      <xdr:spPr bwMode="auto">
        <a:xfrm>
          <a:off x="1876425" y="762000"/>
          <a:ext cx="152400" cy="9525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499"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0"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1"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2"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3"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4"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5"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6"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7"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8"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447675</xdr:colOff>
      <xdr:row>74</xdr:row>
      <xdr:rowOff>304800</xdr:rowOff>
    </xdr:from>
    <xdr:to>
      <xdr:col>3</xdr:col>
      <xdr:colOff>600075</xdr:colOff>
      <xdr:row>75</xdr:row>
      <xdr:rowOff>1681</xdr:rowOff>
    </xdr:to>
    <xdr:sp macro="" textlink="">
      <xdr:nvSpPr>
        <xdr:cNvPr id="509" name="Text Box 68"/>
        <xdr:cNvSpPr txBox="1">
          <a:spLocks noChangeArrowheads="1"/>
        </xdr:cNvSpPr>
      </xdr:nvSpPr>
      <xdr:spPr bwMode="auto">
        <a:xfrm>
          <a:off x="1876425" y="952500"/>
          <a:ext cx="152400" cy="0"/>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10"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511"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12" name="Text Box 34"/>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13"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14"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15"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16"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17"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18"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519"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613410</xdr:colOff>
      <xdr:row>70</xdr:row>
      <xdr:rowOff>7493</xdr:rowOff>
    </xdr:to>
    <xdr:sp macro="" textlink="">
      <xdr:nvSpPr>
        <xdr:cNvPr id="520" name="Text Box 72"/>
        <xdr:cNvSpPr txBox="1">
          <a:spLocks noChangeArrowheads="1"/>
        </xdr:cNvSpPr>
      </xdr:nvSpPr>
      <xdr:spPr bwMode="auto">
        <a:xfrm>
          <a:off x="18669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21"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522"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23"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524"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25" name="Text Box 63"/>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26"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27"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28"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29"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530" name="Text Box 25"/>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31"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32"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33"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34"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35" name="Text Box 29"/>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1020318</xdr:colOff>
      <xdr:row>70</xdr:row>
      <xdr:rowOff>26670</xdr:rowOff>
    </xdr:to>
    <xdr:sp macro="" textlink="">
      <xdr:nvSpPr>
        <xdr:cNvPr id="536" name="Text Box 31"/>
        <xdr:cNvSpPr txBox="1">
          <a:spLocks noChangeArrowheads="1"/>
        </xdr:cNvSpPr>
      </xdr:nvSpPr>
      <xdr:spPr bwMode="auto">
        <a:xfrm>
          <a:off x="2447925" y="0"/>
          <a:ext cx="1143" cy="2667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37" name="Text Box 34"/>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38"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39"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40"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41"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42"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43" name="Text Box 11"/>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19050</xdr:rowOff>
    </xdr:to>
    <xdr:sp macro="" textlink="">
      <xdr:nvSpPr>
        <xdr:cNvPr id="544" name="Text Box 63"/>
        <xdr:cNvSpPr txBox="1">
          <a:spLocks noChangeArrowheads="1"/>
        </xdr:cNvSpPr>
      </xdr:nvSpPr>
      <xdr:spPr bwMode="auto">
        <a:xfrm>
          <a:off x="1952625" y="0"/>
          <a:ext cx="85725" cy="19050"/>
        </a:xfrm>
        <a:prstGeom prst="rect">
          <a:avLst/>
        </a:prstGeom>
        <a:noFill/>
        <a:ln w="9525">
          <a:noFill/>
          <a:miter lim="800000"/>
          <a:headEnd/>
          <a:tailEnd/>
        </a:ln>
      </xdr:spPr>
    </xdr:sp>
    <xdr:clientData/>
  </xdr:twoCellAnchor>
  <xdr:twoCellAnchor editAs="oneCell">
    <xdr:from>
      <xdr:col>3</xdr:col>
      <xdr:colOff>438150</xdr:colOff>
      <xdr:row>70</xdr:row>
      <xdr:rowOff>0</xdr:rowOff>
    </xdr:from>
    <xdr:to>
      <xdr:col>3</xdr:col>
      <xdr:colOff>613410</xdr:colOff>
      <xdr:row>70</xdr:row>
      <xdr:rowOff>7493</xdr:rowOff>
    </xdr:to>
    <xdr:sp macro="" textlink="">
      <xdr:nvSpPr>
        <xdr:cNvPr id="545" name="Text Box 72"/>
        <xdr:cNvSpPr txBox="1">
          <a:spLocks noChangeArrowheads="1"/>
        </xdr:cNvSpPr>
      </xdr:nvSpPr>
      <xdr:spPr bwMode="auto">
        <a:xfrm>
          <a:off x="1866900" y="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46"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547"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48" name="Text Box 8"/>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549" name="Text Box 11"/>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523875</xdr:colOff>
      <xdr:row>70</xdr:row>
      <xdr:rowOff>28575</xdr:rowOff>
    </xdr:from>
    <xdr:to>
      <xdr:col>3</xdr:col>
      <xdr:colOff>609600</xdr:colOff>
      <xdr:row>70</xdr:row>
      <xdr:rowOff>28575</xdr:rowOff>
    </xdr:to>
    <xdr:sp macro="" textlink="">
      <xdr:nvSpPr>
        <xdr:cNvPr id="550" name="Text Box 63"/>
        <xdr:cNvSpPr txBox="1">
          <a:spLocks noChangeArrowheads="1"/>
        </xdr:cNvSpPr>
      </xdr:nvSpPr>
      <xdr:spPr bwMode="auto">
        <a:xfrm>
          <a:off x="1952625" y="28575"/>
          <a:ext cx="85725" cy="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51"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52" name="Text Box 22"/>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1019175</xdr:colOff>
      <xdr:row>70</xdr:row>
      <xdr:rowOff>0</xdr:rowOff>
    </xdr:from>
    <xdr:to>
      <xdr:col>3</xdr:col>
      <xdr:colOff>1019175</xdr:colOff>
      <xdr:row>70</xdr:row>
      <xdr:rowOff>28575</xdr:rowOff>
    </xdr:to>
    <xdr:sp macro="" textlink="">
      <xdr:nvSpPr>
        <xdr:cNvPr id="553" name="Text Box 25"/>
        <xdr:cNvSpPr txBox="1">
          <a:spLocks noChangeArrowheads="1"/>
        </xdr:cNvSpPr>
      </xdr:nvSpPr>
      <xdr:spPr bwMode="auto">
        <a:xfrm>
          <a:off x="2447925" y="0"/>
          <a:ext cx="0"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54"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1019175</xdr:colOff>
      <xdr:row>70</xdr:row>
      <xdr:rowOff>9525</xdr:rowOff>
    </xdr:from>
    <xdr:to>
      <xdr:col>3</xdr:col>
      <xdr:colOff>1019175</xdr:colOff>
      <xdr:row>70</xdr:row>
      <xdr:rowOff>28575</xdr:rowOff>
    </xdr:to>
    <xdr:sp macro="" textlink="">
      <xdr:nvSpPr>
        <xdr:cNvPr id="555" name="Text Box 25"/>
        <xdr:cNvSpPr txBox="1">
          <a:spLocks noChangeArrowheads="1"/>
        </xdr:cNvSpPr>
      </xdr:nvSpPr>
      <xdr:spPr bwMode="auto">
        <a:xfrm>
          <a:off x="2447925" y="9525"/>
          <a:ext cx="0" cy="19050"/>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56"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523875</xdr:colOff>
      <xdr:row>70</xdr:row>
      <xdr:rowOff>0</xdr:rowOff>
    </xdr:from>
    <xdr:to>
      <xdr:col>3</xdr:col>
      <xdr:colOff>609600</xdr:colOff>
      <xdr:row>70</xdr:row>
      <xdr:rowOff>28575</xdr:rowOff>
    </xdr:to>
    <xdr:sp macro="" textlink="">
      <xdr:nvSpPr>
        <xdr:cNvPr id="557" name="Text Box 8"/>
        <xdr:cNvSpPr txBox="1">
          <a:spLocks noChangeArrowheads="1"/>
        </xdr:cNvSpPr>
      </xdr:nvSpPr>
      <xdr:spPr bwMode="auto">
        <a:xfrm>
          <a:off x="1952625" y="0"/>
          <a:ext cx="857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58"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twoCellAnchor editAs="oneCell">
    <xdr:from>
      <xdr:col>3</xdr:col>
      <xdr:colOff>447675</xdr:colOff>
      <xdr:row>70</xdr:row>
      <xdr:rowOff>0</xdr:rowOff>
    </xdr:from>
    <xdr:to>
      <xdr:col>3</xdr:col>
      <xdr:colOff>609600</xdr:colOff>
      <xdr:row>70</xdr:row>
      <xdr:rowOff>28575</xdr:rowOff>
    </xdr:to>
    <xdr:sp macro="" textlink="">
      <xdr:nvSpPr>
        <xdr:cNvPr id="559" name="Text Box 68"/>
        <xdr:cNvSpPr txBox="1">
          <a:spLocks noChangeArrowheads="1"/>
        </xdr:cNvSpPr>
      </xdr:nvSpPr>
      <xdr:spPr bwMode="auto">
        <a:xfrm>
          <a:off x="1876425" y="0"/>
          <a:ext cx="161925" cy="28575"/>
        </a:xfrm>
        <a:prstGeom prst="rect">
          <a:avLst/>
        </a:prstGeom>
        <a:noFill/>
        <a:ln w="9525">
          <a:noFill/>
          <a:miter lim="800000"/>
          <a:headEnd/>
          <a:tailEnd/>
        </a:ln>
      </xdr:spPr>
    </xdr:sp>
    <xdr:clientData/>
  </xdr:twoCellAnchor>
  <xdr:oneCellAnchor>
    <xdr:from>
      <xdr:col>6</xdr:col>
      <xdr:colOff>66675</xdr:colOff>
      <xdr:row>71</xdr:row>
      <xdr:rowOff>66675</xdr:rowOff>
    </xdr:from>
    <xdr:ext cx="194454" cy="240740"/>
    <xdr:sp macro="" textlink="">
      <xdr:nvSpPr>
        <xdr:cNvPr id="561" name="TextBox 560"/>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72</xdr:row>
      <xdr:rowOff>0</xdr:rowOff>
    </xdr:from>
    <xdr:to>
      <xdr:col>3</xdr:col>
      <xdr:colOff>1020318</xdr:colOff>
      <xdr:row>72</xdr:row>
      <xdr:rowOff>29718</xdr:rowOff>
    </xdr:to>
    <xdr:sp macro="" textlink="">
      <xdr:nvSpPr>
        <xdr:cNvPr id="562" name="Text Box 44"/>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563" name="Text Box 50"/>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564" name="Text Box 52"/>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565" name="Text Box 55"/>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566" name="Text Box 39"/>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567" name="Text Box 8"/>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1019175</xdr:colOff>
      <xdr:row>72</xdr:row>
      <xdr:rowOff>28575</xdr:rowOff>
    </xdr:to>
    <xdr:sp macro="" textlink="">
      <xdr:nvSpPr>
        <xdr:cNvPr id="568" name="Text Box 11"/>
        <xdr:cNvSpPr txBox="1">
          <a:spLocks noChangeArrowheads="1"/>
        </xdr:cNvSpPr>
      </xdr:nvSpPr>
      <xdr:spPr bwMode="auto">
        <a:xfrm>
          <a:off x="2447925" y="381000"/>
          <a:ext cx="0" cy="28575"/>
        </a:xfrm>
        <a:prstGeom prst="rect">
          <a:avLst/>
        </a:prstGeom>
        <a:noFill/>
        <a:ln w="9525">
          <a:noFill/>
          <a:miter lim="800000"/>
          <a:headEnd/>
          <a:tailEnd/>
        </a:ln>
      </xdr:spPr>
    </xdr:sp>
    <xdr:clientData/>
  </xdr:twoCellAnchor>
  <xdr:twoCellAnchor editAs="oneCell">
    <xdr:from>
      <xdr:col>3</xdr:col>
      <xdr:colOff>523875</xdr:colOff>
      <xdr:row>72</xdr:row>
      <xdr:rowOff>0</xdr:rowOff>
    </xdr:from>
    <xdr:to>
      <xdr:col>3</xdr:col>
      <xdr:colOff>609600</xdr:colOff>
      <xdr:row>72</xdr:row>
      <xdr:rowOff>9525</xdr:rowOff>
    </xdr:to>
    <xdr:sp macro="" textlink="">
      <xdr:nvSpPr>
        <xdr:cNvPr id="569" name="Text Box 63"/>
        <xdr:cNvSpPr txBox="1">
          <a:spLocks noChangeArrowheads="1"/>
        </xdr:cNvSpPr>
      </xdr:nvSpPr>
      <xdr:spPr bwMode="auto">
        <a:xfrm>
          <a:off x="1952625" y="381000"/>
          <a:ext cx="85725" cy="9525"/>
        </a:xfrm>
        <a:prstGeom prst="rect">
          <a:avLst/>
        </a:prstGeom>
        <a:noFill/>
        <a:ln w="9525">
          <a:noFill/>
          <a:miter lim="800000"/>
          <a:headEnd/>
          <a:tailEnd/>
        </a:ln>
      </xdr:spPr>
    </xdr:sp>
    <xdr:clientData/>
  </xdr:twoCellAnchor>
  <xdr:twoCellAnchor editAs="oneCell">
    <xdr:from>
      <xdr:col>3</xdr:col>
      <xdr:colOff>714375</xdr:colOff>
      <xdr:row>72</xdr:row>
      <xdr:rowOff>0</xdr:rowOff>
    </xdr:from>
    <xdr:to>
      <xdr:col>3</xdr:col>
      <xdr:colOff>714375</xdr:colOff>
      <xdr:row>72</xdr:row>
      <xdr:rowOff>28575</xdr:rowOff>
    </xdr:to>
    <xdr:sp macro="" textlink="">
      <xdr:nvSpPr>
        <xdr:cNvPr id="570" name="Text Box 68"/>
        <xdr:cNvSpPr txBox="1">
          <a:spLocks noChangeArrowheads="1"/>
        </xdr:cNvSpPr>
      </xdr:nvSpPr>
      <xdr:spPr bwMode="auto">
        <a:xfrm>
          <a:off x="2143125" y="381000"/>
          <a:ext cx="0" cy="28575"/>
        </a:xfrm>
        <a:prstGeom prst="rect">
          <a:avLst/>
        </a:prstGeom>
        <a:noFill/>
        <a:ln w="9525">
          <a:noFill/>
          <a:miter lim="800000"/>
          <a:headEnd/>
          <a:tailEnd/>
        </a:ln>
      </xdr:spPr>
    </xdr:sp>
    <xdr:clientData/>
  </xdr:twoCellAnchor>
  <xdr:twoCellAnchor editAs="oneCell">
    <xdr:from>
      <xdr:col>3</xdr:col>
      <xdr:colOff>123825</xdr:colOff>
      <xdr:row>72</xdr:row>
      <xdr:rowOff>0</xdr:rowOff>
    </xdr:from>
    <xdr:to>
      <xdr:col>3</xdr:col>
      <xdr:colOff>523875</xdr:colOff>
      <xdr:row>72</xdr:row>
      <xdr:rowOff>0</xdr:rowOff>
    </xdr:to>
    <xdr:sp macro="" textlink="">
      <xdr:nvSpPr>
        <xdr:cNvPr id="571" name="Text Box 71"/>
        <xdr:cNvSpPr txBox="1">
          <a:spLocks noChangeArrowheads="1"/>
        </xdr:cNvSpPr>
      </xdr:nvSpPr>
      <xdr:spPr bwMode="auto">
        <a:xfrm rot="313457">
          <a:off x="1552575" y="381000"/>
          <a:ext cx="400050" cy="0"/>
        </a:xfrm>
        <a:prstGeom prst="rect">
          <a:avLst/>
        </a:prstGeom>
        <a:noFill/>
        <a:ln w="9525">
          <a:noFill/>
          <a:miter lim="800000"/>
          <a:headEnd/>
          <a:tailEnd/>
        </a:ln>
      </xdr:spPr>
    </xdr:sp>
    <xdr:clientData/>
  </xdr:twoCellAnchor>
  <xdr:twoCellAnchor editAs="oneCell">
    <xdr:from>
      <xdr:col>3</xdr:col>
      <xdr:colOff>438150</xdr:colOff>
      <xdr:row>72</xdr:row>
      <xdr:rowOff>0</xdr:rowOff>
    </xdr:from>
    <xdr:to>
      <xdr:col>3</xdr:col>
      <xdr:colOff>613410</xdr:colOff>
      <xdr:row>72</xdr:row>
      <xdr:rowOff>7493</xdr:rowOff>
    </xdr:to>
    <xdr:sp macro="" textlink="">
      <xdr:nvSpPr>
        <xdr:cNvPr id="572" name="Text Box 72"/>
        <xdr:cNvSpPr txBox="1">
          <a:spLocks noChangeArrowheads="1"/>
        </xdr:cNvSpPr>
      </xdr:nvSpPr>
      <xdr:spPr bwMode="auto">
        <a:xfrm>
          <a:off x="1866900" y="381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72</xdr:row>
      <xdr:rowOff>0</xdr:rowOff>
    </xdr:from>
    <xdr:ext cx="194454" cy="240740"/>
    <xdr:sp macro="" textlink="">
      <xdr:nvSpPr>
        <xdr:cNvPr id="573" name="TextBox 572"/>
        <xdr:cNvSpPr txBox="1"/>
      </xdr:nvSpPr>
      <xdr:spPr>
        <a:xfrm>
          <a:off x="933450" y="381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71</xdr:row>
      <xdr:rowOff>66675</xdr:rowOff>
    </xdr:from>
    <xdr:ext cx="194454" cy="240740"/>
    <xdr:sp macro="" textlink="">
      <xdr:nvSpPr>
        <xdr:cNvPr id="574" name="TextBox 573"/>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72</xdr:row>
      <xdr:rowOff>304800</xdr:rowOff>
    </xdr:from>
    <xdr:to>
      <xdr:col>3</xdr:col>
      <xdr:colOff>609600</xdr:colOff>
      <xdr:row>73</xdr:row>
      <xdr:rowOff>99732</xdr:rowOff>
    </xdr:to>
    <xdr:sp macro="" textlink="">
      <xdr:nvSpPr>
        <xdr:cNvPr id="575"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99732</xdr:rowOff>
    </xdr:to>
    <xdr:sp macro="" textlink="">
      <xdr:nvSpPr>
        <xdr:cNvPr id="576"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77"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78"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79"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80"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81"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82"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83"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84"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585"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86"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587"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88"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589"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0"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1"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2"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3"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594"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5"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596"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7"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8"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599"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oneCellAnchor>
    <xdr:from>
      <xdr:col>6</xdr:col>
      <xdr:colOff>66675</xdr:colOff>
      <xdr:row>71</xdr:row>
      <xdr:rowOff>66675</xdr:rowOff>
    </xdr:from>
    <xdr:ext cx="194454" cy="240740"/>
    <xdr:sp macro="" textlink="">
      <xdr:nvSpPr>
        <xdr:cNvPr id="600" name="TextBox 599"/>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72</xdr:row>
      <xdr:rowOff>0</xdr:rowOff>
    </xdr:from>
    <xdr:to>
      <xdr:col>3</xdr:col>
      <xdr:colOff>1020318</xdr:colOff>
      <xdr:row>72</xdr:row>
      <xdr:rowOff>29718</xdr:rowOff>
    </xdr:to>
    <xdr:sp macro="" textlink="">
      <xdr:nvSpPr>
        <xdr:cNvPr id="601" name="Text Box 44"/>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602" name="Text Box 50"/>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603" name="Text Box 52"/>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604" name="Text Box 55"/>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1020318</xdr:colOff>
      <xdr:row>72</xdr:row>
      <xdr:rowOff>29718</xdr:rowOff>
    </xdr:to>
    <xdr:sp macro="" textlink="">
      <xdr:nvSpPr>
        <xdr:cNvPr id="605" name="Text Box 39"/>
        <xdr:cNvSpPr txBox="1">
          <a:spLocks noChangeArrowheads="1"/>
        </xdr:cNvSpPr>
      </xdr:nvSpPr>
      <xdr:spPr bwMode="auto">
        <a:xfrm>
          <a:off x="2447925" y="381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72</xdr:row>
      <xdr:rowOff>0</xdr:rowOff>
    </xdr:from>
    <xdr:to>
      <xdr:col>3</xdr:col>
      <xdr:colOff>609600</xdr:colOff>
      <xdr:row>72</xdr:row>
      <xdr:rowOff>28575</xdr:rowOff>
    </xdr:to>
    <xdr:sp macro="" textlink="">
      <xdr:nvSpPr>
        <xdr:cNvPr id="606" name="Text Box 8"/>
        <xdr:cNvSpPr txBox="1">
          <a:spLocks noChangeArrowheads="1"/>
        </xdr:cNvSpPr>
      </xdr:nvSpPr>
      <xdr:spPr bwMode="auto">
        <a:xfrm>
          <a:off x="1952625" y="381000"/>
          <a:ext cx="85725" cy="28575"/>
        </a:xfrm>
        <a:prstGeom prst="rect">
          <a:avLst/>
        </a:prstGeom>
        <a:noFill/>
        <a:ln w="9525">
          <a:noFill/>
          <a:miter lim="800000"/>
          <a:headEnd/>
          <a:tailEnd/>
        </a:ln>
      </xdr:spPr>
    </xdr:sp>
    <xdr:clientData/>
  </xdr:twoCellAnchor>
  <xdr:twoCellAnchor editAs="oneCell">
    <xdr:from>
      <xdr:col>3</xdr:col>
      <xdr:colOff>1019175</xdr:colOff>
      <xdr:row>72</xdr:row>
      <xdr:rowOff>0</xdr:rowOff>
    </xdr:from>
    <xdr:to>
      <xdr:col>3</xdr:col>
      <xdr:colOff>1019175</xdr:colOff>
      <xdr:row>72</xdr:row>
      <xdr:rowOff>28575</xdr:rowOff>
    </xdr:to>
    <xdr:sp macro="" textlink="">
      <xdr:nvSpPr>
        <xdr:cNvPr id="607" name="Text Box 11"/>
        <xdr:cNvSpPr txBox="1">
          <a:spLocks noChangeArrowheads="1"/>
        </xdr:cNvSpPr>
      </xdr:nvSpPr>
      <xdr:spPr bwMode="auto">
        <a:xfrm>
          <a:off x="2447925" y="381000"/>
          <a:ext cx="0" cy="28575"/>
        </a:xfrm>
        <a:prstGeom prst="rect">
          <a:avLst/>
        </a:prstGeom>
        <a:noFill/>
        <a:ln w="9525">
          <a:noFill/>
          <a:miter lim="800000"/>
          <a:headEnd/>
          <a:tailEnd/>
        </a:ln>
      </xdr:spPr>
    </xdr:sp>
    <xdr:clientData/>
  </xdr:twoCellAnchor>
  <xdr:twoCellAnchor editAs="oneCell">
    <xdr:from>
      <xdr:col>3</xdr:col>
      <xdr:colOff>523875</xdr:colOff>
      <xdr:row>72</xdr:row>
      <xdr:rowOff>0</xdr:rowOff>
    </xdr:from>
    <xdr:to>
      <xdr:col>3</xdr:col>
      <xdr:colOff>609600</xdr:colOff>
      <xdr:row>72</xdr:row>
      <xdr:rowOff>9525</xdr:rowOff>
    </xdr:to>
    <xdr:sp macro="" textlink="">
      <xdr:nvSpPr>
        <xdr:cNvPr id="608" name="Text Box 63"/>
        <xdr:cNvSpPr txBox="1">
          <a:spLocks noChangeArrowheads="1"/>
        </xdr:cNvSpPr>
      </xdr:nvSpPr>
      <xdr:spPr bwMode="auto">
        <a:xfrm>
          <a:off x="1952625" y="381000"/>
          <a:ext cx="85725" cy="9525"/>
        </a:xfrm>
        <a:prstGeom prst="rect">
          <a:avLst/>
        </a:prstGeom>
        <a:noFill/>
        <a:ln w="9525">
          <a:noFill/>
          <a:miter lim="800000"/>
          <a:headEnd/>
          <a:tailEnd/>
        </a:ln>
      </xdr:spPr>
    </xdr:sp>
    <xdr:clientData/>
  </xdr:twoCellAnchor>
  <xdr:twoCellAnchor editAs="oneCell">
    <xdr:from>
      <xdr:col>3</xdr:col>
      <xdr:colOff>714375</xdr:colOff>
      <xdr:row>72</xdr:row>
      <xdr:rowOff>0</xdr:rowOff>
    </xdr:from>
    <xdr:to>
      <xdr:col>3</xdr:col>
      <xdr:colOff>714375</xdr:colOff>
      <xdr:row>72</xdr:row>
      <xdr:rowOff>28575</xdr:rowOff>
    </xdr:to>
    <xdr:sp macro="" textlink="">
      <xdr:nvSpPr>
        <xdr:cNvPr id="609" name="Text Box 68"/>
        <xdr:cNvSpPr txBox="1">
          <a:spLocks noChangeArrowheads="1"/>
        </xdr:cNvSpPr>
      </xdr:nvSpPr>
      <xdr:spPr bwMode="auto">
        <a:xfrm>
          <a:off x="2143125" y="381000"/>
          <a:ext cx="0" cy="28575"/>
        </a:xfrm>
        <a:prstGeom prst="rect">
          <a:avLst/>
        </a:prstGeom>
        <a:noFill/>
        <a:ln w="9525">
          <a:noFill/>
          <a:miter lim="800000"/>
          <a:headEnd/>
          <a:tailEnd/>
        </a:ln>
      </xdr:spPr>
    </xdr:sp>
    <xdr:clientData/>
  </xdr:twoCellAnchor>
  <xdr:twoCellAnchor editAs="oneCell">
    <xdr:from>
      <xdr:col>3</xdr:col>
      <xdr:colOff>123825</xdr:colOff>
      <xdr:row>72</xdr:row>
      <xdr:rowOff>0</xdr:rowOff>
    </xdr:from>
    <xdr:to>
      <xdr:col>3</xdr:col>
      <xdr:colOff>523875</xdr:colOff>
      <xdr:row>72</xdr:row>
      <xdr:rowOff>0</xdr:rowOff>
    </xdr:to>
    <xdr:sp macro="" textlink="">
      <xdr:nvSpPr>
        <xdr:cNvPr id="610" name="Text Box 71"/>
        <xdr:cNvSpPr txBox="1">
          <a:spLocks noChangeArrowheads="1"/>
        </xdr:cNvSpPr>
      </xdr:nvSpPr>
      <xdr:spPr bwMode="auto">
        <a:xfrm rot="313457">
          <a:off x="1552575" y="381000"/>
          <a:ext cx="400050" cy="0"/>
        </a:xfrm>
        <a:prstGeom prst="rect">
          <a:avLst/>
        </a:prstGeom>
        <a:noFill/>
        <a:ln w="9525">
          <a:noFill/>
          <a:miter lim="800000"/>
          <a:headEnd/>
          <a:tailEnd/>
        </a:ln>
      </xdr:spPr>
    </xdr:sp>
    <xdr:clientData/>
  </xdr:twoCellAnchor>
  <xdr:twoCellAnchor editAs="oneCell">
    <xdr:from>
      <xdr:col>3</xdr:col>
      <xdr:colOff>438150</xdr:colOff>
      <xdr:row>72</xdr:row>
      <xdr:rowOff>0</xdr:rowOff>
    </xdr:from>
    <xdr:to>
      <xdr:col>3</xdr:col>
      <xdr:colOff>613410</xdr:colOff>
      <xdr:row>72</xdr:row>
      <xdr:rowOff>7493</xdr:rowOff>
    </xdr:to>
    <xdr:sp macro="" textlink="">
      <xdr:nvSpPr>
        <xdr:cNvPr id="611" name="Text Box 72"/>
        <xdr:cNvSpPr txBox="1">
          <a:spLocks noChangeArrowheads="1"/>
        </xdr:cNvSpPr>
      </xdr:nvSpPr>
      <xdr:spPr bwMode="auto">
        <a:xfrm>
          <a:off x="1866900" y="381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72</xdr:row>
      <xdr:rowOff>0</xdr:rowOff>
    </xdr:from>
    <xdr:ext cx="194454" cy="240740"/>
    <xdr:sp macro="" textlink="">
      <xdr:nvSpPr>
        <xdr:cNvPr id="612" name="TextBox 611"/>
        <xdr:cNvSpPr txBox="1"/>
      </xdr:nvSpPr>
      <xdr:spPr>
        <a:xfrm>
          <a:off x="933450" y="381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71</xdr:row>
      <xdr:rowOff>66675</xdr:rowOff>
    </xdr:from>
    <xdr:ext cx="194454" cy="240740"/>
    <xdr:sp macro="" textlink="">
      <xdr:nvSpPr>
        <xdr:cNvPr id="613" name="TextBox 612"/>
        <xdr:cNvSpPr txBox="1"/>
      </xdr:nvSpPr>
      <xdr:spPr>
        <a:xfrm>
          <a:off x="3886200" y="2571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72</xdr:row>
      <xdr:rowOff>304800</xdr:rowOff>
    </xdr:from>
    <xdr:to>
      <xdr:col>3</xdr:col>
      <xdr:colOff>609600</xdr:colOff>
      <xdr:row>73</xdr:row>
      <xdr:rowOff>99732</xdr:rowOff>
    </xdr:to>
    <xdr:sp macro="" textlink="">
      <xdr:nvSpPr>
        <xdr:cNvPr id="614"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99732</xdr:rowOff>
    </xdr:to>
    <xdr:sp macro="" textlink="">
      <xdr:nvSpPr>
        <xdr:cNvPr id="615" name="Text Box 68"/>
        <xdr:cNvSpPr txBox="1">
          <a:spLocks noChangeArrowheads="1"/>
        </xdr:cNvSpPr>
      </xdr:nvSpPr>
      <xdr:spPr bwMode="auto">
        <a:xfrm>
          <a:off x="1876425" y="571500"/>
          <a:ext cx="161925"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16"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17"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18"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19"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20"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21"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22"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23"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609600</xdr:colOff>
      <xdr:row>73</xdr:row>
      <xdr:rowOff>109257</xdr:rowOff>
    </xdr:to>
    <xdr:sp macro="" textlink="">
      <xdr:nvSpPr>
        <xdr:cNvPr id="624" name="Text Box 68"/>
        <xdr:cNvSpPr txBox="1">
          <a:spLocks noChangeArrowheads="1"/>
        </xdr:cNvSpPr>
      </xdr:nvSpPr>
      <xdr:spPr bwMode="auto">
        <a:xfrm>
          <a:off x="1876425" y="571500"/>
          <a:ext cx="161925"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25"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626"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27"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628"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29"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30"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31"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32"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633"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34"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99732</xdr:rowOff>
    </xdr:to>
    <xdr:sp macro="" textlink="">
      <xdr:nvSpPr>
        <xdr:cNvPr id="635" name="Text Box 68"/>
        <xdr:cNvSpPr txBox="1">
          <a:spLocks noChangeArrowheads="1"/>
        </xdr:cNvSpPr>
      </xdr:nvSpPr>
      <xdr:spPr bwMode="auto">
        <a:xfrm>
          <a:off x="1876425" y="571500"/>
          <a:ext cx="152400" cy="95250"/>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36"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37"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twoCellAnchor editAs="oneCell">
    <xdr:from>
      <xdr:col>3</xdr:col>
      <xdr:colOff>447675</xdr:colOff>
      <xdr:row>72</xdr:row>
      <xdr:rowOff>304800</xdr:rowOff>
    </xdr:from>
    <xdr:to>
      <xdr:col>3</xdr:col>
      <xdr:colOff>600075</xdr:colOff>
      <xdr:row>73</xdr:row>
      <xdr:rowOff>109257</xdr:rowOff>
    </xdr:to>
    <xdr:sp macro="" textlink="">
      <xdr:nvSpPr>
        <xdr:cNvPr id="638" name="Text Box 68"/>
        <xdr:cNvSpPr txBox="1">
          <a:spLocks noChangeArrowheads="1"/>
        </xdr:cNvSpPr>
      </xdr:nvSpPr>
      <xdr:spPr bwMode="auto">
        <a:xfrm>
          <a:off x="1876425" y="571500"/>
          <a:ext cx="152400" cy="104775"/>
        </a:xfrm>
        <a:prstGeom prst="rect">
          <a:avLst/>
        </a:prstGeom>
        <a:noFill/>
        <a:ln w="9525">
          <a:noFill/>
          <a:miter lim="800000"/>
          <a:headEnd/>
          <a:tailEnd/>
        </a:ln>
      </xdr:spPr>
    </xdr:sp>
    <xdr:clientData/>
  </xdr:twoCellAnchor>
  <xdr:oneCellAnchor>
    <xdr:from>
      <xdr:col>6</xdr:col>
      <xdr:colOff>66675</xdr:colOff>
      <xdr:row>183</xdr:row>
      <xdr:rowOff>66675</xdr:rowOff>
    </xdr:from>
    <xdr:ext cx="194454" cy="240740"/>
    <xdr:sp macro="" textlink="">
      <xdr:nvSpPr>
        <xdr:cNvPr id="653" name="TextBox 652"/>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184</xdr:row>
      <xdr:rowOff>0</xdr:rowOff>
    </xdr:from>
    <xdr:to>
      <xdr:col>3</xdr:col>
      <xdr:colOff>1020318</xdr:colOff>
      <xdr:row>184</xdr:row>
      <xdr:rowOff>29718</xdr:rowOff>
    </xdr:to>
    <xdr:sp macro="" textlink="">
      <xdr:nvSpPr>
        <xdr:cNvPr id="654" name="Text Box 44"/>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655" name="Text Box 50"/>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656" name="Text Box 52"/>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657" name="Text Box 55"/>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658" name="Text Box 39"/>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659" name="Text Box 8"/>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1019175</xdr:colOff>
      <xdr:row>184</xdr:row>
      <xdr:rowOff>28575</xdr:rowOff>
    </xdr:to>
    <xdr:sp macro="" textlink="">
      <xdr:nvSpPr>
        <xdr:cNvPr id="660" name="Text Box 11"/>
        <xdr:cNvSpPr txBox="1">
          <a:spLocks noChangeArrowheads="1"/>
        </xdr:cNvSpPr>
      </xdr:nvSpPr>
      <xdr:spPr bwMode="auto">
        <a:xfrm>
          <a:off x="2771775" y="200025"/>
          <a:ext cx="0" cy="28575"/>
        </a:xfrm>
        <a:prstGeom prst="rect">
          <a:avLst/>
        </a:prstGeom>
        <a:noFill/>
        <a:ln w="9525">
          <a:noFill/>
          <a:miter lim="800000"/>
          <a:headEnd/>
          <a:tailEnd/>
        </a:ln>
      </xdr:spPr>
    </xdr:sp>
    <xdr:clientData/>
  </xdr:twoCellAnchor>
  <xdr:twoCellAnchor editAs="oneCell">
    <xdr:from>
      <xdr:col>3</xdr:col>
      <xdr:colOff>523875</xdr:colOff>
      <xdr:row>184</xdr:row>
      <xdr:rowOff>0</xdr:rowOff>
    </xdr:from>
    <xdr:to>
      <xdr:col>3</xdr:col>
      <xdr:colOff>609600</xdr:colOff>
      <xdr:row>184</xdr:row>
      <xdr:rowOff>9525</xdr:rowOff>
    </xdr:to>
    <xdr:sp macro="" textlink="">
      <xdr:nvSpPr>
        <xdr:cNvPr id="661" name="Text Box 63"/>
        <xdr:cNvSpPr txBox="1">
          <a:spLocks noChangeArrowheads="1"/>
        </xdr:cNvSpPr>
      </xdr:nvSpPr>
      <xdr:spPr bwMode="auto">
        <a:xfrm>
          <a:off x="2276475" y="200025"/>
          <a:ext cx="85725" cy="9525"/>
        </a:xfrm>
        <a:prstGeom prst="rect">
          <a:avLst/>
        </a:prstGeom>
        <a:noFill/>
        <a:ln w="9525">
          <a:noFill/>
          <a:miter lim="800000"/>
          <a:headEnd/>
          <a:tailEnd/>
        </a:ln>
      </xdr:spPr>
    </xdr:sp>
    <xdr:clientData/>
  </xdr:twoCellAnchor>
  <xdr:twoCellAnchor editAs="oneCell">
    <xdr:from>
      <xdr:col>3</xdr:col>
      <xdr:colOff>714375</xdr:colOff>
      <xdr:row>184</xdr:row>
      <xdr:rowOff>0</xdr:rowOff>
    </xdr:from>
    <xdr:to>
      <xdr:col>3</xdr:col>
      <xdr:colOff>714375</xdr:colOff>
      <xdr:row>184</xdr:row>
      <xdr:rowOff>28575</xdr:rowOff>
    </xdr:to>
    <xdr:sp macro="" textlink="">
      <xdr:nvSpPr>
        <xdr:cNvPr id="662" name="Text Box 68"/>
        <xdr:cNvSpPr txBox="1">
          <a:spLocks noChangeArrowheads="1"/>
        </xdr:cNvSpPr>
      </xdr:nvSpPr>
      <xdr:spPr bwMode="auto">
        <a:xfrm>
          <a:off x="2466975" y="200025"/>
          <a:ext cx="0" cy="28575"/>
        </a:xfrm>
        <a:prstGeom prst="rect">
          <a:avLst/>
        </a:prstGeom>
        <a:noFill/>
        <a:ln w="9525">
          <a:noFill/>
          <a:miter lim="800000"/>
          <a:headEnd/>
          <a:tailEnd/>
        </a:ln>
      </xdr:spPr>
    </xdr:sp>
    <xdr:clientData/>
  </xdr:twoCellAnchor>
  <xdr:twoCellAnchor editAs="oneCell">
    <xdr:from>
      <xdr:col>3</xdr:col>
      <xdr:colOff>123825</xdr:colOff>
      <xdr:row>184</xdr:row>
      <xdr:rowOff>0</xdr:rowOff>
    </xdr:from>
    <xdr:to>
      <xdr:col>3</xdr:col>
      <xdr:colOff>523875</xdr:colOff>
      <xdr:row>184</xdr:row>
      <xdr:rowOff>0</xdr:rowOff>
    </xdr:to>
    <xdr:sp macro="" textlink="">
      <xdr:nvSpPr>
        <xdr:cNvPr id="663" name="Text Box 71"/>
        <xdr:cNvSpPr txBox="1">
          <a:spLocks noChangeArrowheads="1"/>
        </xdr:cNvSpPr>
      </xdr:nvSpPr>
      <xdr:spPr bwMode="auto">
        <a:xfrm rot="313457">
          <a:off x="1876425" y="200025"/>
          <a:ext cx="400050" cy="0"/>
        </a:xfrm>
        <a:prstGeom prst="rect">
          <a:avLst/>
        </a:prstGeom>
        <a:noFill/>
        <a:ln w="9525">
          <a:noFill/>
          <a:miter lim="800000"/>
          <a:headEnd/>
          <a:tailEnd/>
        </a:ln>
      </xdr:spPr>
    </xdr:sp>
    <xdr:clientData/>
  </xdr:twoCellAnchor>
  <xdr:twoCellAnchor editAs="oneCell">
    <xdr:from>
      <xdr:col>3</xdr:col>
      <xdr:colOff>438150</xdr:colOff>
      <xdr:row>184</xdr:row>
      <xdr:rowOff>0</xdr:rowOff>
    </xdr:from>
    <xdr:to>
      <xdr:col>3</xdr:col>
      <xdr:colOff>613410</xdr:colOff>
      <xdr:row>184</xdr:row>
      <xdr:rowOff>7493</xdr:rowOff>
    </xdr:to>
    <xdr:sp macro="" textlink="">
      <xdr:nvSpPr>
        <xdr:cNvPr id="664" name="Text Box 72"/>
        <xdr:cNvSpPr txBox="1">
          <a:spLocks noChangeArrowheads="1"/>
        </xdr:cNvSpPr>
      </xdr:nvSpPr>
      <xdr:spPr bwMode="auto">
        <a:xfrm>
          <a:off x="2190750" y="20002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184</xdr:row>
      <xdr:rowOff>0</xdr:rowOff>
    </xdr:from>
    <xdr:ext cx="194454" cy="240740"/>
    <xdr:sp macro="" textlink="">
      <xdr:nvSpPr>
        <xdr:cNvPr id="665" name="TextBox 664"/>
        <xdr:cNvSpPr txBox="1"/>
      </xdr:nvSpPr>
      <xdr:spPr>
        <a:xfrm>
          <a:off x="1085850" y="2000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183</xdr:row>
      <xdr:rowOff>66675</xdr:rowOff>
    </xdr:from>
    <xdr:ext cx="194454" cy="240740"/>
    <xdr:sp macro="" textlink="">
      <xdr:nvSpPr>
        <xdr:cNvPr id="666" name="TextBox 665"/>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186</xdr:row>
      <xdr:rowOff>0</xdr:rowOff>
    </xdr:from>
    <xdr:to>
      <xdr:col>3</xdr:col>
      <xdr:colOff>609600</xdr:colOff>
      <xdr:row>186</xdr:row>
      <xdr:rowOff>0</xdr:rowOff>
    </xdr:to>
    <xdr:sp macro="" textlink="">
      <xdr:nvSpPr>
        <xdr:cNvPr id="667"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68" name="Text Box 29"/>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69"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99733</xdr:rowOff>
    </xdr:to>
    <xdr:sp macro="" textlink="">
      <xdr:nvSpPr>
        <xdr:cNvPr id="670"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71"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438150</xdr:colOff>
      <xdr:row>186</xdr:row>
      <xdr:rowOff>0</xdr:rowOff>
    </xdr:from>
    <xdr:to>
      <xdr:col>3</xdr:col>
      <xdr:colOff>609600</xdr:colOff>
      <xdr:row>186</xdr:row>
      <xdr:rowOff>0</xdr:rowOff>
    </xdr:to>
    <xdr:sp macro="" textlink="">
      <xdr:nvSpPr>
        <xdr:cNvPr id="672" name="Text Box 72"/>
        <xdr:cNvSpPr txBox="1">
          <a:spLocks noChangeArrowheads="1"/>
        </xdr:cNvSpPr>
      </xdr:nvSpPr>
      <xdr:spPr bwMode="auto">
        <a:xfrm>
          <a:off x="2190750" y="866775"/>
          <a:ext cx="17145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73" name="Text Box 29"/>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74"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99733</xdr:rowOff>
    </xdr:to>
    <xdr:sp macro="" textlink="">
      <xdr:nvSpPr>
        <xdr:cNvPr id="675"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76"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77"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678"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679"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80"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81"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682"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683"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84"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685"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686"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87"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688"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95250</xdr:rowOff>
    </xdr:to>
    <xdr:sp macro="" textlink="">
      <xdr:nvSpPr>
        <xdr:cNvPr id="689" name="Text Box 8"/>
        <xdr:cNvSpPr txBox="1">
          <a:spLocks noChangeArrowheads="1"/>
        </xdr:cNvSpPr>
      </xdr:nvSpPr>
      <xdr:spPr bwMode="auto">
        <a:xfrm>
          <a:off x="2276475" y="609600"/>
          <a:ext cx="85725"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95250</xdr:rowOff>
    </xdr:to>
    <xdr:sp macro="" textlink="">
      <xdr:nvSpPr>
        <xdr:cNvPr id="690" name="Text Box 68"/>
        <xdr:cNvSpPr txBox="1">
          <a:spLocks noChangeArrowheads="1"/>
        </xdr:cNvSpPr>
      </xdr:nvSpPr>
      <xdr:spPr bwMode="auto">
        <a:xfrm>
          <a:off x="2200275" y="609600"/>
          <a:ext cx="161925"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91" name="Text Box 1"/>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92"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95250</xdr:rowOff>
    </xdr:to>
    <xdr:sp macro="" textlink="">
      <xdr:nvSpPr>
        <xdr:cNvPr id="693" name="Text Box 68"/>
        <xdr:cNvSpPr txBox="1">
          <a:spLocks noChangeArrowheads="1"/>
        </xdr:cNvSpPr>
      </xdr:nvSpPr>
      <xdr:spPr bwMode="auto">
        <a:xfrm>
          <a:off x="2200275" y="609600"/>
          <a:ext cx="161925"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694"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695"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96"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97"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98"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699"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00"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01"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702"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03"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04"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05"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06"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07"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08"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09"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10"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11"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12"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13"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14"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15"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16"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717"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18"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19"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720"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21"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22"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23"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724"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25"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26"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27"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28"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729"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30"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31"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32"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33"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34"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35"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736"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37"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38"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39"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40"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41"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42"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43"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744"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745"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746"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47"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48"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49"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0"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1"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2"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3"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4"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5"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6"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7"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8"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59"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0"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1"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2"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3"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4"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5"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6"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7"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8"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69"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770"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71"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104775</xdr:rowOff>
    </xdr:to>
    <xdr:sp macro="" textlink="">
      <xdr:nvSpPr>
        <xdr:cNvPr id="772" name="Text Box 55"/>
        <xdr:cNvSpPr txBox="1">
          <a:spLocks noChangeArrowheads="1"/>
        </xdr:cNvSpPr>
      </xdr:nvSpPr>
      <xdr:spPr bwMode="auto">
        <a:xfrm>
          <a:off x="2276475" y="609600"/>
          <a:ext cx="857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773"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74"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775"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76"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777"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778"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79"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80"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81"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782"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783"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784"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85"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86"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87"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88"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789"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790"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791"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792"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93"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794"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795"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796"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797"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798"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799"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00"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01"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02"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03"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04"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805"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438150</xdr:colOff>
      <xdr:row>186</xdr:row>
      <xdr:rowOff>0</xdr:rowOff>
    </xdr:from>
    <xdr:to>
      <xdr:col>3</xdr:col>
      <xdr:colOff>609600</xdr:colOff>
      <xdr:row>186</xdr:row>
      <xdr:rowOff>0</xdr:rowOff>
    </xdr:to>
    <xdr:sp macro="" textlink="">
      <xdr:nvSpPr>
        <xdr:cNvPr id="806" name="Text Box 72"/>
        <xdr:cNvSpPr txBox="1">
          <a:spLocks noChangeArrowheads="1"/>
        </xdr:cNvSpPr>
      </xdr:nvSpPr>
      <xdr:spPr bwMode="auto">
        <a:xfrm>
          <a:off x="2190750" y="866775"/>
          <a:ext cx="17145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104775</xdr:rowOff>
    </xdr:to>
    <xdr:sp macro="" textlink="">
      <xdr:nvSpPr>
        <xdr:cNvPr id="807" name="Text Box 55"/>
        <xdr:cNvSpPr txBox="1">
          <a:spLocks noChangeArrowheads="1"/>
        </xdr:cNvSpPr>
      </xdr:nvSpPr>
      <xdr:spPr bwMode="auto">
        <a:xfrm>
          <a:off x="2276475" y="609600"/>
          <a:ext cx="857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808"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809"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810"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811"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812"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13"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814"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815"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816"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817"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818"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819"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820"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821"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822"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823"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824"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825"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826"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827"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828"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29"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0"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1"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2"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3"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4"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5"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6"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7"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8"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839"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oneCellAnchor>
    <xdr:from>
      <xdr:col>6</xdr:col>
      <xdr:colOff>66675</xdr:colOff>
      <xdr:row>183</xdr:row>
      <xdr:rowOff>66675</xdr:rowOff>
    </xdr:from>
    <xdr:ext cx="194454" cy="240740"/>
    <xdr:sp macro="" textlink="">
      <xdr:nvSpPr>
        <xdr:cNvPr id="840" name="TextBox 839"/>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184</xdr:row>
      <xdr:rowOff>0</xdr:rowOff>
    </xdr:from>
    <xdr:to>
      <xdr:col>3</xdr:col>
      <xdr:colOff>1020318</xdr:colOff>
      <xdr:row>184</xdr:row>
      <xdr:rowOff>29718</xdr:rowOff>
    </xdr:to>
    <xdr:sp macro="" textlink="">
      <xdr:nvSpPr>
        <xdr:cNvPr id="841" name="Text Box 44"/>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842" name="Text Box 50"/>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843" name="Text Box 52"/>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844" name="Text Box 55"/>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845" name="Text Box 39"/>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846" name="Text Box 8"/>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1019175</xdr:colOff>
      <xdr:row>184</xdr:row>
      <xdr:rowOff>28575</xdr:rowOff>
    </xdr:to>
    <xdr:sp macro="" textlink="">
      <xdr:nvSpPr>
        <xdr:cNvPr id="847" name="Text Box 11"/>
        <xdr:cNvSpPr txBox="1">
          <a:spLocks noChangeArrowheads="1"/>
        </xdr:cNvSpPr>
      </xdr:nvSpPr>
      <xdr:spPr bwMode="auto">
        <a:xfrm>
          <a:off x="2771775" y="200025"/>
          <a:ext cx="0" cy="28575"/>
        </a:xfrm>
        <a:prstGeom prst="rect">
          <a:avLst/>
        </a:prstGeom>
        <a:noFill/>
        <a:ln w="9525">
          <a:noFill/>
          <a:miter lim="800000"/>
          <a:headEnd/>
          <a:tailEnd/>
        </a:ln>
      </xdr:spPr>
    </xdr:sp>
    <xdr:clientData/>
  </xdr:twoCellAnchor>
  <xdr:twoCellAnchor editAs="oneCell">
    <xdr:from>
      <xdr:col>3</xdr:col>
      <xdr:colOff>523875</xdr:colOff>
      <xdr:row>184</xdr:row>
      <xdr:rowOff>0</xdr:rowOff>
    </xdr:from>
    <xdr:to>
      <xdr:col>3</xdr:col>
      <xdr:colOff>609600</xdr:colOff>
      <xdr:row>184</xdr:row>
      <xdr:rowOff>9525</xdr:rowOff>
    </xdr:to>
    <xdr:sp macro="" textlink="">
      <xdr:nvSpPr>
        <xdr:cNvPr id="848" name="Text Box 63"/>
        <xdr:cNvSpPr txBox="1">
          <a:spLocks noChangeArrowheads="1"/>
        </xdr:cNvSpPr>
      </xdr:nvSpPr>
      <xdr:spPr bwMode="auto">
        <a:xfrm>
          <a:off x="2276475" y="200025"/>
          <a:ext cx="85725" cy="9525"/>
        </a:xfrm>
        <a:prstGeom prst="rect">
          <a:avLst/>
        </a:prstGeom>
        <a:noFill/>
        <a:ln w="9525">
          <a:noFill/>
          <a:miter lim="800000"/>
          <a:headEnd/>
          <a:tailEnd/>
        </a:ln>
      </xdr:spPr>
    </xdr:sp>
    <xdr:clientData/>
  </xdr:twoCellAnchor>
  <xdr:twoCellAnchor editAs="oneCell">
    <xdr:from>
      <xdr:col>3</xdr:col>
      <xdr:colOff>714375</xdr:colOff>
      <xdr:row>184</xdr:row>
      <xdr:rowOff>0</xdr:rowOff>
    </xdr:from>
    <xdr:to>
      <xdr:col>3</xdr:col>
      <xdr:colOff>714375</xdr:colOff>
      <xdr:row>184</xdr:row>
      <xdr:rowOff>28575</xdr:rowOff>
    </xdr:to>
    <xdr:sp macro="" textlink="">
      <xdr:nvSpPr>
        <xdr:cNvPr id="849" name="Text Box 68"/>
        <xdr:cNvSpPr txBox="1">
          <a:spLocks noChangeArrowheads="1"/>
        </xdr:cNvSpPr>
      </xdr:nvSpPr>
      <xdr:spPr bwMode="auto">
        <a:xfrm>
          <a:off x="2466975" y="200025"/>
          <a:ext cx="0" cy="28575"/>
        </a:xfrm>
        <a:prstGeom prst="rect">
          <a:avLst/>
        </a:prstGeom>
        <a:noFill/>
        <a:ln w="9525">
          <a:noFill/>
          <a:miter lim="800000"/>
          <a:headEnd/>
          <a:tailEnd/>
        </a:ln>
      </xdr:spPr>
    </xdr:sp>
    <xdr:clientData/>
  </xdr:twoCellAnchor>
  <xdr:twoCellAnchor editAs="oneCell">
    <xdr:from>
      <xdr:col>3</xdr:col>
      <xdr:colOff>123825</xdr:colOff>
      <xdr:row>184</xdr:row>
      <xdr:rowOff>0</xdr:rowOff>
    </xdr:from>
    <xdr:to>
      <xdr:col>3</xdr:col>
      <xdr:colOff>523875</xdr:colOff>
      <xdr:row>184</xdr:row>
      <xdr:rowOff>0</xdr:rowOff>
    </xdr:to>
    <xdr:sp macro="" textlink="">
      <xdr:nvSpPr>
        <xdr:cNvPr id="850" name="Text Box 71"/>
        <xdr:cNvSpPr txBox="1">
          <a:spLocks noChangeArrowheads="1"/>
        </xdr:cNvSpPr>
      </xdr:nvSpPr>
      <xdr:spPr bwMode="auto">
        <a:xfrm rot="313457">
          <a:off x="1876425" y="200025"/>
          <a:ext cx="400050" cy="0"/>
        </a:xfrm>
        <a:prstGeom prst="rect">
          <a:avLst/>
        </a:prstGeom>
        <a:noFill/>
        <a:ln w="9525">
          <a:noFill/>
          <a:miter lim="800000"/>
          <a:headEnd/>
          <a:tailEnd/>
        </a:ln>
      </xdr:spPr>
    </xdr:sp>
    <xdr:clientData/>
  </xdr:twoCellAnchor>
  <xdr:twoCellAnchor editAs="oneCell">
    <xdr:from>
      <xdr:col>3</xdr:col>
      <xdr:colOff>438150</xdr:colOff>
      <xdr:row>184</xdr:row>
      <xdr:rowOff>0</xdr:rowOff>
    </xdr:from>
    <xdr:to>
      <xdr:col>3</xdr:col>
      <xdr:colOff>613410</xdr:colOff>
      <xdr:row>184</xdr:row>
      <xdr:rowOff>7493</xdr:rowOff>
    </xdr:to>
    <xdr:sp macro="" textlink="">
      <xdr:nvSpPr>
        <xdr:cNvPr id="851" name="Text Box 72"/>
        <xdr:cNvSpPr txBox="1">
          <a:spLocks noChangeArrowheads="1"/>
        </xdr:cNvSpPr>
      </xdr:nvSpPr>
      <xdr:spPr bwMode="auto">
        <a:xfrm>
          <a:off x="2190750" y="20002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184</xdr:row>
      <xdr:rowOff>0</xdr:rowOff>
    </xdr:from>
    <xdr:ext cx="194454" cy="240740"/>
    <xdr:sp macro="" textlink="">
      <xdr:nvSpPr>
        <xdr:cNvPr id="852" name="TextBox 851"/>
        <xdr:cNvSpPr txBox="1"/>
      </xdr:nvSpPr>
      <xdr:spPr>
        <a:xfrm>
          <a:off x="1085850" y="2000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183</xdr:row>
      <xdr:rowOff>66675</xdr:rowOff>
    </xdr:from>
    <xdr:ext cx="194454" cy="240740"/>
    <xdr:sp macro="" textlink="">
      <xdr:nvSpPr>
        <xdr:cNvPr id="853" name="TextBox 852"/>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186</xdr:row>
      <xdr:rowOff>0</xdr:rowOff>
    </xdr:from>
    <xdr:to>
      <xdr:col>3</xdr:col>
      <xdr:colOff>609600</xdr:colOff>
      <xdr:row>186</xdr:row>
      <xdr:rowOff>0</xdr:rowOff>
    </xdr:to>
    <xdr:sp macro="" textlink="">
      <xdr:nvSpPr>
        <xdr:cNvPr id="854"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55" name="Text Box 29"/>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56"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99733</xdr:rowOff>
    </xdr:to>
    <xdr:sp macro="" textlink="">
      <xdr:nvSpPr>
        <xdr:cNvPr id="857"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58"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438150</xdr:colOff>
      <xdr:row>186</xdr:row>
      <xdr:rowOff>0</xdr:rowOff>
    </xdr:from>
    <xdr:to>
      <xdr:col>3</xdr:col>
      <xdr:colOff>609600</xdr:colOff>
      <xdr:row>186</xdr:row>
      <xdr:rowOff>0</xdr:rowOff>
    </xdr:to>
    <xdr:sp macro="" textlink="">
      <xdr:nvSpPr>
        <xdr:cNvPr id="859" name="Text Box 72"/>
        <xdr:cNvSpPr txBox="1">
          <a:spLocks noChangeArrowheads="1"/>
        </xdr:cNvSpPr>
      </xdr:nvSpPr>
      <xdr:spPr bwMode="auto">
        <a:xfrm>
          <a:off x="2190750" y="866775"/>
          <a:ext cx="17145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60" name="Text Box 29"/>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61"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99733</xdr:rowOff>
    </xdr:to>
    <xdr:sp macro="" textlink="">
      <xdr:nvSpPr>
        <xdr:cNvPr id="862"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63"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64"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865"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866"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67"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68"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869"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870"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71"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872"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873"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74"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875"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95250</xdr:rowOff>
    </xdr:to>
    <xdr:sp macro="" textlink="">
      <xdr:nvSpPr>
        <xdr:cNvPr id="876" name="Text Box 8"/>
        <xdr:cNvSpPr txBox="1">
          <a:spLocks noChangeArrowheads="1"/>
        </xdr:cNvSpPr>
      </xdr:nvSpPr>
      <xdr:spPr bwMode="auto">
        <a:xfrm>
          <a:off x="2276475" y="609600"/>
          <a:ext cx="85725"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95250</xdr:rowOff>
    </xdr:to>
    <xdr:sp macro="" textlink="">
      <xdr:nvSpPr>
        <xdr:cNvPr id="877" name="Text Box 68"/>
        <xdr:cNvSpPr txBox="1">
          <a:spLocks noChangeArrowheads="1"/>
        </xdr:cNvSpPr>
      </xdr:nvSpPr>
      <xdr:spPr bwMode="auto">
        <a:xfrm>
          <a:off x="2200275" y="609600"/>
          <a:ext cx="161925"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78" name="Text Box 1"/>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79"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95250</xdr:rowOff>
    </xdr:to>
    <xdr:sp macro="" textlink="">
      <xdr:nvSpPr>
        <xdr:cNvPr id="880" name="Text Box 68"/>
        <xdr:cNvSpPr txBox="1">
          <a:spLocks noChangeArrowheads="1"/>
        </xdr:cNvSpPr>
      </xdr:nvSpPr>
      <xdr:spPr bwMode="auto">
        <a:xfrm>
          <a:off x="2200275" y="609600"/>
          <a:ext cx="161925"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881"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882"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83"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84"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85"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86"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887"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888"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889"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0"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1"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892"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3"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4"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895"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6"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7"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8"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899"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00"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01"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02"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03"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904"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05"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06"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907"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08"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09"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10"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911"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12"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13"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14"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15"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916"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17"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18"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19"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20"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21"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22"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923"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24"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25"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26"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27"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28" name="Text Box 8"/>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29"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30"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931"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57150</xdr:rowOff>
    </xdr:to>
    <xdr:sp macro="" textlink="">
      <xdr:nvSpPr>
        <xdr:cNvPr id="932" name="Text Box 22"/>
        <xdr:cNvSpPr txBox="1">
          <a:spLocks noChangeArrowheads="1"/>
        </xdr:cNvSpPr>
      </xdr:nvSpPr>
      <xdr:spPr bwMode="auto">
        <a:xfrm>
          <a:off x="2276475" y="638175"/>
          <a:ext cx="85725" cy="571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104775</xdr:rowOff>
    </xdr:to>
    <xdr:sp macro="" textlink="">
      <xdr:nvSpPr>
        <xdr:cNvPr id="933" name="Text Box 68"/>
        <xdr:cNvSpPr txBox="1">
          <a:spLocks noChangeArrowheads="1"/>
        </xdr:cNvSpPr>
      </xdr:nvSpPr>
      <xdr:spPr bwMode="auto">
        <a:xfrm>
          <a:off x="2200275" y="609600"/>
          <a:ext cx="161925"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34"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35"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36"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37"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38"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39"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0"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1"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2"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3"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4"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5"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6"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7"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8"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49"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0"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1"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2"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3"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4"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5"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6"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609600</xdr:colOff>
      <xdr:row>186</xdr:row>
      <xdr:rowOff>0</xdr:rowOff>
    </xdr:to>
    <xdr:sp macro="" textlink="">
      <xdr:nvSpPr>
        <xdr:cNvPr id="957" name="Text Box 68"/>
        <xdr:cNvSpPr txBox="1">
          <a:spLocks noChangeArrowheads="1"/>
        </xdr:cNvSpPr>
      </xdr:nvSpPr>
      <xdr:spPr bwMode="auto">
        <a:xfrm>
          <a:off x="2200275" y="914400"/>
          <a:ext cx="161925" cy="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58"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104775</xdr:rowOff>
    </xdr:to>
    <xdr:sp macro="" textlink="">
      <xdr:nvSpPr>
        <xdr:cNvPr id="959" name="Text Box 55"/>
        <xdr:cNvSpPr txBox="1">
          <a:spLocks noChangeArrowheads="1"/>
        </xdr:cNvSpPr>
      </xdr:nvSpPr>
      <xdr:spPr bwMode="auto">
        <a:xfrm>
          <a:off x="2276475" y="609600"/>
          <a:ext cx="857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960"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61"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962"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63"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964"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965"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66"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67"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68"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969"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970"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971"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72"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73"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74"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75"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76"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977"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978"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979"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80"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981"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982"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83"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984"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985"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986"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987"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988"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989"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990"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991"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992"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438150</xdr:colOff>
      <xdr:row>186</xdr:row>
      <xdr:rowOff>0</xdr:rowOff>
    </xdr:from>
    <xdr:to>
      <xdr:col>3</xdr:col>
      <xdr:colOff>609600</xdr:colOff>
      <xdr:row>186</xdr:row>
      <xdr:rowOff>0</xdr:rowOff>
    </xdr:to>
    <xdr:sp macro="" textlink="">
      <xdr:nvSpPr>
        <xdr:cNvPr id="993" name="Text Box 72"/>
        <xdr:cNvSpPr txBox="1">
          <a:spLocks noChangeArrowheads="1"/>
        </xdr:cNvSpPr>
      </xdr:nvSpPr>
      <xdr:spPr bwMode="auto">
        <a:xfrm>
          <a:off x="2190750" y="866775"/>
          <a:ext cx="17145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104775</xdr:rowOff>
    </xdr:to>
    <xdr:sp macro="" textlink="">
      <xdr:nvSpPr>
        <xdr:cNvPr id="994" name="Text Box 55"/>
        <xdr:cNvSpPr txBox="1">
          <a:spLocks noChangeArrowheads="1"/>
        </xdr:cNvSpPr>
      </xdr:nvSpPr>
      <xdr:spPr bwMode="auto">
        <a:xfrm>
          <a:off x="2276475" y="609600"/>
          <a:ext cx="857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995"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96"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997"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998" name="Text Box 22"/>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999"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00"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1001"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523875</xdr:colOff>
      <xdr:row>186</xdr:row>
      <xdr:rowOff>0</xdr:rowOff>
    </xdr:from>
    <xdr:to>
      <xdr:col>3</xdr:col>
      <xdr:colOff>609600</xdr:colOff>
      <xdr:row>186</xdr:row>
      <xdr:rowOff>66675</xdr:rowOff>
    </xdr:to>
    <xdr:sp macro="" textlink="">
      <xdr:nvSpPr>
        <xdr:cNvPr id="1002" name="Text Box 8"/>
        <xdr:cNvSpPr txBox="1">
          <a:spLocks noChangeArrowheads="1"/>
        </xdr:cNvSpPr>
      </xdr:nvSpPr>
      <xdr:spPr bwMode="auto">
        <a:xfrm>
          <a:off x="2276475" y="638175"/>
          <a:ext cx="85725" cy="666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1003"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04"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1005"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06"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714375</xdr:colOff>
      <xdr:row>186</xdr:row>
      <xdr:rowOff>0</xdr:rowOff>
    </xdr:from>
    <xdr:to>
      <xdr:col>3</xdr:col>
      <xdr:colOff>714375</xdr:colOff>
      <xdr:row>186</xdr:row>
      <xdr:rowOff>0</xdr:rowOff>
    </xdr:to>
    <xdr:sp macro="" textlink="">
      <xdr:nvSpPr>
        <xdr:cNvPr id="1007" name="Text Box 68"/>
        <xdr:cNvSpPr txBox="1">
          <a:spLocks noChangeArrowheads="1"/>
        </xdr:cNvSpPr>
      </xdr:nvSpPr>
      <xdr:spPr bwMode="auto">
        <a:xfrm>
          <a:off x="2466975" y="723900"/>
          <a:ext cx="0" cy="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08"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1009"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10"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1011"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12"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104775</xdr:rowOff>
    </xdr:to>
    <xdr:sp macro="" textlink="">
      <xdr:nvSpPr>
        <xdr:cNvPr id="1013" name="Text Box 68"/>
        <xdr:cNvSpPr txBox="1">
          <a:spLocks noChangeArrowheads="1"/>
        </xdr:cNvSpPr>
      </xdr:nvSpPr>
      <xdr:spPr bwMode="auto">
        <a:xfrm>
          <a:off x="2200275" y="60960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14"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95250</xdr:rowOff>
    </xdr:to>
    <xdr:sp macro="" textlink="">
      <xdr:nvSpPr>
        <xdr:cNvPr id="1015" name="Text Box 68"/>
        <xdr:cNvSpPr txBox="1">
          <a:spLocks noChangeArrowheads="1"/>
        </xdr:cNvSpPr>
      </xdr:nvSpPr>
      <xdr:spPr bwMode="auto">
        <a:xfrm>
          <a:off x="2200275" y="609600"/>
          <a:ext cx="152400" cy="9525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16"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17"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18"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19"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20"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21"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22"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23"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24"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25"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twoCellAnchor editAs="oneCell">
    <xdr:from>
      <xdr:col>3</xdr:col>
      <xdr:colOff>447675</xdr:colOff>
      <xdr:row>186</xdr:row>
      <xdr:rowOff>0</xdr:rowOff>
    </xdr:from>
    <xdr:to>
      <xdr:col>3</xdr:col>
      <xdr:colOff>600075</xdr:colOff>
      <xdr:row>186</xdr:row>
      <xdr:rowOff>0</xdr:rowOff>
    </xdr:to>
    <xdr:sp macro="" textlink="">
      <xdr:nvSpPr>
        <xdr:cNvPr id="1026" name="Text Box 68"/>
        <xdr:cNvSpPr txBox="1">
          <a:spLocks noChangeArrowheads="1"/>
        </xdr:cNvSpPr>
      </xdr:nvSpPr>
      <xdr:spPr bwMode="auto">
        <a:xfrm>
          <a:off x="2200275" y="914400"/>
          <a:ext cx="152400" cy="0"/>
        </a:xfrm>
        <a:prstGeom prst="rect">
          <a:avLst/>
        </a:prstGeom>
        <a:noFill/>
        <a:ln w="9525">
          <a:noFill/>
          <a:miter lim="800000"/>
          <a:headEnd/>
          <a:tailEnd/>
        </a:ln>
      </xdr:spPr>
    </xdr:sp>
    <xdr:clientData/>
  </xdr:twoCellAnchor>
  <xdr:oneCellAnchor>
    <xdr:from>
      <xdr:col>6</xdr:col>
      <xdr:colOff>66675</xdr:colOff>
      <xdr:row>183</xdr:row>
      <xdr:rowOff>66675</xdr:rowOff>
    </xdr:from>
    <xdr:ext cx="194454" cy="240740"/>
    <xdr:sp macro="" textlink="">
      <xdr:nvSpPr>
        <xdr:cNvPr id="1028" name="TextBox 1027"/>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184</xdr:row>
      <xdr:rowOff>0</xdr:rowOff>
    </xdr:from>
    <xdr:to>
      <xdr:col>3</xdr:col>
      <xdr:colOff>1020318</xdr:colOff>
      <xdr:row>184</xdr:row>
      <xdr:rowOff>29718</xdr:rowOff>
    </xdr:to>
    <xdr:sp macro="" textlink="">
      <xdr:nvSpPr>
        <xdr:cNvPr id="1029" name="Text Box 44"/>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1030" name="Text Box 50"/>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1031" name="Text Box 52"/>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1032" name="Text Box 55"/>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1033" name="Text Box 39"/>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1034" name="Text Box 8"/>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1019175</xdr:colOff>
      <xdr:row>184</xdr:row>
      <xdr:rowOff>28575</xdr:rowOff>
    </xdr:to>
    <xdr:sp macro="" textlink="">
      <xdr:nvSpPr>
        <xdr:cNvPr id="1035" name="Text Box 11"/>
        <xdr:cNvSpPr txBox="1">
          <a:spLocks noChangeArrowheads="1"/>
        </xdr:cNvSpPr>
      </xdr:nvSpPr>
      <xdr:spPr bwMode="auto">
        <a:xfrm>
          <a:off x="2771775" y="200025"/>
          <a:ext cx="0" cy="28575"/>
        </a:xfrm>
        <a:prstGeom prst="rect">
          <a:avLst/>
        </a:prstGeom>
        <a:noFill/>
        <a:ln w="9525">
          <a:noFill/>
          <a:miter lim="800000"/>
          <a:headEnd/>
          <a:tailEnd/>
        </a:ln>
      </xdr:spPr>
    </xdr:sp>
    <xdr:clientData/>
  </xdr:twoCellAnchor>
  <xdr:twoCellAnchor editAs="oneCell">
    <xdr:from>
      <xdr:col>3</xdr:col>
      <xdr:colOff>523875</xdr:colOff>
      <xdr:row>184</xdr:row>
      <xdr:rowOff>0</xdr:rowOff>
    </xdr:from>
    <xdr:to>
      <xdr:col>3</xdr:col>
      <xdr:colOff>609600</xdr:colOff>
      <xdr:row>184</xdr:row>
      <xdr:rowOff>9525</xdr:rowOff>
    </xdr:to>
    <xdr:sp macro="" textlink="">
      <xdr:nvSpPr>
        <xdr:cNvPr id="1036" name="Text Box 63"/>
        <xdr:cNvSpPr txBox="1">
          <a:spLocks noChangeArrowheads="1"/>
        </xdr:cNvSpPr>
      </xdr:nvSpPr>
      <xdr:spPr bwMode="auto">
        <a:xfrm>
          <a:off x="2276475" y="200025"/>
          <a:ext cx="85725" cy="9525"/>
        </a:xfrm>
        <a:prstGeom prst="rect">
          <a:avLst/>
        </a:prstGeom>
        <a:noFill/>
        <a:ln w="9525">
          <a:noFill/>
          <a:miter lim="800000"/>
          <a:headEnd/>
          <a:tailEnd/>
        </a:ln>
      </xdr:spPr>
    </xdr:sp>
    <xdr:clientData/>
  </xdr:twoCellAnchor>
  <xdr:twoCellAnchor editAs="oneCell">
    <xdr:from>
      <xdr:col>3</xdr:col>
      <xdr:colOff>714375</xdr:colOff>
      <xdr:row>184</xdr:row>
      <xdr:rowOff>0</xdr:rowOff>
    </xdr:from>
    <xdr:to>
      <xdr:col>3</xdr:col>
      <xdr:colOff>714375</xdr:colOff>
      <xdr:row>184</xdr:row>
      <xdr:rowOff>28575</xdr:rowOff>
    </xdr:to>
    <xdr:sp macro="" textlink="">
      <xdr:nvSpPr>
        <xdr:cNvPr id="1037" name="Text Box 68"/>
        <xdr:cNvSpPr txBox="1">
          <a:spLocks noChangeArrowheads="1"/>
        </xdr:cNvSpPr>
      </xdr:nvSpPr>
      <xdr:spPr bwMode="auto">
        <a:xfrm>
          <a:off x="2466975" y="200025"/>
          <a:ext cx="0" cy="28575"/>
        </a:xfrm>
        <a:prstGeom prst="rect">
          <a:avLst/>
        </a:prstGeom>
        <a:noFill/>
        <a:ln w="9525">
          <a:noFill/>
          <a:miter lim="800000"/>
          <a:headEnd/>
          <a:tailEnd/>
        </a:ln>
      </xdr:spPr>
    </xdr:sp>
    <xdr:clientData/>
  </xdr:twoCellAnchor>
  <xdr:twoCellAnchor editAs="oneCell">
    <xdr:from>
      <xdr:col>3</xdr:col>
      <xdr:colOff>123825</xdr:colOff>
      <xdr:row>184</xdr:row>
      <xdr:rowOff>0</xdr:rowOff>
    </xdr:from>
    <xdr:to>
      <xdr:col>3</xdr:col>
      <xdr:colOff>523875</xdr:colOff>
      <xdr:row>184</xdr:row>
      <xdr:rowOff>0</xdr:rowOff>
    </xdr:to>
    <xdr:sp macro="" textlink="">
      <xdr:nvSpPr>
        <xdr:cNvPr id="1038" name="Text Box 71"/>
        <xdr:cNvSpPr txBox="1">
          <a:spLocks noChangeArrowheads="1"/>
        </xdr:cNvSpPr>
      </xdr:nvSpPr>
      <xdr:spPr bwMode="auto">
        <a:xfrm rot="313457">
          <a:off x="1876425" y="200025"/>
          <a:ext cx="400050" cy="0"/>
        </a:xfrm>
        <a:prstGeom prst="rect">
          <a:avLst/>
        </a:prstGeom>
        <a:noFill/>
        <a:ln w="9525">
          <a:noFill/>
          <a:miter lim="800000"/>
          <a:headEnd/>
          <a:tailEnd/>
        </a:ln>
      </xdr:spPr>
    </xdr:sp>
    <xdr:clientData/>
  </xdr:twoCellAnchor>
  <xdr:twoCellAnchor editAs="oneCell">
    <xdr:from>
      <xdr:col>3</xdr:col>
      <xdr:colOff>438150</xdr:colOff>
      <xdr:row>184</xdr:row>
      <xdr:rowOff>0</xdr:rowOff>
    </xdr:from>
    <xdr:to>
      <xdr:col>3</xdr:col>
      <xdr:colOff>613410</xdr:colOff>
      <xdr:row>184</xdr:row>
      <xdr:rowOff>7493</xdr:rowOff>
    </xdr:to>
    <xdr:sp macro="" textlink="">
      <xdr:nvSpPr>
        <xdr:cNvPr id="1039" name="Text Box 72"/>
        <xdr:cNvSpPr txBox="1">
          <a:spLocks noChangeArrowheads="1"/>
        </xdr:cNvSpPr>
      </xdr:nvSpPr>
      <xdr:spPr bwMode="auto">
        <a:xfrm>
          <a:off x="2190750" y="20002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184</xdr:row>
      <xdr:rowOff>0</xdr:rowOff>
    </xdr:from>
    <xdr:ext cx="194454" cy="240740"/>
    <xdr:sp macro="" textlink="">
      <xdr:nvSpPr>
        <xdr:cNvPr id="1040" name="TextBox 1039"/>
        <xdr:cNvSpPr txBox="1"/>
      </xdr:nvSpPr>
      <xdr:spPr>
        <a:xfrm>
          <a:off x="1085850" y="2000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183</xdr:row>
      <xdr:rowOff>66675</xdr:rowOff>
    </xdr:from>
    <xdr:ext cx="194454" cy="240740"/>
    <xdr:sp macro="" textlink="">
      <xdr:nvSpPr>
        <xdr:cNvPr id="1041" name="TextBox 1040"/>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184</xdr:row>
      <xdr:rowOff>304800</xdr:rowOff>
    </xdr:from>
    <xdr:to>
      <xdr:col>3</xdr:col>
      <xdr:colOff>609600</xdr:colOff>
      <xdr:row>185</xdr:row>
      <xdr:rowOff>99733</xdr:rowOff>
    </xdr:to>
    <xdr:sp macro="" textlink="">
      <xdr:nvSpPr>
        <xdr:cNvPr id="1042"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99733</xdr:rowOff>
    </xdr:to>
    <xdr:sp macro="" textlink="">
      <xdr:nvSpPr>
        <xdr:cNvPr id="1043"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44"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45"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46"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47"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48"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49"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50"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51"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52"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53"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54"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55"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56"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57"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58"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59"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60"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61"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62"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63"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64"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65"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66"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oneCellAnchor>
    <xdr:from>
      <xdr:col>6</xdr:col>
      <xdr:colOff>66675</xdr:colOff>
      <xdr:row>183</xdr:row>
      <xdr:rowOff>66675</xdr:rowOff>
    </xdr:from>
    <xdr:ext cx="194454" cy="240740"/>
    <xdr:sp macro="" textlink="">
      <xdr:nvSpPr>
        <xdr:cNvPr id="1067" name="TextBox 1066"/>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184</xdr:row>
      <xdr:rowOff>0</xdr:rowOff>
    </xdr:from>
    <xdr:to>
      <xdr:col>3</xdr:col>
      <xdr:colOff>1020318</xdr:colOff>
      <xdr:row>184</xdr:row>
      <xdr:rowOff>29718</xdr:rowOff>
    </xdr:to>
    <xdr:sp macro="" textlink="">
      <xdr:nvSpPr>
        <xdr:cNvPr id="1068" name="Text Box 44"/>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1069" name="Text Box 50"/>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1070" name="Text Box 52"/>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1071" name="Text Box 55"/>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1020318</xdr:colOff>
      <xdr:row>184</xdr:row>
      <xdr:rowOff>29718</xdr:rowOff>
    </xdr:to>
    <xdr:sp macro="" textlink="">
      <xdr:nvSpPr>
        <xdr:cNvPr id="1072" name="Text Box 39"/>
        <xdr:cNvSpPr txBox="1">
          <a:spLocks noChangeArrowheads="1"/>
        </xdr:cNvSpPr>
      </xdr:nvSpPr>
      <xdr:spPr bwMode="auto">
        <a:xfrm>
          <a:off x="2771775" y="20002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184</xdr:row>
      <xdr:rowOff>0</xdr:rowOff>
    </xdr:from>
    <xdr:to>
      <xdr:col>3</xdr:col>
      <xdr:colOff>609600</xdr:colOff>
      <xdr:row>184</xdr:row>
      <xdr:rowOff>28575</xdr:rowOff>
    </xdr:to>
    <xdr:sp macro="" textlink="">
      <xdr:nvSpPr>
        <xdr:cNvPr id="1073" name="Text Box 8"/>
        <xdr:cNvSpPr txBox="1">
          <a:spLocks noChangeArrowheads="1"/>
        </xdr:cNvSpPr>
      </xdr:nvSpPr>
      <xdr:spPr bwMode="auto">
        <a:xfrm>
          <a:off x="2276475" y="200025"/>
          <a:ext cx="85725" cy="28575"/>
        </a:xfrm>
        <a:prstGeom prst="rect">
          <a:avLst/>
        </a:prstGeom>
        <a:noFill/>
        <a:ln w="9525">
          <a:noFill/>
          <a:miter lim="800000"/>
          <a:headEnd/>
          <a:tailEnd/>
        </a:ln>
      </xdr:spPr>
    </xdr:sp>
    <xdr:clientData/>
  </xdr:twoCellAnchor>
  <xdr:twoCellAnchor editAs="oneCell">
    <xdr:from>
      <xdr:col>3</xdr:col>
      <xdr:colOff>1019175</xdr:colOff>
      <xdr:row>184</xdr:row>
      <xdr:rowOff>0</xdr:rowOff>
    </xdr:from>
    <xdr:to>
      <xdr:col>3</xdr:col>
      <xdr:colOff>1019175</xdr:colOff>
      <xdr:row>184</xdr:row>
      <xdr:rowOff>28575</xdr:rowOff>
    </xdr:to>
    <xdr:sp macro="" textlink="">
      <xdr:nvSpPr>
        <xdr:cNvPr id="1074" name="Text Box 11"/>
        <xdr:cNvSpPr txBox="1">
          <a:spLocks noChangeArrowheads="1"/>
        </xdr:cNvSpPr>
      </xdr:nvSpPr>
      <xdr:spPr bwMode="auto">
        <a:xfrm>
          <a:off x="2771775" y="200025"/>
          <a:ext cx="0" cy="28575"/>
        </a:xfrm>
        <a:prstGeom prst="rect">
          <a:avLst/>
        </a:prstGeom>
        <a:noFill/>
        <a:ln w="9525">
          <a:noFill/>
          <a:miter lim="800000"/>
          <a:headEnd/>
          <a:tailEnd/>
        </a:ln>
      </xdr:spPr>
    </xdr:sp>
    <xdr:clientData/>
  </xdr:twoCellAnchor>
  <xdr:twoCellAnchor editAs="oneCell">
    <xdr:from>
      <xdr:col>3</xdr:col>
      <xdr:colOff>523875</xdr:colOff>
      <xdr:row>184</xdr:row>
      <xdr:rowOff>0</xdr:rowOff>
    </xdr:from>
    <xdr:to>
      <xdr:col>3</xdr:col>
      <xdr:colOff>609600</xdr:colOff>
      <xdr:row>184</xdr:row>
      <xdr:rowOff>9525</xdr:rowOff>
    </xdr:to>
    <xdr:sp macro="" textlink="">
      <xdr:nvSpPr>
        <xdr:cNvPr id="1075" name="Text Box 63"/>
        <xdr:cNvSpPr txBox="1">
          <a:spLocks noChangeArrowheads="1"/>
        </xdr:cNvSpPr>
      </xdr:nvSpPr>
      <xdr:spPr bwMode="auto">
        <a:xfrm>
          <a:off x="2276475" y="200025"/>
          <a:ext cx="85725" cy="9525"/>
        </a:xfrm>
        <a:prstGeom prst="rect">
          <a:avLst/>
        </a:prstGeom>
        <a:noFill/>
        <a:ln w="9525">
          <a:noFill/>
          <a:miter lim="800000"/>
          <a:headEnd/>
          <a:tailEnd/>
        </a:ln>
      </xdr:spPr>
    </xdr:sp>
    <xdr:clientData/>
  </xdr:twoCellAnchor>
  <xdr:twoCellAnchor editAs="oneCell">
    <xdr:from>
      <xdr:col>3</xdr:col>
      <xdr:colOff>714375</xdr:colOff>
      <xdr:row>184</xdr:row>
      <xdr:rowOff>0</xdr:rowOff>
    </xdr:from>
    <xdr:to>
      <xdr:col>3</xdr:col>
      <xdr:colOff>714375</xdr:colOff>
      <xdr:row>184</xdr:row>
      <xdr:rowOff>28575</xdr:rowOff>
    </xdr:to>
    <xdr:sp macro="" textlink="">
      <xdr:nvSpPr>
        <xdr:cNvPr id="1076" name="Text Box 68"/>
        <xdr:cNvSpPr txBox="1">
          <a:spLocks noChangeArrowheads="1"/>
        </xdr:cNvSpPr>
      </xdr:nvSpPr>
      <xdr:spPr bwMode="auto">
        <a:xfrm>
          <a:off x="2466975" y="200025"/>
          <a:ext cx="0" cy="28575"/>
        </a:xfrm>
        <a:prstGeom prst="rect">
          <a:avLst/>
        </a:prstGeom>
        <a:noFill/>
        <a:ln w="9525">
          <a:noFill/>
          <a:miter lim="800000"/>
          <a:headEnd/>
          <a:tailEnd/>
        </a:ln>
      </xdr:spPr>
    </xdr:sp>
    <xdr:clientData/>
  </xdr:twoCellAnchor>
  <xdr:twoCellAnchor editAs="oneCell">
    <xdr:from>
      <xdr:col>3</xdr:col>
      <xdr:colOff>123825</xdr:colOff>
      <xdr:row>184</xdr:row>
      <xdr:rowOff>0</xdr:rowOff>
    </xdr:from>
    <xdr:to>
      <xdr:col>3</xdr:col>
      <xdr:colOff>523875</xdr:colOff>
      <xdr:row>184</xdr:row>
      <xdr:rowOff>0</xdr:rowOff>
    </xdr:to>
    <xdr:sp macro="" textlink="">
      <xdr:nvSpPr>
        <xdr:cNvPr id="1077" name="Text Box 71"/>
        <xdr:cNvSpPr txBox="1">
          <a:spLocks noChangeArrowheads="1"/>
        </xdr:cNvSpPr>
      </xdr:nvSpPr>
      <xdr:spPr bwMode="auto">
        <a:xfrm rot="313457">
          <a:off x="1876425" y="200025"/>
          <a:ext cx="400050" cy="0"/>
        </a:xfrm>
        <a:prstGeom prst="rect">
          <a:avLst/>
        </a:prstGeom>
        <a:noFill/>
        <a:ln w="9525">
          <a:noFill/>
          <a:miter lim="800000"/>
          <a:headEnd/>
          <a:tailEnd/>
        </a:ln>
      </xdr:spPr>
    </xdr:sp>
    <xdr:clientData/>
  </xdr:twoCellAnchor>
  <xdr:twoCellAnchor editAs="oneCell">
    <xdr:from>
      <xdr:col>3</xdr:col>
      <xdr:colOff>438150</xdr:colOff>
      <xdr:row>184</xdr:row>
      <xdr:rowOff>0</xdr:rowOff>
    </xdr:from>
    <xdr:to>
      <xdr:col>3</xdr:col>
      <xdr:colOff>613410</xdr:colOff>
      <xdr:row>184</xdr:row>
      <xdr:rowOff>7493</xdr:rowOff>
    </xdr:to>
    <xdr:sp macro="" textlink="">
      <xdr:nvSpPr>
        <xdr:cNvPr id="1078" name="Text Box 72"/>
        <xdr:cNvSpPr txBox="1">
          <a:spLocks noChangeArrowheads="1"/>
        </xdr:cNvSpPr>
      </xdr:nvSpPr>
      <xdr:spPr bwMode="auto">
        <a:xfrm>
          <a:off x="2190750" y="20002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184</xdr:row>
      <xdr:rowOff>0</xdr:rowOff>
    </xdr:from>
    <xdr:ext cx="194454" cy="240740"/>
    <xdr:sp macro="" textlink="">
      <xdr:nvSpPr>
        <xdr:cNvPr id="1079" name="TextBox 1078"/>
        <xdr:cNvSpPr txBox="1"/>
      </xdr:nvSpPr>
      <xdr:spPr>
        <a:xfrm>
          <a:off x="1085850" y="2000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183</xdr:row>
      <xdr:rowOff>66675</xdr:rowOff>
    </xdr:from>
    <xdr:ext cx="194454" cy="240740"/>
    <xdr:sp macro="" textlink="">
      <xdr:nvSpPr>
        <xdr:cNvPr id="1080" name="TextBox 1079"/>
        <xdr:cNvSpPr txBox="1"/>
      </xdr:nvSpPr>
      <xdr:spPr>
        <a:xfrm>
          <a:off x="4371975" y="666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184</xdr:row>
      <xdr:rowOff>304800</xdr:rowOff>
    </xdr:from>
    <xdr:to>
      <xdr:col>3</xdr:col>
      <xdr:colOff>609600</xdr:colOff>
      <xdr:row>185</xdr:row>
      <xdr:rowOff>99733</xdr:rowOff>
    </xdr:to>
    <xdr:sp macro="" textlink="">
      <xdr:nvSpPr>
        <xdr:cNvPr id="1081"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99733</xdr:rowOff>
    </xdr:to>
    <xdr:sp macro="" textlink="">
      <xdr:nvSpPr>
        <xdr:cNvPr id="1082" name="Text Box 68"/>
        <xdr:cNvSpPr txBox="1">
          <a:spLocks noChangeArrowheads="1"/>
        </xdr:cNvSpPr>
      </xdr:nvSpPr>
      <xdr:spPr bwMode="auto">
        <a:xfrm>
          <a:off x="2200275" y="400050"/>
          <a:ext cx="161925"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83"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84"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85"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86"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87"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88"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89"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90"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609600</xdr:colOff>
      <xdr:row>185</xdr:row>
      <xdr:rowOff>109258</xdr:rowOff>
    </xdr:to>
    <xdr:sp macro="" textlink="">
      <xdr:nvSpPr>
        <xdr:cNvPr id="1091" name="Text Box 68"/>
        <xdr:cNvSpPr txBox="1">
          <a:spLocks noChangeArrowheads="1"/>
        </xdr:cNvSpPr>
      </xdr:nvSpPr>
      <xdr:spPr bwMode="auto">
        <a:xfrm>
          <a:off x="2200275" y="400050"/>
          <a:ext cx="161925"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92"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93"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94"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095"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96"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97"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98"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099"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100"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101"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99733</xdr:rowOff>
    </xdr:to>
    <xdr:sp macro="" textlink="">
      <xdr:nvSpPr>
        <xdr:cNvPr id="1102" name="Text Box 68"/>
        <xdr:cNvSpPr txBox="1">
          <a:spLocks noChangeArrowheads="1"/>
        </xdr:cNvSpPr>
      </xdr:nvSpPr>
      <xdr:spPr bwMode="auto">
        <a:xfrm>
          <a:off x="2200275" y="400050"/>
          <a:ext cx="152400" cy="95250"/>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103"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104"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twoCellAnchor editAs="oneCell">
    <xdr:from>
      <xdr:col>3</xdr:col>
      <xdr:colOff>447675</xdr:colOff>
      <xdr:row>184</xdr:row>
      <xdr:rowOff>304800</xdr:rowOff>
    </xdr:from>
    <xdr:to>
      <xdr:col>3</xdr:col>
      <xdr:colOff>600075</xdr:colOff>
      <xdr:row>185</xdr:row>
      <xdr:rowOff>109258</xdr:rowOff>
    </xdr:to>
    <xdr:sp macro="" textlink="">
      <xdr:nvSpPr>
        <xdr:cNvPr id="1105" name="Text Box 68"/>
        <xdr:cNvSpPr txBox="1">
          <a:spLocks noChangeArrowheads="1"/>
        </xdr:cNvSpPr>
      </xdr:nvSpPr>
      <xdr:spPr bwMode="auto">
        <a:xfrm>
          <a:off x="2200275" y="400050"/>
          <a:ext cx="152400" cy="104775"/>
        </a:xfrm>
        <a:prstGeom prst="rect">
          <a:avLst/>
        </a:prstGeom>
        <a:noFill/>
        <a:ln w="9525">
          <a:noFill/>
          <a:miter lim="800000"/>
          <a:headEnd/>
          <a:tailEnd/>
        </a:ln>
      </xdr:spPr>
    </xdr:sp>
    <xdr:clientData/>
  </xdr:twoCellAnchor>
  <xdr:oneCellAnchor>
    <xdr:from>
      <xdr:col>4</xdr:col>
      <xdr:colOff>3492500</xdr:colOff>
      <xdr:row>0</xdr:row>
      <xdr:rowOff>0</xdr:rowOff>
    </xdr:from>
    <xdr:ext cx="396875" cy="693185"/>
    <xdr:sp macro="" textlink="">
      <xdr:nvSpPr>
        <xdr:cNvPr id="1110" name="TextBox 1109"/>
        <xdr:cNvSpPr txBox="1"/>
      </xdr:nvSpPr>
      <xdr:spPr>
        <a:xfrm flipH="1">
          <a:off x="377825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3492500</xdr:colOff>
      <xdr:row>31</xdr:row>
      <xdr:rowOff>0</xdr:rowOff>
    </xdr:from>
    <xdr:ext cx="396875" cy="693185"/>
    <xdr:sp macro="" textlink="">
      <xdr:nvSpPr>
        <xdr:cNvPr id="1111" name="TextBox 1110"/>
        <xdr:cNvSpPr txBox="1"/>
      </xdr:nvSpPr>
      <xdr:spPr>
        <a:xfrm flipH="1">
          <a:off x="4367119"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3492500</xdr:colOff>
      <xdr:row>71</xdr:row>
      <xdr:rowOff>0</xdr:rowOff>
    </xdr:from>
    <xdr:ext cx="396875" cy="693185"/>
    <xdr:sp macro="" textlink="">
      <xdr:nvSpPr>
        <xdr:cNvPr id="1112" name="TextBox 1111"/>
        <xdr:cNvSpPr txBox="1"/>
      </xdr:nvSpPr>
      <xdr:spPr>
        <a:xfrm flipH="1">
          <a:off x="4367119"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6</xdr:col>
      <xdr:colOff>66675</xdr:colOff>
      <xdr:row>104</xdr:row>
      <xdr:rowOff>66675</xdr:rowOff>
    </xdr:from>
    <xdr:ext cx="194454" cy="240740"/>
    <xdr:sp macro="" textlink="">
      <xdr:nvSpPr>
        <xdr:cNvPr id="1113" name="TextBox 1112"/>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105</xdr:row>
      <xdr:rowOff>0</xdr:rowOff>
    </xdr:from>
    <xdr:to>
      <xdr:col>3</xdr:col>
      <xdr:colOff>1020318</xdr:colOff>
      <xdr:row>105</xdr:row>
      <xdr:rowOff>29718</xdr:rowOff>
    </xdr:to>
    <xdr:sp macro="" textlink="">
      <xdr:nvSpPr>
        <xdr:cNvPr id="1114"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115"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116"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117"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118"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119"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1019175</xdr:colOff>
      <xdr:row>105</xdr:row>
      <xdr:rowOff>28575</xdr:rowOff>
    </xdr:to>
    <xdr:sp macro="" textlink="">
      <xdr:nvSpPr>
        <xdr:cNvPr id="1120"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105</xdr:row>
      <xdr:rowOff>0</xdr:rowOff>
    </xdr:from>
    <xdr:to>
      <xdr:col>3</xdr:col>
      <xdr:colOff>609600</xdr:colOff>
      <xdr:row>105</xdr:row>
      <xdr:rowOff>9525</xdr:rowOff>
    </xdr:to>
    <xdr:sp macro="" textlink="">
      <xdr:nvSpPr>
        <xdr:cNvPr id="1121"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105</xdr:row>
      <xdr:rowOff>0</xdr:rowOff>
    </xdr:from>
    <xdr:to>
      <xdr:col>3</xdr:col>
      <xdr:colOff>714375</xdr:colOff>
      <xdr:row>105</xdr:row>
      <xdr:rowOff>28575</xdr:rowOff>
    </xdr:to>
    <xdr:sp macro="" textlink="">
      <xdr:nvSpPr>
        <xdr:cNvPr id="1122"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105</xdr:row>
      <xdr:rowOff>0</xdr:rowOff>
    </xdr:from>
    <xdr:to>
      <xdr:col>3</xdr:col>
      <xdr:colOff>523875</xdr:colOff>
      <xdr:row>105</xdr:row>
      <xdr:rowOff>0</xdr:rowOff>
    </xdr:to>
    <xdr:sp macro="" textlink="">
      <xdr:nvSpPr>
        <xdr:cNvPr id="1123"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105</xdr:row>
      <xdr:rowOff>0</xdr:rowOff>
    </xdr:from>
    <xdr:to>
      <xdr:col>3</xdr:col>
      <xdr:colOff>613410</xdr:colOff>
      <xdr:row>105</xdr:row>
      <xdr:rowOff>7493</xdr:rowOff>
    </xdr:to>
    <xdr:sp macro="" textlink="">
      <xdr:nvSpPr>
        <xdr:cNvPr id="1124"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105</xdr:row>
      <xdr:rowOff>0</xdr:rowOff>
    </xdr:from>
    <xdr:ext cx="194454" cy="240740"/>
    <xdr:sp macro="" textlink="">
      <xdr:nvSpPr>
        <xdr:cNvPr id="1125" name="TextBox 1124"/>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104</xdr:row>
      <xdr:rowOff>66675</xdr:rowOff>
    </xdr:from>
    <xdr:ext cx="194454" cy="240740"/>
    <xdr:sp macro="" textlink="">
      <xdr:nvSpPr>
        <xdr:cNvPr id="1126" name="TextBox 1125"/>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107</xdr:row>
      <xdr:rowOff>28575</xdr:rowOff>
    </xdr:from>
    <xdr:to>
      <xdr:col>3</xdr:col>
      <xdr:colOff>609600</xdr:colOff>
      <xdr:row>107</xdr:row>
      <xdr:rowOff>85725</xdr:rowOff>
    </xdr:to>
    <xdr:sp macro="" textlink="">
      <xdr:nvSpPr>
        <xdr:cNvPr id="1127"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2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99731</xdr:rowOff>
    </xdr:to>
    <xdr:sp macro="" textlink="">
      <xdr:nvSpPr>
        <xdr:cNvPr id="1129"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3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31"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3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99731</xdr:rowOff>
    </xdr:to>
    <xdr:sp macro="" textlink="">
      <xdr:nvSpPr>
        <xdr:cNvPr id="1133"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3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35"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36"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3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3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39"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40"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41"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42"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43"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44"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0</xdr:rowOff>
    </xdr:from>
    <xdr:to>
      <xdr:col>3</xdr:col>
      <xdr:colOff>609600</xdr:colOff>
      <xdr:row>107</xdr:row>
      <xdr:rowOff>95250</xdr:rowOff>
    </xdr:to>
    <xdr:sp macro="" textlink="">
      <xdr:nvSpPr>
        <xdr:cNvPr id="1145" name="Text Box 8"/>
        <xdr:cNvSpPr txBox="1">
          <a:spLocks noChangeArrowheads="1"/>
        </xdr:cNvSpPr>
      </xdr:nvSpPr>
      <xdr:spPr bwMode="auto">
        <a:xfrm>
          <a:off x="2552140" y="17615647"/>
          <a:ext cx="85725" cy="952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95250</xdr:rowOff>
    </xdr:to>
    <xdr:sp macro="" textlink="">
      <xdr:nvSpPr>
        <xdr:cNvPr id="1146"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47" name="Text Box 1"/>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48"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95250</xdr:rowOff>
    </xdr:to>
    <xdr:sp macro="" textlink="">
      <xdr:nvSpPr>
        <xdr:cNvPr id="1149"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5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5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5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5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54"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5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56"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5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5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59"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6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6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62"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6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6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65"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6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6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68"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69"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70"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71"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7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73"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74"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7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76"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77"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78"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7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8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8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8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83"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8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8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8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8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88"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89"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190"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9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9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93"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9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9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19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9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198"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199"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200"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0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0</xdr:rowOff>
    </xdr:from>
    <xdr:to>
      <xdr:col>3</xdr:col>
      <xdr:colOff>609600</xdr:colOff>
      <xdr:row>107</xdr:row>
      <xdr:rowOff>104775</xdr:rowOff>
    </xdr:to>
    <xdr:sp macro="" textlink="">
      <xdr:nvSpPr>
        <xdr:cNvPr id="1202"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03"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04"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205"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06"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07"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08"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09"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10"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211"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12"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13"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14"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15"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16"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17"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18"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219"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20"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2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22"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23"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2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25"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26"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27"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228"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29"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0</xdr:rowOff>
    </xdr:from>
    <xdr:to>
      <xdr:col>3</xdr:col>
      <xdr:colOff>609600</xdr:colOff>
      <xdr:row>107</xdr:row>
      <xdr:rowOff>104775</xdr:rowOff>
    </xdr:to>
    <xdr:sp macro="" textlink="">
      <xdr:nvSpPr>
        <xdr:cNvPr id="1230"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3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32"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233"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34"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35"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36"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237"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38"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239"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40"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4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42"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243"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44"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4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46"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47"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248"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24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250"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oneCellAnchor>
    <xdr:from>
      <xdr:col>6</xdr:col>
      <xdr:colOff>66675</xdr:colOff>
      <xdr:row>104</xdr:row>
      <xdr:rowOff>66675</xdr:rowOff>
    </xdr:from>
    <xdr:ext cx="194454" cy="240740"/>
    <xdr:sp macro="" textlink="">
      <xdr:nvSpPr>
        <xdr:cNvPr id="1251" name="TextBox 1250"/>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105</xdr:row>
      <xdr:rowOff>0</xdr:rowOff>
    </xdr:from>
    <xdr:to>
      <xdr:col>3</xdr:col>
      <xdr:colOff>1020318</xdr:colOff>
      <xdr:row>105</xdr:row>
      <xdr:rowOff>29718</xdr:rowOff>
    </xdr:to>
    <xdr:sp macro="" textlink="">
      <xdr:nvSpPr>
        <xdr:cNvPr id="1252"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253"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254"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255"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256"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257"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1019175</xdr:colOff>
      <xdr:row>105</xdr:row>
      <xdr:rowOff>28575</xdr:rowOff>
    </xdr:to>
    <xdr:sp macro="" textlink="">
      <xdr:nvSpPr>
        <xdr:cNvPr id="1258"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105</xdr:row>
      <xdr:rowOff>0</xdr:rowOff>
    </xdr:from>
    <xdr:to>
      <xdr:col>3</xdr:col>
      <xdr:colOff>609600</xdr:colOff>
      <xdr:row>105</xdr:row>
      <xdr:rowOff>9525</xdr:rowOff>
    </xdr:to>
    <xdr:sp macro="" textlink="">
      <xdr:nvSpPr>
        <xdr:cNvPr id="1259"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105</xdr:row>
      <xdr:rowOff>0</xdr:rowOff>
    </xdr:from>
    <xdr:to>
      <xdr:col>3</xdr:col>
      <xdr:colOff>714375</xdr:colOff>
      <xdr:row>105</xdr:row>
      <xdr:rowOff>28575</xdr:rowOff>
    </xdr:to>
    <xdr:sp macro="" textlink="">
      <xdr:nvSpPr>
        <xdr:cNvPr id="1260"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105</xdr:row>
      <xdr:rowOff>0</xdr:rowOff>
    </xdr:from>
    <xdr:to>
      <xdr:col>3</xdr:col>
      <xdr:colOff>523875</xdr:colOff>
      <xdr:row>105</xdr:row>
      <xdr:rowOff>0</xdr:rowOff>
    </xdr:to>
    <xdr:sp macro="" textlink="">
      <xdr:nvSpPr>
        <xdr:cNvPr id="1261"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105</xdr:row>
      <xdr:rowOff>0</xdr:rowOff>
    </xdr:from>
    <xdr:to>
      <xdr:col>3</xdr:col>
      <xdr:colOff>613410</xdr:colOff>
      <xdr:row>105</xdr:row>
      <xdr:rowOff>7493</xdr:rowOff>
    </xdr:to>
    <xdr:sp macro="" textlink="">
      <xdr:nvSpPr>
        <xdr:cNvPr id="1262"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105</xdr:row>
      <xdr:rowOff>0</xdr:rowOff>
    </xdr:from>
    <xdr:ext cx="194454" cy="240740"/>
    <xdr:sp macro="" textlink="">
      <xdr:nvSpPr>
        <xdr:cNvPr id="1263" name="TextBox 1262"/>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104</xdr:row>
      <xdr:rowOff>66675</xdr:rowOff>
    </xdr:from>
    <xdr:ext cx="194454" cy="240740"/>
    <xdr:sp macro="" textlink="">
      <xdr:nvSpPr>
        <xdr:cNvPr id="1264" name="TextBox 1263"/>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107</xdr:row>
      <xdr:rowOff>28575</xdr:rowOff>
    </xdr:from>
    <xdr:to>
      <xdr:col>3</xdr:col>
      <xdr:colOff>609600</xdr:colOff>
      <xdr:row>107</xdr:row>
      <xdr:rowOff>85725</xdr:rowOff>
    </xdr:to>
    <xdr:sp macro="" textlink="">
      <xdr:nvSpPr>
        <xdr:cNvPr id="1265"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6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99731</xdr:rowOff>
    </xdr:to>
    <xdr:sp macro="" textlink="">
      <xdr:nvSpPr>
        <xdr:cNvPr id="1267"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6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69"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7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99731</xdr:rowOff>
    </xdr:to>
    <xdr:sp macro="" textlink="">
      <xdr:nvSpPr>
        <xdr:cNvPr id="1271"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7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73"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274"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7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7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77"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278"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79"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280"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81"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282"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0</xdr:rowOff>
    </xdr:from>
    <xdr:to>
      <xdr:col>3</xdr:col>
      <xdr:colOff>609600</xdr:colOff>
      <xdr:row>107</xdr:row>
      <xdr:rowOff>95250</xdr:rowOff>
    </xdr:to>
    <xdr:sp macro="" textlink="">
      <xdr:nvSpPr>
        <xdr:cNvPr id="1283" name="Text Box 8"/>
        <xdr:cNvSpPr txBox="1">
          <a:spLocks noChangeArrowheads="1"/>
        </xdr:cNvSpPr>
      </xdr:nvSpPr>
      <xdr:spPr bwMode="auto">
        <a:xfrm>
          <a:off x="2552140" y="17615647"/>
          <a:ext cx="85725" cy="952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95250</xdr:rowOff>
    </xdr:to>
    <xdr:sp macro="" textlink="">
      <xdr:nvSpPr>
        <xdr:cNvPr id="1284"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85" name="Text Box 1"/>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86"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95250</xdr:rowOff>
    </xdr:to>
    <xdr:sp macro="" textlink="">
      <xdr:nvSpPr>
        <xdr:cNvPr id="1287"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8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8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9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9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92"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293"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294"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9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9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297"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9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29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00"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0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0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03"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0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0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0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0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08"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309"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1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11"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312"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13"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14"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15"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316"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1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1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19"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2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321"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2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2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2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2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2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2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328"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2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3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3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3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3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34"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3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336"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85725</xdr:rowOff>
    </xdr:to>
    <xdr:sp macro="" textlink="">
      <xdr:nvSpPr>
        <xdr:cNvPr id="1337"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609600</xdr:colOff>
      <xdr:row>107</xdr:row>
      <xdr:rowOff>104775</xdr:rowOff>
    </xdr:to>
    <xdr:sp macro="" textlink="">
      <xdr:nvSpPr>
        <xdr:cNvPr id="1338"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39"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0</xdr:rowOff>
    </xdr:from>
    <xdr:to>
      <xdr:col>3</xdr:col>
      <xdr:colOff>609600</xdr:colOff>
      <xdr:row>107</xdr:row>
      <xdr:rowOff>104775</xdr:rowOff>
    </xdr:to>
    <xdr:sp macro="" textlink="">
      <xdr:nvSpPr>
        <xdr:cNvPr id="1340"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4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42"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343"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44"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45"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46"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47"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48"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349"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50"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5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52"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53"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54"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55"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5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357"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58"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5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60"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61"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62"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63"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64"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6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366"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67"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107</xdr:row>
      <xdr:rowOff>0</xdr:rowOff>
    </xdr:from>
    <xdr:to>
      <xdr:col>3</xdr:col>
      <xdr:colOff>609600</xdr:colOff>
      <xdr:row>107</xdr:row>
      <xdr:rowOff>104775</xdr:rowOff>
    </xdr:to>
    <xdr:sp macro="" textlink="">
      <xdr:nvSpPr>
        <xdr:cNvPr id="1368"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6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70"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371"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72"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73"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74"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107</xdr:row>
      <xdr:rowOff>28575</xdr:rowOff>
    </xdr:from>
    <xdr:to>
      <xdr:col>3</xdr:col>
      <xdr:colOff>609600</xdr:colOff>
      <xdr:row>107</xdr:row>
      <xdr:rowOff>95250</xdr:rowOff>
    </xdr:to>
    <xdr:sp macro="" textlink="">
      <xdr:nvSpPr>
        <xdr:cNvPr id="1375"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7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377"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78"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7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714375</xdr:colOff>
      <xdr:row>107</xdr:row>
      <xdr:rowOff>114300</xdr:rowOff>
    </xdr:from>
    <xdr:to>
      <xdr:col>3</xdr:col>
      <xdr:colOff>714375</xdr:colOff>
      <xdr:row>107</xdr:row>
      <xdr:rowOff>114300</xdr:rowOff>
    </xdr:to>
    <xdr:sp macro="" textlink="">
      <xdr:nvSpPr>
        <xdr:cNvPr id="1380"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381"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82"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83"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84"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8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104775</xdr:rowOff>
    </xdr:to>
    <xdr:sp macro="" textlink="">
      <xdr:nvSpPr>
        <xdr:cNvPr id="1386"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387"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107</xdr:row>
      <xdr:rowOff>0</xdr:rowOff>
    </xdr:from>
    <xdr:to>
      <xdr:col>3</xdr:col>
      <xdr:colOff>600075</xdr:colOff>
      <xdr:row>107</xdr:row>
      <xdr:rowOff>95250</xdr:rowOff>
    </xdr:to>
    <xdr:sp macro="" textlink="">
      <xdr:nvSpPr>
        <xdr:cNvPr id="1388"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oneCellAnchor>
    <xdr:from>
      <xdr:col>6</xdr:col>
      <xdr:colOff>66675</xdr:colOff>
      <xdr:row>104</xdr:row>
      <xdr:rowOff>66675</xdr:rowOff>
    </xdr:from>
    <xdr:ext cx="194454" cy="240740"/>
    <xdr:sp macro="" textlink="">
      <xdr:nvSpPr>
        <xdr:cNvPr id="1389" name="TextBox 1388"/>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105</xdr:row>
      <xdr:rowOff>0</xdr:rowOff>
    </xdr:from>
    <xdr:to>
      <xdr:col>3</xdr:col>
      <xdr:colOff>1020318</xdr:colOff>
      <xdr:row>105</xdr:row>
      <xdr:rowOff>29718</xdr:rowOff>
    </xdr:to>
    <xdr:sp macro="" textlink="">
      <xdr:nvSpPr>
        <xdr:cNvPr id="1390"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391"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392"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393"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394"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395"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1019175</xdr:colOff>
      <xdr:row>105</xdr:row>
      <xdr:rowOff>28575</xdr:rowOff>
    </xdr:to>
    <xdr:sp macro="" textlink="">
      <xdr:nvSpPr>
        <xdr:cNvPr id="1396"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105</xdr:row>
      <xdr:rowOff>0</xdr:rowOff>
    </xdr:from>
    <xdr:to>
      <xdr:col>3</xdr:col>
      <xdr:colOff>609600</xdr:colOff>
      <xdr:row>105</xdr:row>
      <xdr:rowOff>9525</xdr:rowOff>
    </xdr:to>
    <xdr:sp macro="" textlink="">
      <xdr:nvSpPr>
        <xdr:cNvPr id="1397"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105</xdr:row>
      <xdr:rowOff>0</xdr:rowOff>
    </xdr:from>
    <xdr:to>
      <xdr:col>3</xdr:col>
      <xdr:colOff>714375</xdr:colOff>
      <xdr:row>105</xdr:row>
      <xdr:rowOff>28575</xdr:rowOff>
    </xdr:to>
    <xdr:sp macro="" textlink="">
      <xdr:nvSpPr>
        <xdr:cNvPr id="1398"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105</xdr:row>
      <xdr:rowOff>0</xdr:rowOff>
    </xdr:from>
    <xdr:to>
      <xdr:col>3</xdr:col>
      <xdr:colOff>523875</xdr:colOff>
      <xdr:row>105</xdr:row>
      <xdr:rowOff>0</xdr:rowOff>
    </xdr:to>
    <xdr:sp macro="" textlink="">
      <xdr:nvSpPr>
        <xdr:cNvPr id="1399"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105</xdr:row>
      <xdr:rowOff>0</xdr:rowOff>
    </xdr:from>
    <xdr:to>
      <xdr:col>3</xdr:col>
      <xdr:colOff>613410</xdr:colOff>
      <xdr:row>105</xdr:row>
      <xdr:rowOff>7493</xdr:rowOff>
    </xdr:to>
    <xdr:sp macro="" textlink="">
      <xdr:nvSpPr>
        <xdr:cNvPr id="1400"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105</xdr:row>
      <xdr:rowOff>0</xdr:rowOff>
    </xdr:from>
    <xdr:ext cx="194454" cy="240740"/>
    <xdr:sp macro="" textlink="">
      <xdr:nvSpPr>
        <xdr:cNvPr id="1401" name="TextBox 1400"/>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104</xdr:row>
      <xdr:rowOff>66675</xdr:rowOff>
    </xdr:from>
    <xdr:ext cx="194454" cy="240740"/>
    <xdr:sp macro="" textlink="">
      <xdr:nvSpPr>
        <xdr:cNvPr id="1402" name="TextBox 1401"/>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105</xdr:row>
      <xdr:rowOff>304800</xdr:rowOff>
    </xdr:from>
    <xdr:to>
      <xdr:col>3</xdr:col>
      <xdr:colOff>609600</xdr:colOff>
      <xdr:row>106</xdr:row>
      <xdr:rowOff>99731</xdr:rowOff>
    </xdr:to>
    <xdr:sp macro="" textlink="">
      <xdr:nvSpPr>
        <xdr:cNvPr id="1403"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99731</xdr:rowOff>
    </xdr:to>
    <xdr:sp macro="" textlink="">
      <xdr:nvSpPr>
        <xdr:cNvPr id="1404"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0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06"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0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08"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09"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1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11"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1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13"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1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15"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1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17"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18"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1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2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2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22"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23"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24"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2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2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27"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oneCellAnchor>
    <xdr:from>
      <xdr:col>6</xdr:col>
      <xdr:colOff>66675</xdr:colOff>
      <xdr:row>104</xdr:row>
      <xdr:rowOff>66675</xdr:rowOff>
    </xdr:from>
    <xdr:ext cx="194454" cy="240740"/>
    <xdr:sp macro="" textlink="">
      <xdr:nvSpPr>
        <xdr:cNvPr id="1428" name="TextBox 1427"/>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105</xdr:row>
      <xdr:rowOff>0</xdr:rowOff>
    </xdr:from>
    <xdr:to>
      <xdr:col>3</xdr:col>
      <xdr:colOff>1020318</xdr:colOff>
      <xdr:row>105</xdr:row>
      <xdr:rowOff>29718</xdr:rowOff>
    </xdr:to>
    <xdr:sp macro="" textlink="">
      <xdr:nvSpPr>
        <xdr:cNvPr id="1429"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430"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431"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432"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1020318</xdr:colOff>
      <xdr:row>105</xdr:row>
      <xdr:rowOff>29718</xdr:rowOff>
    </xdr:to>
    <xdr:sp macro="" textlink="">
      <xdr:nvSpPr>
        <xdr:cNvPr id="1433"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105</xdr:row>
      <xdr:rowOff>0</xdr:rowOff>
    </xdr:from>
    <xdr:to>
      <xdr:col>3</xdr:col>
      <xdr:colOff>609600</xdr:colOff>
      <xdr:row>105</xdr:row>
      <xdr:rowOff>28575</xdr:rowOff>
    </xdr:to>
    <xdr:sp macro="" textlink="">
      <xdr:nvSpPr>
        <xdr:cNvPr id="1434"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105</xdr:row>
      <xdr:rowOff>0</xdr:rowOff>
    </xdr:from>
    <xdr:to>
      <xdr:col>3</xdr:col>
      <xdr:colOff>1019175</xdr:colOff>
      <xdr:row>105</xdr:row>
      <xdr:rowOff>28575</xdr:rowOff>
    </xdr:to>
    <xdr:sp macro="" textlink="">
      <xdr:nvSpPr>
        <xdr:cNvPr id="1435"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105</xdr:row>
      <xdr:rowOff>0</xdr:rowOff>
    </xdr:from>
    <xdr:to>
      <xdr:col>3</xdr:col>
      <xdr:colOff>609600</xdr:colOff>
      <xdr:row>105</xdr:row>
      <xdr:rowOff>9525</xdr:rowOff>
    </xdr:to>
    <xdr:sp macro="" textlink="">
      <xdr:nvSpPr>
        <xdr:cNvPr id="1436"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105</xdr:row>
      <xdr:rowOff>0</xdr:rowOff>
    </xdr:from>
    <xdr:to>
      <xdr:col>3</xdr:col>
      <xdr:colOff>714375</xdr:colOff>
      <xdr:row>105</xdr:row>
      <xdr:rowOff>28575</xdr:rowOff>
    </xdr:to>
    <xdr:sp macro="" textlink="">
      <xdr:nvSpPr>
        <xdr:cNvPr id="1437"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105</xdr:row>
      <xdr:rowOff>0</xdr:rowOff>
    </xdr:from>
    <xdr:to>
      <xdr:col>3</xdr:col>
      <xdr:colOff>523875</xdr:colOff>
      <xdr:row>105</xdr:row>
      <xdr:rowOff>0</xdr:rowOff>
    </xdr:to>
    <xdr:sp macro="" textlink="">
      <xdr:nvSpPr>
        <xdr:cNvPr id="1438"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105</xdr:row>
      <xdr:rowOff>0</xdr:rowOff>
    </xdr:from>
    <xdr:to>
      <xdr:col>3</xdr:col>
      <xdr:colOff>613410</xdr:colOff>
      <xdr:row>105</xdr:row>
      <xdr:rowOff>7493</xdr:rowOff>
    </xdr:to>
    <xdr:sp macro="" textlink="">
      <xdr:nvSpPr>
        <xdr:cNvPr id="1439"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105</xdr:row>
      <xdr:rowOff>0</xdr:rowOff>
    </xdr:from>
    <xdr:ext cx="194454" cy="240740"/>
    <xdr:sp macro="" textlink="">
      <xdr:nvSpPr>
        <xdr:cNvPr id="1440" name="TextBox 1439"/>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104</xdr:row>
      <xdr:rowOff>66675</xdr:rowOff>
    </xdr:from>
    <xdr:ext cx="194454" cy="240740"/>
    <xdr:sp macro="" textlink="">
      <xdr:nvSpPr>
        <xdr:cNvPr id="1441" name="TextBox 1440"/>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105</xdr:row>
      <xdr:rowOff>304800</xdr:rowOff>
    </xdr:from>
    <xdr:to>
      <xdr:col>3</xdr:col>
      <xdr:colOff>609600</xdr:colOff>
      <xdr:row>106</xdr:row>
      <xdr:rowOff>99731</xdr:rowOff>
    </xdr:to>
    <xdr:sp macro="" textlink="">
      <xdr:nvSpPr>
        <xdr:cNvPr id="1442"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99731</xdr:rowOff>
    </xdr:to>
    <xdr:sp macro="" textlink="">
      <xdr:nvSpPr>
        <xdr:cNvPr id="1443"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44"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4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46"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4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48"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49"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5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51"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609600</xdr:colOff>
      <xdr:row>106</xdr:row>
      <xdr:rowOff>109256</xdr:rowOff>
    </xdr:to>
    <xdr:sp macro="" textlink="">
      <xdr:nvSpPr>
        <xdr:cNvPr id="145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53"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54"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5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56"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57"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58"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5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6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61"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62"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99731</xdr:rowOff>
    </xdr:to>
    <xdr:sp macro="" textlink="">
      <xdr:nvSpPr>
        <xdr:cNvPr id="1463"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6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6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105</xdr:row>
      <xdr:rowOff>304800</xdr:rowOff>
    </xdr:from>
    <xdr:to>
      <xdr:col>3</xdr:col>
      <xdr:colOff>600075</xdr:colOff>
      <xdr:row>106</xdr:row>
      <xdr:rowOff>109256</xdr:rowOff>
    </xdr:to>
    <xdr:sp macro="" textlink="">
      <xdr:nvSpPr>
        <xdr:cNvPr id="146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oneCellAnchor>
    <xdr:from>
      <xdr:col>4</xdr:col>
      <xdr:colOff>3492500</xdr:colOff>
      <xdr:row>104</xdr:row>
      <xdr:rowOff>0</xdr:rowOff>
    </xdr:from>
    <xdr:ext cx="396875" cy="693185"/>
    <xdr:sp macro="" textlink="">
      <xdr:nvSpPr>
        <xdr:cNvPr id="1467" name="TextBox 1466"/>
        <xdr:cNvSpPr txBox="1"/>
      </xdr:nvSpPr>
      <xdr:spPr>
        <a:xfrm flipH="1">
          <a:off x="4367119" y="16898471"/>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6</xdr:col>
      <xdr:colOff>66675</xdr:colOff>
      <xdr:row>150</xdr:row>
      <xdr:rowOff>66675</xdr:rowOff>
    </xdr:from>
    <xdr:ext cx="194454" cy="240740"/>
    <xdr:sp macro="" textlink="">
      <xdr:nvSpPr>
        <xdr:cNvPr id="1468" name="TextBox 1467"/>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151</xdr:row>
      <xdr:rowOff>0</xdr:rowOff>
    </xdr:from>
    <xdr:to>
      <xdr:col>3</xdr:col>
      <xdr:colOff>1020318</xdr:colOff>
      <xdr:row>151</xdr:row>
      <xdr:rowOff>29718</xdr:rowOff>
    </xdr:to>
    <xdr:sp macro="" textlink="">
      <xdr:nvSpPr>
        <xdr:cNvPr id="1469"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470"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471"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472"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473"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474"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1019175</xdr:colOff>
      <xdr:row>151</xdr:row>
      <xdr:rowOff>28575</xdr:rowOff>
    </xdr:to>
    <xdr:sp macro="" textlink="">
      <xdr:nvSpPr>
        <xdr:cNvPr id="1475"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151</xdr:row>
      <xdr:rowOff>0</xdr:rowOff>
    </xdr:from>
    <xdr:to>
      <xdr:col>3</xdr:col>
      <xdr:colOff>609600</xdr:colOff>
      <xdr:row>151</xdr:row>
      <xdr:rowOff>9525</xdr:rowOff>
    </xdr:to>
    <xdr:sp macro="" textlink="">
      <xdr:nvSpPr>
        <xdr:cNvPr id="1476"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151</xdr:row>
      <xdr:rowOff>0</xdr:rowOff>
    </xdr:from>
    <xdr:to>
      <xdr:col>3</xdr:col>
      <xdr:colOff>714375</xdr:colOff>
      <xdr:row>151</xdr:row>
      <xdr:rowOff>28575</xdr:rowOff>
    </xdr:to>
    <xdr:sp macro="" textlink="">
      <xdr:nvSpPr>
        <xdr:cNvPr id="1477"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151</xdr:row>
      <xdr:rowOff>0</xdr:rowOff>
    </xdr:from>
    <xdr:to>
      <xdr:col>3</xdr:col>
      <xdr:colOff>523875</xdr:colOff>
      <xdr:row>151</xdr:row>
      <xdr:rowOff>0</xdr:rowOff>
    </xdr:to>
    <xdr:sp macro="" textlink="">
      <xdr:nvSpPr>
        <xdr:cNvPr id="1478"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151</xdr:row>
      <xdr:rowOff>0</xdr:rowOff>
    </xdr:from>
    <xdr:to>
      <xdr:col>3</xdr:col>
      <xdr:colOff>613410</xdr:colOff>
      <xdr:row>151</xdr:row>
      <xdr:rowOff>7493</xdr:rowOff>
    </xdr:to>
    <xdr:sp macro="" textlink="">
      <xdr:nvSpPr>
        <xdr:cNvPr id="1479"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151</xdr:row>
      <xdr:rowOff>0</xdr:rowOff>
    </xdr:from>
    <xdr:ext cx="194454" cy="240740"/>
    <xdr:sp macro="" textlink="">
      <xdr:nvSpPr>
        <xdr:cNvPr id="1480" name="TextBox 1479"/>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150</xdr:row>
      <xdr:rowOff>66675</xdr:rowOff>
    </xdr:from>
    <xdr:ext cx="194454" cy="240740"/>
    <xdr:sp macro="" textlink="">
      <xdr:nvSpPr>
        <xdr:cNvPr id="1481" name="TextBox 1480"/>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153</xdr:row>
      <xdr:rowOff>28575</xdr:rowOff>
    </xdr:from>
    <xdr:to>
      <xdr:col>3</xdr:col>
      <xdr:colOff>609600</xdr:colOff>
      <xdr:row>153</xdr:row>
      <xdr:rowOff>85725</xdr:rowOff>
    </xdr:to>
    <xdr:sp macro="" textlink="">
      <xdr:nvSpPr>
        <xdr:cNvPr id="1482"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8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99733</xdr:rowOff>
    </xdr:to>
    <xdr:sp macro="" textlink="">
      <xdr:nvSpPr>
        <xdr:cNvPr id="1484"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8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86"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8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99733</xdr:rowOff>
    </xdr:to>
    <xdr:sp macro="" textlink="">
      <xdr:nvSpPr>
        <xdr:cNvPr id="1488"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8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90"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491"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9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9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494"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495"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96"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497"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498"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499"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0</xdr:rowOff>
    </xdr:from>
    <xdr:to>
      <xdr:col>3</xdr:col>
      <xdr:colOff>609600</xdr:colOff>
      <xdr:row>153</xdr:row>
      <xdr:rowOff>95250</xdr:rowOff>
    </xdr:to>
    <xdr:sp macro="" textlink="">
      <xdr:nvSpPr>
        <xdr:cNvPr id="1500" name="Text Box 8"/>
        <xdr:cNvSpPr txBox="1">
          <a:spLocks noChangeArrowheads="1"/>
        </xdr:cNvSpPr>
      </xdr:nvSpPr>
      <xdr:spPr bwMode="auto">
        <a:xfrm>
          <a:off x="2552140" y="17615647"/>
          <a:ext cx="85725" cy="952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95250</xdr:rowOff>
    </xdr:to>
    <xdr:sp macro="" textlink="">
      <xdr:nvSpPr>
        <xdr:cNvPr id="1501"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02" name="Text Box 1"/>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03"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95250</xdr:rowOff>
    </xdr:to>
    <xdr:sp macro="" textlink="">
      <xdr:nvSpPr>
        <xdr:cNvPr id="1504"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0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0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0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0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09"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1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511"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1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1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14"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1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1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17"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1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1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20"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2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2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23"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24"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25"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526"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2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28"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529"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3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31"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32"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533"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3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3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3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3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538"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3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4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4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4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43"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44"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545"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4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4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48"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4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5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5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5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553"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554"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555"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5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0</xdr:rowOff>
    </xdr:from>
    <xdr:to>
      <xdr:col>3</xdr:col>
      <xdr:colOff>609600</xdr:colOff>
      <xdr:row>153</xdr:row>
      <xdr:rowOff>104775</xdr:rowOff>
    </xdr:to>
    <xdr:sp macro="" textlink="">
      <xdr:nvSpPr>
        <xdr:cNvPr id="1557"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558"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59"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560"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61"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62"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63"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64"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65"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566"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67"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568"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69"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70"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71"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72"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73"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574"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75"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57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77"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78"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57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80"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81"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582"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583"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84"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0</xdr:rowOff>
    </xdr:from>
    <xdr:to>
      <xdr:col>3</xdr:col>
      <xdr:colOff>609600</xdr:colOff>
      <xdr:row>153</xdr:row>
      <xdr:rowOff>104775</xdr:rowOff>
    </xdr:to>
    <xdr:sp macro="" textlink="">
      <xdr:nvSpPr>
        <xdr:cNvPr id="1585"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58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87"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588"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89"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90"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91"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592"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93"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594"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95"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59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597"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598"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599"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60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601"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602"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603"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60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605"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oneCellAnchor>
    <xdr:from>
      <xdr:col>6</xdr:col>
      <xdr:colOff>66675</xdr:colOff>
      <xdr:row>150</xdr:row>
      <xdr:rowOff>66675</xdr:rowOff>
    </xdr:from>
    <xdr:ext cx="194454" cy="240740"/>
    <xdr:sp macro="" textlink="">
      <xdr:nvSpPr>
        <xdr:cNvPr id="1606" name="TextBox 1605"/>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151</xdr:row>
      <xdr:rowOff>0</xdr:rowOff>
    </xdr:from>
    <xdr:to>
      <xdr:col>3</xdr:col>
      <xdr:colOff>1020318</xdr:colOff>
      <xdr:row>151</xdr:row>
      <xdr:rowOff>29718</xdr:rowOff>
    </xdr:to>
    <xdr:sp macro="" textlink="">
      <xdr:nvSpPr>
        <xdr:cNvPr id="1607"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608"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609"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610"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611"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612"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1019175</xdr:colOff>
      <xdr:row>151</xdr:row>
      <xdr:rowOff>28575</xdr:rowOff>
    </xdr:to>
    <xdr:sp macro="" textlink="">
      <xdr:nvSpPr>
        <xdr:cNvPr id="1613"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151</xdr:row>
      <xdr:rowOff>0</xdr:rowOff>
    </xdr:from>
    <xdr:to>
      <xdr:col>3</xdr:col>
      <xdr:colOff>609600</xdr:colOff>
      <xdr:row>151</xdr:row>
      <xdr:rowOff>9525</xdr:rowOff>
    </xdr:to>
    <xdr:sp macro="" textlink="">
      <xdr:nvSpPr>
        <xdr:cNvPr id="1614"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151</xdr:row>
      <xdr:rowOff>0</xdr:rowOff>
    </xdr:from>
    <xdr:to>
      <xdr:col>3</xdr:col>
      <xdr:colOff>714375</xdr:colOff>
      <xdr:row>151</xdr:row>
      <xdr:rowOff>28575</xdr:rowOff>
    </xdr:to>
    <xdr:sp macro="" textlink="">
      <xdr:nvSpPr>
        <xdr:cNvPr id="1615"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151</xdr:row>
      <xdr:rowOff>0</xdr:rowOff>
    </xdr:from>
    <xdr:to>
      <xdr:col>3</xdr:col>
      <xdr:colOff>523875</xdr:colOff>
      <xdr:row>151</xdr:row>
      <xdr:rowOff>0</xdr:rowOff>
    </xdr:to>
    <xdr:sp macro="" textlink="">
      <xdr:nvSpPr>
        <xdr:cNvPr id="1616"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151</xdr:row>
      <xdr:rowOff>0</xdr:rowOff>
    </xdr:from>
    <xdr:to>
      <xdr:col>3</xdr:col>
      <xdr:colOff>613410</xdr:colOff>
      <xdr:row>151</xdr:row>
      <xdr:rowOff>7493</xdr:rowOff>
    </xdr:to>
    <xdr:sp macro="" textlink="">
      <xdr:nvSpPr>
        <xdr:cNvPr id="1617"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151</xdr:row>
      <xdr:rowOff>0</xdr:rowOff>
    </xdr:from>
    <xdr:ext cx="194454" cy="240740"/>
    <xdr:sp macro="" textlink="">
      <xdr:nvSpPr>
        <xdr:cNvPr id="1618" name="TextBox 1617"/>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150</xdr:row>
      <xdr:rowOff>66675</xdr:rowOff>
    </xdr:from>
    <xdr:ext cx="194454" cy="240740"/>
    <xdr:sp macro="" textlink="">
      <xdr:nvSpPr>
        <xdr:cNvPr id="1619" name="TextBox 1618"/>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153</xdr:row>
      <xdr:rowOff>28575</xdr:rowOff>
    </xdr:from>
    <xdr:to>
      <xdr:col>3</xdr:col>
      <xdr:colOff>609600</xdr:colOff>
      <xdr:row>153</xdr:row>
      <xdr:rowOff>85725</xdr:rowOff>
    </xdr:to>
    <xdr:sp macro="" textlink="">
      <xdr:nvSpPr>
        <xdr:cNvPr id="1620"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2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99733</xdr:rowOff>
    </xdr:to>
    <xdr:sp macro="" textlink="">
      <xdr:nvSpPr>
        <xdr:cNvPr id="1622"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2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24" name="Text Box 29"/>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2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99733</xdr:rowOff>
    </xdr:to>
    <xdr:sp macro="" textlink="">
      <xdr:nvSpPr>
        <xdr:cNvPr id="1626"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2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28"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29"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3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3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32"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33"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34"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35"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36"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37"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0</xdr:rowOff>
    </xdr:from>
    <xdr:to>
      <xdr:col>3</xdr:col>
      <xdr:colOff>609600</xdr:colOff>
      <xdr:row>153</xdr:row>
      <xdr:rowOff>95250</xdr:rowOff>
    </xdr:to>
    <xdr:sp macro="" textlink="">
      <xdr:nvSpPr>
        <xdr:cNvPr id="1638" name="Text Box 8"/>
        <xdr:cNvSpPr txBox="1">
          <a:spLocks noChangeArrowheads="1"/>
        </xdr:cNvSpPr>
      </xdr:nvSpPr>
      <xdr:spPr bwMode="auto">
        <a:xfrm>
          <a:off x="2552140" y="17615647"/>
          <a:ext cx="85725" cy="952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95250</xdr:rowOff>
    </xdr:to>
    <xdr:sp macro="" textlink="">
      <xdr:nvSpPr>
        <xdr:cNvPr id="1639"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40" name="Text Box 1"/>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41"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95250</xdr:rowOff>
    </xdr:to>
    <xdr:sp macro="" textlink="">
      <xdr:nvSpPr>
        <xdr:cNvPr id="1642" name="Text Box 68"/>
        <xdr:cNvSpPr txBox="1">
          <a:spLocks noChangeArrowheads="1"/>
        </xdr:cNvSpPr>
      </xdr:nvSpPr>
      <xdr:spPr bwMode="auto">
        <a:xfrm>
          <a:off x="2475940" y="17615647"/>
          <a:ext cx="161925"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4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4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4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4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47"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48"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49"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1"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52"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55"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6"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8"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5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6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6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6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63"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64"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6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66"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67"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68"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69"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70"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71"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72"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73"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74"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7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76"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7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7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79"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80"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8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8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83"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84"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85"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86"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87"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88" name="Text Box 8"/>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89"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9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691"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85725</xdr:rowOff>
    </xdr:to>
    <xdr:sp macro="" textlink="">
      <xdr:nvSpPr>
        <xdr:cNvPr id="1692" name="Text Box 22"/>
        <xdr:cNvSpPr txBox="1">
          <a:spLocks noChangeArrowheads="1"/>
        </xdr:cNvSpPr>
      </xdr:nvSpPr>
      <xdr:spPr bwMode="auto">
        <a:xfrm>
          <a:off x="2552140" y="17644222"/>
          <a:ext cx="85725" cy="57150"/>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609600</xdr:colOff>
      <xdr:row>153</xdr:row>
      <xdr:rowOff>104775</xdr:rowOff>
    </xdr:to>
    <xdr:sp macro="" textlink="">
      <xdr:nvSpPr>
        <xdr:cNvPr id="1693" name="Text Box 68"/>
        <xdr:cNvSpPr txBox="1">
          <a:spLocks noChangeArrowheads="1"/>
        </xdr:cNvSpPr>
      </xdr:nvSpPr>
      <xdr:spPr bwMode="auto">
        <a:xfrm>
          <a:off x="2475940" y="17615647"/>
          <a:ext cx="161925" cy="1047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694"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0</xdr:rowOff>
    </xdr:from>
    <xdr:to>
      <xdr:col>3</xdr:col>
      <xdr:colOff>609600</xdr:colOff>
      <xdr:row>153</xdr:row>
      <xdr:rowOff>104775</xdr:rowOff>
    </xdr:to>
    <xdr:sp macro="" textlink="">
      <xdr:nvSpPr>
        <xdr:cNvPr id="1695"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69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697"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698"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699"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00"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01"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02"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703"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04"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05"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0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07"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08"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09"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10"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71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12"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13"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1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15"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16"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17"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18"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19"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2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721"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722"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523875</xdr:colOff>
      <xdr:row>153</xdr:row>
      <xdr:rowOff>0</xdr:rowOff>
    </xdr:from>
    <xdr:to>
      <xdr:col>3</xdr:col>
      <xdr:colOff>609600</xdr:colOff>
      <xdr:row>153</xdr:row>
      <xdr:rowOff>104775</xdr:rowOff>
    </xdr:to>
    <xdr:sp macro="" textlink="">
      <xdr:nvSpPr>
        <xdr:cNvPr id="1723" name="Text Box 55"/>
        <xdr:cNvSpPr txBox="1">
          <a:spLocks noChangeArrowheads="1"/>
        </xdr:cNvSpPr>
      </xdr:nvSpPr>
      <xdr:spPr bwMode="auto">
        <a:xfrm>
          <a:off x="2552140" y="17615647"/>
          <a:ext cx="85725"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2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25"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726"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27" name="Text Box 22"/>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28"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29"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523875</xdr:colOff>
      <xdr:row>153</xdr:row>
      <xdr:rowOff>28575</xdr:rowOff>
    </xdr:from>
    <xdr:to>
      <xdr:col>3</xdr:col>
      <xdr:colOff>609600</xdr:colOff>
      <xdr:row>153</xdr:row>
      <xdr:rowOff>95250</xdr:rowOff>
    </xdr:to>
    <xdr:sp macro="" textlink="">
      <xdr:nvSpPr>
        <xdr:cNvPr id="1730" name="Text Box 8"/>
        <xdr:cNvSpPr txBox="1">
          <a:spLocks noChangeArrowheads="1"/>
        </xdr:cNvSpPr>
      </xdr:nvSpPr>
      <xdr:spPr bwMode="auto">
        <a:xfrm>
          <a:off x="2552140" y="17644222"/>
          <a:ext cx="85725" cy="66675"/>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731"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32"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33"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3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714375</xdr:colOff>
      <xdr:row>153</xdr:row>
      <xdr:rowOff>114300</xdr:rowOff>
    </xdr:from>
    <xdr:to>
      <xdr:col>3</xdr:col>
      <xdr:colOff>714375</xdr:colOff>
      <xdr:row>153</xdr:row>
      <xdr:rowOff>114300</xdr:rowOff>
    </xdr:to>
    <xdr:sp macro="" textlink="">
      <xdr:nvSpPr>
        <xdr:cNvPr id="1735" name="Text Box 68"/>
        <xdr:cNvSpPr txBox="1">
          <a:spLocks noChangeArrowheads="1"/>
        </xdr:cNvSpPr>
      </xdr:nvSpPr>
      <xdr:spPr bwMode="auto">
        <a:xfrm>
          <a:off x="2742640" y="17729947"/>
          <a:ext cx="0" cy="0"/>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36"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37"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38"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39"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4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104775</xdr:rowOff>
    </xdr:to>
    <xdr:sp macro="" textlink="">
      <xdr:nvSpPr>
        <xdr:cNvPr id="1741" name="Text Box 68"/>
        <xdr:cNvSpPr txBox="1">
          <a:spLocks noChangeArrowheads="1"/>
        </xdr:cNvSpPr>
      </xdr:nvSpPr>
      <xdr:spPr bwMode="auto">
        <a:xfrm>
          <a:off x="2475940" y="17615647"/>
          <a:ext cx="152400" cy="104775"/>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42"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153</xdr:row>
      <xdr:rowOff>0</xdr:rowOff>
    </xdr:from>
    <xdr:to>
      <xdr:col>3</xdr:col>
      <xdr:colOff>600075</xdr:colOff>
      <xdr:row>153</xdr:row>
      <xdr:rowOff>95250</xdr:rowOff>
    </xdr:to>
    <xdr:sp macro="" textlink="">
      <xdr:nvSpPr>
        <xdr:cNvPr id="1743" name="Text Box 68"/>
        <xdr:cNvSpPr txBox="1">
          <a:spLocks noChangeArrowheads="1"/>
        </xdr:cNvSpPr>
      </xdr:nvSpPr>
      <xdr:spPr bwMode="auto">
        <a:xfrm>
          <a:off x="2475940" y="17615647"/>
          <a:ext cx="152400" cy="95250"/>
        </a:xfrm>
        <a:prstGeom prst="rect">
          <a:avLst/>
        </a:prstGeom>
        <a:noFill/>
        <a:ln w="9525">
          <a:noFill/>
          <a:miter lim="800000"/>
          <a:headEnd/>
          <a:tailEnd/>
        </a:ln>
      </xdr:spPr>
    </xdr:sp>
    <xdr:clientData/>
  </xdr:twoCellAnchor>
  <xdr:oneCellAnchor>
    <xdr:from>
      <xdr:col>6</xdr:col>
      <xdr:colOff>66675</xdr:colOff>
      <xdr:row>150</xdr:row>
      <xdr:rowOff>66675</xdr:rowOff>
    </xdr:from>
    <xdr:ext cx="194454" cy="240740"/>
    <xdr:sp macro="" textlink="">
      <xdr:nvSpPr>
        <xdr:cNvPr id="1744" name="TextBox 1743"/>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151</xdr:row>
      <xdr:rowOff>0</xdr:rowOff>
    </xdr:from>
    <xdr:to>
      <xdr:col>3</xdr:col>
      <xdr:colOff>1020318</xdr:colOff>
      <xdr:row>151</xdr:row>
      <xdr:rowOff>29718</xdr:rowOff>
    </xdr:to>
    <xdr:sp macro="" textlink="">
      <xdr:nvSpPr>
        <xdr:cNvPr id="1745"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746"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747"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748"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749"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750"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1019175</xdr:colOff>
      <xdr:row>151</xdr:row>
      <xdr:rowOff>28575</xdr:rowOff>
    </xdr:to>
    <xdr:sp macro="" textlink="">
      <xdr:nvSpPr>
        <xdr:cNvPr id="1751"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151</xdr:row>
      <xdr:rowOff>0</xdr:rowOff>
    </xdr:from>
    <xdr:to>
      <xdr:col>3</xdr:col>
      <xdr:colOff>609600</xdr:colOff>
      <xdr:row>151</xdr:row>
      <xdr:rowOff>9525</xdr:rowOff>
    </xdr:to>
    <xdr:sp macro="" textlink="">
      <xdr:nvSpPr>
        <xdr:cNvPr id="1752"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151</xdr:row>
      <xdr:rowOff>0</xdr:rowOff>
    </xdr:from>
    <xdr:to>
      <xdr:col>3</xdr:col>
      <xdr:colOff>714375</xdr:colOff>
      <xdr:row>151</xdr:row>
      <xdr:rowOff>28575</xdr:rowOff>
    </xdr:to>
    <xdr:sp macro="" textlink="">
      <xdr:nvSpPr>
        <xdr:cNvPr id="1753"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151</xdr:row>
      <xdr:rowOff>0</xdr:rowOff>
    </xdr:from>
    <xdr:to>
      <xdr:col>3</xdr:col>
      <xdr:colOff>523875</xdr:colOff>
      <xdr:row>151</xdr:row>
      <xdr:rowOff>0</xdr:rowOff>
    </xdr:to>
    <xdr:sp macro="" textlink="">
      <xdr:nvSpPr>
        <xdr:cNvPr id="1754"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151</xdr:row>
      <xdr:rowOff>0</xdr:rowOff>
    </xdr:from>
    <xdr:to>
      <xdr:col>3</xdr:col>
      <xdr:colOff>613410</xdr:colOff>
      <xdr:row>151</xdr:row>
      <xdr:rowOff>7493</xdr:rowOff>
    </xdr:to>
    <xdr:sp macro="" textlink="">
      <xdr:nvSpPr>
        <xdr:cNvPr id="1755"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151</xdr:row>
      <xdr:rowOff>0</xdr:rowOff>
    </xdr:from>
    <xdr:ext cx="194454" cy="240740"/>
    <xdr:sp macro="" textlink="">
      <xdr:nvSpPr>
        <xdr:cNvPr id="1756" name="TextBox 1755"/>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150</xdr:row>
      <xdr:rowOff>66675</xdr:rowOff>
    </xdr:from>
    <xdr:ext cx="194454" cy="240740"/>
    <xdr:sp macro="" textlink="">
      <xdr:nvSpPr>
        <xdr:cNvPr id="1757" name="TextBox 1756"/>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151</xdr:row>
      <xdr:rowOff>304800</xdr:rowOff>
    </xdr:from>
    <xdr:to>
      <xdr:col>3</xdr:col>
      <xdr:colOff>609600</xdr:colOff>
      <xdr:row>152</xdr:row>
      <xdr:rowOff>99733</xdr:rowOff>
    </xdr:to>
    <xdr:sp macro="" textlink="">
      <xdr:nvSpPr>
        <xdr:cNvPr id="1758"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99733</xdr:rowOff>
    </xdr:to>
    <xdr:sp macro="" textlink="">
      <xdr:nvSpPr>
        <xdr:cNvPr id="1759"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1"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3"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4"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6"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68"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6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70"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7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72"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73"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7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7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76"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77"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78"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779"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8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8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782"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oneCellAnchor>
    <xdr:from>
      <xdr:col>6</xdr:col>
      <xdr:colOff>66675</xdr:colOff>
      <xdr:row>150</xdr:row>
      <xdr:rowOff>66675</xdr:rowOff>
    </xdr:from>
    <xdr:ext cx="194454" cy="240740"/>
    <xdr:sp macro="" textlink="">
      <xdr:nvSpPr>
        <xdr:cNvPr id="1783" name="TextBox 1782"/>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151</xdr:row>
      <xdr:rowOff>0</xdr:rowOff>
    </xdr:from>
    <xdr:to>
      <xdr:col>3</xdr:col>
      <xdr:colOff>1020318</xdr:colOff>
      <xdr:row>151</xdr:row>
      <xdr:rowOff>29718</xdr:rowOff>
    </xdr:to>
    <xdr:sp macro="" textlink="">
      <xdr:nvSpPr>
        <xdr:cNvPr id="1784" name="Text Box 44"/>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785" name="Text Box 50"/>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786" name="Text Box 52"/>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787" name="Text Box 55"/>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1020318</xdr:colOff>
      <xdr:row>151</xdr:row>
      <xdr:rowOff>29718</xdr:rowOff>
    </xdr:to>
    <xdr:sp macro="" textlink="">
      <xdr:nvSpPr>
        <xdr:cNvPr id="1788" name="Text Box 39"/>
        <xdr:cNvSpPr txBox="1">
          <a:spLocks noChangeArrowheads="1"/>
        </xdr:cNvSpPr>
      </xdr:nvSpPr>
      <xdr:spPr bwMode="auto">
        <a:xfrm>
          <a:off x="3047440" y="1714500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151</xdr:row>
      <xdr:rowOff>0</xdr:rowOff>
    </xdr:from>
    <xdr:to>
      <xdr:col>3</xdr:col>
      <xdr:colOff>609600</xdr:colOff>
      <xdr:row>151</xdr:row>
      <xdr:rowOff>28575</xdr:rowOff>
    </xdr:to>
    <xdr:sp macro="" textlink="">
      <xdr:nvSpPr>
        <xdr:cNvPr id="1789" name="Text Box 8"/>
        <xdr:cNvSpPr txBox="1">
          <a:spLocks noChangeArrowheads="1"/>
        </xdr:cNvSpPr>
      </xdr:nvSpPr>
      <xdr:spPr bwMode="auto">
        <a:xfrm>
          <a:off x="2552140" y="17145000"/>
          <a:ext cx="85725" cy="28575"/>
        </a:xfrm>
        <a:prstGeom prst="rect">
          <a:avLst/>
        </a:prstGeom>
        <a:noFill/>
        <a:ln w="9525">
          <a:noFill/>
          <a:miter lim="800000"/>
          <a:headEnd/>
          <a:tailEnd/>
        </a:ln>
      </xdr:spPr>
    </xdr:sp>
    <xdr:clientData/>
  </xdr:twoCellAnchor>
  <xdr:twoCellAnchor editAs="oneCell">
    <xdr:from>
      <xdr:col>3</xdr:col>
      <xdr:colOff>1019175</xdr:colOff>
      <xdr:row>151</xdr:row>
      <xdr:rowOff>0</xdr:rowOff>
    </xdr:from>
    <xdr:to>
      <xdr:col>3</xdr:col>
      <xdr:colOff>1019175</xdr:colOff>
      <xdr:row>151</xdr:row>
      <xdr:rowOff>28575</xdr:rowOff>
    </xdr:to>
    <xdr:sp macro="" textlink="">
      <xdr:nvSpPr>
        <xdr:cNvPr id="1790" name="Text Box 11"/>
        <xdr:cNvSpPr txBox="1">
          <a:spLocks noChangeArrowheads="1"/>
        </xdr:cNvSpPr>
      </xdr:nvSpPr>
      <xdr:spPr bwMode="auto">
        <a:xfrm>
          <a:off x="3047440" y="17145000"/>
          <a:ext cx="0" cy="28575"/>
        </a:xfrm>
        <a:prstGeom prst="rect">
          <a:avLst/>
        </a:prstGeom>
        <a:noFill/>
        <a:ln w="9525">
          <a:noFill/>
          <a:miter lim="800000"/>
          <a:headEnd/>
          <a:tailEnd/>
        </a:ln>
      </xdr:spPr>
    </xdr:sp>
    <xdr:clientData/>
  </xdr:twoCellAnchor>
  <xdr:twoCellAnchor editAs="oneCell">
    <xdr:from>
      <xdr:col>3</xdr:col>
      <xdr:colOff>523875</xdr:colOff>
      <xdr:row>151</xdr:row>
      <xdr:rowOff>0</xdr:rowOff>
    </xdr:from>
    <xdr:to>
      <xdr:col>3</xdr:col>
      <xdr:colOff>609600</xdr:colOff>
      <xdr:row>151</xdr:row>
      <xdr:rowOff>9525</xdr:rowOff>
    </xdr:to>
    <xdr:sp macro="" textlink="">
      <xdr:nvSpPr>
        <xdr:cNvPr id="1791" name="Text Box 63"/>
        <xdr:cNvSpPr txBox="1">
          <a:spLocks noChangeArrowheads="1"/>
        </xdr:cNvSpPr>
      </xdr:nvSpPr>
      <xdr:spPr bwMode="auto">
        <a:xfrm>
          <a:off x="2552140" y="17145000"/>
          <a:ext cx="85725" cy="9525"/>
        </a:xfrm>
        <a:prstGeom prst="rect">
          <a:avLst/>
        </a:prstGeom>
        <a:noFill/>
        <a:ln w="9525">
          <a:noFill/>
          <a:miter lim="800000"/>
          <a:headEnd/>
          <a:tailEnd/>
        </a:ln>
      </xdr:spPr>
    </xdr:sp>
    <xdr:clientData/>
  </xdr:twoCellAnchor>
  <xdr:twoCellAnchor editAs="oneCell">
    <xdr:from>
      <xdr:col>3</xdr:col>
      <xdr:colOff>714375</xdr:colOff>
      <xdr:row>151</xdr:row>
      <xdr:rowOff>0</xdr:rowOff>
    </xdr:from>
    <xdr:to>
      <xdr:col>3</xdr:col>
      <xdr:colOff>714375</xdr:colOff>
      <xdr:row>151</xdr:row>
      <xdr:rowOff>28575</xdr:rowOff>
    </xdr:to>
    <xdr:sp macro="" textlink="">
      <xdr:nvSpPr>
        <xdr:cNvPr id="1792" name="Text Box 68"/>
        <xdr:cNvSpPr txBox="1">
          <a:spLocks noChangeArrowheads="1"/>
        </xdr:cNvSpPr>
      </xdr:nvSpPr>
      <xdr:spPr bwMode="auto">
        <a:xfrm>
          <a:off x="2742640" y="17145000"/>
          <a:ext cx="0" cy="28575"/>
        </a:xfrm>
        <a:prstGeom prst="rect">
          <a:avLst/>
        </a:prstGeom>
        <a:noFill/>
        <a:ln w="9525">
          <a:noFill/>
          <a:miter lim="800000"/>
          <a:headEnd/>
          <a:tailEnd/>
        </a:ln>
      </xdr:spPr>
    </xdr:sp>
    <xdr:clientData/>
  </xdr:twoCellAnchor>
  <xdr:twoCellAnchor editAs="oneCell">
    <xdr:from>
      <xdr:col>3</xdr:col>
      <xdr:colOff>123825</xdr:colOff>
      <xdr:row>151</xdr:row>
      <xdr:rowOff>0</xdr:rowOff>
    </xdr:from>
    <xdr:to>
      <xdr:col>3</xdr:col>
      <xdr:colOff>523875</xdr:colOff>
      <xdr:row>151</xdr:row>
      <xdr:rowOff>0</xdr:rowOff>
    </xdr:to>
    <xdr:sp macro="" textlink="">
      <xdr:nvSpPr>
        <xdr:cNvPr id="1793" name="Text Box 71"/>
        <xdr:cNvSpPr txBox="1">
          <a:spLocks noChangeArrowheads="1"/>
        </xdr:cNvSpPr>
      </xdr:nvSpPr>
      <xdr:spPr bwMode="auto">
        <a:xfrm rot="313457">
          <a:off x="2152090" y="17145000"/>
          <a:ext cx="400050" cy="0"/>
        </a:xfrm>
        <a:prstGeom prst="rect">
          <a:avLst/>
        </a:prstGeom>
        <a:noFill/>
        <a:ln w="9525">
          <a:noFill/>
          <a:miter lim="800000"/>
          <a:headEnd/>
          <a:tailEnd/>
        </a:ln>
      </xdr:spPr>
    </xdr:sp>
    <xdr:clientData/>
  </xdr:twoCellAnchor>
  <xdr:twoCellAnchor editAs="oneCell">
    <xdr:from>
      <xdr:col>3</xdr:col>
      <xdr:colOff>438150</xdr:colOff>
      <xdr:row>151</xdr:row>
      <xdr:rowOff>0</xdr:rowOff>
    </xdr:from>
    <xdr:to>
      <xdr:col>3</xdr:col>
      <xdr:colOff>613410</xdr:colOff>
      <xdr:row>151</xdr:row>
      <xdr:rowOff>7493</xdr:rowOff>
    </xdr:to>
    <xdr:sp macro="" textlink="">
      <xdr:nvSpPr>
        <xdr:cNvPr id="1794" name="Text Box 72"/>
        <xdr:cNvSpPr txBox="1">
          <a:spLocks noChangeArrowheads="1"/>
        </xdr:cNvSpPr>
      </xdr:nvSpPr>
      <xdr:spPr bwMode="auto">
        <a:xfrm>
          <a:off x="2466415" y="1714500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151</xdr:row>
      <xdr:rowOff>0</xdr:rowOff>
    </xdr:from>
    <xdr:ext cx="194454" cy="240740"/>
    <xdr:sp macro="" textlink="">
      <xdr:nvSpPr>
        <xdr:cNvPr id="1795" name="TextBox 1794"/>
        <xdr:cNvSpPr txBox="1"/>
      </xdr:nvSpPr>
      <xdr:spPr>
        <a:xfrm>
          <a:off x="1058956" y="17145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150</xdr:row>
      <xdr:rowOff>66675</xdr:rowOff>
    </xdr:from>
    <xdr:ext cx="194454" cy="240740"/>
    <xdr:sp macro="" textlink="">
      <xdr:nvSpPr>
        <xdr:cNvPr id="1796" name="TextBox 1795"/>
        <xdr:cNvSpPr txBox="1"/>
      </xdr:nvSpPr>
      <xdr:spPr>
        <a:xfrm>
          <a:off x="5232587" y="1696514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151</xdr:row>
      <xdr:rowOff>304800</xdr:rowOff>
    </xdr:from>
    <xdr:to>
      <xdr:col>3</xdr:col>
      <xdr:colOff>609600</xdr:colOff>
      <xdr:row>152</xdr:row>
      <xdr:rowOff>99733</xdr:rowOff>
    </xdr:to>
    <xdr:sp macro="" textlink="">
      <xdr:nvSpPr>
        <xdr:cNvPr id="1797"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99733</xdr:rowOff>
    </xdr:to>
    <xdr:sp macro="" textlink="">
      <xdr:nvSpPr>
        <xdr:cNvPr id="1798" name="Text Box 68"/>
        <xdr:cNvSpPr txBox="1">
          <a:spLocks noChangeArrowheads="1"/>
        </xdr:cNvSpPr>
      </xdr:nvSpPr>
      <xdr:spPr bwMode="auto">
        <a:xfrm>
          <a:off x="2475940" y="17383125"/>
          <a:ext cx="161925"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799"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0"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1"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2"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3"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4"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5"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6"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609600</xdr:colOff>
      <xdr:row>152</xdr:row>
      <xdr:rowOff>109258</xdr:rowOff>
    </xdr:to>
    <xdr:sp macro="" textlink="">
      <xdr:nvSpPr>
        <xdr:cNvPr id="1807" name="Text Box 68"/>
        <xdr:cNvSpPr txBox="1">
          <a:spLocks noChangeArrowheads="1"/>
        </xdr:cNvSpPr>
      </xdr:nvSpPr>
      <xdr:spPr bwMode="auto">
        <a:xfrm>
          <a:off x="2475940" y="17383125"/>
          <a:ext cx="161925"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08"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809"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1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811"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12"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13"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14"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15"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816"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17"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99733</xdr:rowOff>
    </xdr:to>
    <xdr:sp macro="" textlink="">
      <xdr:nvSpPr>
        <xdr:cNvPr id="1818" name="Text Box 68"/>
        <xdr:cNvSpPr txBox="1">
          <a:spLocks noChangeArrowheads="1"/>
        </xdr:cNvSpPr>
      </xdr:nvSpPr>
      <xdr:spPr bwMode="auto">
        <a:xfrm>
          <a:off x="2475940" y="17383125"/>
          <a:ext cx="152400" cy="96931"/>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19"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20"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twoCellAnchor editAs="oneCell">
    <xdr:from>
      <xdr:col>3</xdr:col>
      <xdr:colOff>447675</xdr:colOff>
      <xdr:row>151</xdr:row>
      <xdr:rowOff>304800</xdr:rowOff>
    </xdr:from>
    <xdr:to>
      <xdr:col>3</xdr:col>
      <xdr:colOff>600075</xdr:colOff>
      <xdr:row>152</xdr:row>
      <xdr:rowOff>109258</xdr:rowOff>
    </xdr:to>
    <xdr:sp macro="" textlink="">
      <xdr:nvSpPr>
        <xdr:cNvPr id="1821" name="Text Box 68"/>
        <xdr:cNvSpPr txBox="1">
          <a:spLocks noChangeArrowheads="1"/>
        </xdr:cNvSpPr>
      </xdr:nvSpPr>
      <xdr:spPr bwMode="auto">
        <a:xfrm>
          <a:off x="2475940" y="17383125"/>
          <a:ext cx="152400" cy="106456"/>
        </a:xfrm>
        <a:prstGeom prst="rect">
          <a:avLst/>
        </a:prstGeom>
        <a:noFill/>
        <a:ln w="9525">
          <a:noFill/>
          <a:miter lim="800000"/>
          <a:headEnd/>
          <a:tailEnd/>
        </a:ln>
      </xdr:spPr>
    </xdr:sp>
    <xdr:clientData/>
  </xdr:twoCellAnchor>
  <xdr:oneCellAnchor>
    <xdr:from>
      <xdr:col>4</xdr:col>
      <xdr:colOff>3492500</xdr:colOff>
      <xdr:row>150</xdr:row>
      <xdr:rowOff>0</xdr:rowOff>
    </xdr:from>
    <xdr:ext cx="396875" cy="693185"/>
    <xdr:sp macro="" textlink="">
      <xdr:nvSpPr>
        <xdr:cNvPr id="1822" name="TextBox 1821"/>
        <xdr:cNvSpPr txBox="1"/>
      </xdr:nvSpPr>
      <xdr:spPr>
        <a:xfrm flipH="1">
          <a:off x="4367119" y="16898471"/>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6</xdr:col>
      <xdr:colOff>66675</xdr:colOff>
      <xdr:row>182</xdr:row>
      <xdr:rowOff>0</xdr:rowOff>
    </xdr:from>
    <xdr:ext cx="194454" cy="240740"/>
    <xdr:sp macro="" textlink="">
      <xdr:nvSpPr>
        <xdr:cNvPr id="1823" name="TextBox 1822"/>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182</xdr:row>
      <xdr:rowOff>0</xdr:rowOff>
    </xdr:from>
    <xdr:to>
      <xdr:col>3</xdr:col>
      <xdr:colOff>1020318</xdr:colOff>
      <xdr:row>182</xdr:row>
      <xdr:rowOff>29718</xdr:rowOff>
    </xdr:to>
    <xdr:sp macro="" textlink="">
      <xdr:nvSpPr>
        <xdr:cNvPr id="1824"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1825"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1826"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1827"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1828"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1829"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1019175</xdr:colOff>
      <xdr:row>182</xdr:row>
      <xdr:rowOff>28575</xdr:rowOff>
    </xdr:to>
    <xdr:sp macro="" textlink="">
      <xdr:nvSpPr>
        <xdr:cNvPr id="1830"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9525</xdr:rowOff>
    </xdr:to>
    <xdr:sp macro="" textlink="">
      <xdr:nvSpPr>
        <xdr:cNvPr id="1831"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28575</xdr:rowOff>
    </xdr:to>
    <xdr:sp macro="" textlink="">
      <xdr:nvSpPr>
        <xdr:cNvPr id="1832"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182</xdr:row>
      <xdr:rowOff>0</xdr:rowOff>
    </xdr:from>
    <xdr:to>
      <xdr:col>3</xdr:col>
      <xdr:colOff>523875</xdr:colOff>
      <xdr:row>182</xdr:row>
      <xdr:rowOff>0</xdr:rowOff>
    </xdr:to>
    <xdr:sp macro="" textlink="">
      <xdr:nvSpPr>
        <xdr:cNvPr id="1833"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182</xdr:row>
      <xdr:rowOff>0</xdr:rowOff>
    </xdr:from>
    <xdr:to>
      <xdr:col>3</xdr:col>
      <xdr:colOff>613410</xdr:colOff>
      <xdr:row>182</xdr:row>
      <xdr:rowOff>7493</xdr:rowOff>
    </xdr:to>
    <xdr:sp macro="" textlink="">
      <xdr:nvSpPr>
        <xdr:cNvPr id="1834"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182</xdr:row>
      <xdr:rowOff>0</xdr:rowOff>
    </xdr:from>
    <xdr:ext cx="194454" cy="240740"/>
    <xdr:sp macro="" textlink="">
      <xdr:nvSpPr>
        <xdr:cNvPr id="1835" name="TextBox 1834"/>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0</xdr:rowOff>
    </xdr:from>
    <xdr:ext cx="194454" cy="240740"/>
    <xdr:sp macro="" textlink="">
      <xdr:nvSpPr>
        <xdr:cNvPr id="1836" name="TextBox 1835"/>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182</xdr:row>
      <xdr:rowOff>0</xdr:rowOff>
    </xdr:from>
    <xdr:to>
      <xdr:col>3</xdr:col>
      <xdr:colOff>609600</xdr:colOff>
      <xdr:row>182</xdr:row>
      <xdr:rowOff>57150</xdr:rowOff>
    </xdr:to>
    <xdr:sp macro="" textlink="">
      <xdr:nvSpPr>
        <xdr:cNvPr id="1837"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3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96932</xdr:rowOff>
    </xdr:to>
    <xdr:sp macro="" textlink="">
      <xdr:nvSpPr>
        <xdr:cNvPr id="1839"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4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41"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4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96932</xdr:rowOff>
    </xdr:to>
    <xdr:sp macro="" textlink="">
      <xdr:nvSpPr>
        <xdr:cNvPr id="1843"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4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45"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4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4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4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84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5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51"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52"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5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5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95250</xdr:rowOff>
    </xdr:to>
    <xdr:sp macro="" textlink="">
      <xdr:nvSpPr>
        <xdr:cNvPr id="1855" name="Text Box 8"/>
        <xdr:cNvSpPr txBox="1">
          <a:spLocks noChangeArrowheads="1"/>
        </xdr:cNvSpPr>
      </xdr:nvSpPr>
      <xdr:spPr bwMode="auto">
        <a:xfrm>
          <a:off x="2552140" y="36407912"/>
          <a:ext cx="85725" cy="952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95250</xdr:rowOff>
    </xdr:to>
    <xdr:sp macro="" textlink="">
      <xdr:nvSpPr>
        <xdr:cNvPr id="1856"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57" name="Text Box 1"/>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5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95250</xdr:rowOff>
    </xdr:to>
    <xdr:sp macro="" textlink="">
      <xdr:nvSpPr>
        <xdr:cNvPr id="1859"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6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6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6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6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86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86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6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6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6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86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7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7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87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7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7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75"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7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7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87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87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80"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81"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88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8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8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88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88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87"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8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8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9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89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89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893"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9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9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9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89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89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89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90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0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0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03"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0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0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0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90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190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09"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91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1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104775</xdr:rowOff>
    </xdr:to>
    <xdr:sp macro="" textlink="">
      <xdr:nvSpPr>
        <xdr:cNvPr id="1912"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1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14"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1915"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16"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17"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18"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19"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20"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1921"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22"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2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24"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25"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26"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27"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2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192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3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3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3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33"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3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35"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36"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3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1938"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3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104775</xdr:rowOff>
    </xdr:to>
    <xdr:sp macro="" textlink="">
      <xdr:nvSpPr>
        <xdr:cNvPr id="1940"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4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4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1943"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44"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45"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46"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1947"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4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194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5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5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5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1953"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54"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5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56"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5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195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195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1960"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oneCellAnchor>
    <xdr:from>
      <xdr:col>6</xdr:col>
      <xdr:colOff>66675</xdr:colOff>
      <xdr:row>182</xdr:row>
      <xdr:rowOff>0</xdr:rowOff>
    </xdr:from>
    <xdr:ext cx="194454" cy="240740"/>
    <xdr:sp macro="" textlink="">
      <xdr:nvSpPr>
        <xdr:cNvPr id="1961" name="TextBox 1960"/>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182</xdr:row>
      <xdr:rowOff>0</xdr:rowOff>
    </xdr:from>
    <xdr:to>
      <xdr:col>3</xdr:col>
      <xdr:colOff>1020318</xdr:colOff>
      <xdr:row>182</xdr:row>
      <xdr:rowOff>29718</xdr:rowOff>
    </xdr:to>
    <xdr:sp macro="" textlink="">
      <xdr:nvSpPr>
        <xdr:cNvPr id="1962"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1963"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1964"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1965"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1966"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1967"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1019175</xdr:colOff>
      <xdr:row>182</xdr:row>
      <xdr:rowOff>28575</xdr:rowOff>
    </xdr:to>
    <xdr:sp macro="" textlink="">
      <xdr:nvSpPr>
        <xdr:cNvPr id="1968"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9525</xdr:rowOff>
    </xdr:to>
    <xdr:sp macro="" textlink="">
      <xdr:nvSpPr>
        <xdr:cNvPr id="1969"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28575</xdr:rowOff>
    </xdr:to>
    <xdr:sp macro="" textlink="">
      <xdr:nvSpPr>
        <xdr:cNvPr id="1970"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182</xdr:row>
      <xdr:rowOff>0</xdr:rowOff>
    </xdr:from>
    <xdr:to>
      <xdr:col>3</xdr:col>
      <xdr:colOff>523875</xdr:colOff>
      <xdr:row>182</xdr:row>
      <xdr:rowOff>0</xdr:rowOff>
    </xdr:to>
    <xdr:sp macro="" textlink="">
      <xdr:nvSpPr>
        <xdr:cNvPr id="1971"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182</xdr:row>
      <xdr:rowOff>0</xdr:rowOff>
    </xdr:from>
    <xdr:to>
      <xdr:col>3</xdr:col>
      <xdr:colOff>613410</xdr:colOff>
      <xdr:row>182</xdr:row>
      <xdr:rowOff>7493</xdr:rowOff>
    </xdr:to>
    <xdr:sp macro="" textlink="">
      <xdr:nvSpPr>
        <xdr:cNvPr id="1972"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182</xdr:row>
      <xdr:rowOff>0</xdr:rowOff>
    </xdr:from>
    <xdr:ext cx="194454" cy="240740"/>
    <xdr:sp macro="" textlink="">
      <xdr:nvSpPr>
        <xdr:cNvPr id="1973" name="TextBox 1972"/>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0</xdr:rowOff>
    </xdr:from>
    <xdr:ext cx="194454" cy="240740"/>
    <xdr:sp macro="" textlink="">
      <xdr:nvSpPr>
        <xdr:cNvPr id="1974" name="TextBox 1973"/>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182</xdr:row>
      <xdr:rowOff>0</xdr:rowOff>
    </xdr:from>
    <xdr:to>
      <xdr:col>3</xdr:col>
      <xdr:colOff>609600</xdr:colOff>
      <xdr:row>182</xdr:row>
      <xdr:rowOff>57150</xdr:rowOff>
    </xdr:to>
    <xdr:sp macro="" textlink="">
      <xdr:nvSpPr>
        <xdr:cNvPr id="1975"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7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96932</xdr:rowOff>
    </xdr:to>
    <xdr:sp macro="" textlink="">
      <xdr:nvSpPr>
        <xdr:cNvPr id="1977"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7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79"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8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96932</xdr:rowOff>
    </xdr:to>
    <xdr:sp macro="" textlink="">
      <xdr:nvSpPr>
        <xdr:cNvPr id="1981"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8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8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98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8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8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198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98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89"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99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91"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1992"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95250</xdr:rowOff>
    </xdr:to>
    <xdr:sp macro="" textlink="">
      <xdr:nvSpPr>
        <xdr:cNvPr id="1993" name="Text Box 8"/>
        <xdr:cNvSpPr txBox="1">
          <a:spLocks noChangeArrowheads="1"/>
        </xdr:cNvSpPr>
      </xdr:nvSpPr>
      <xdr:spPr bwMode="auto">
        <a:xfrm>
          <a:off x="2552140" y="36407912"/>
          <a:ext cx="85725" cy="952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95250</xdr:rowOff>
    </xdr:to>
    <xdr:sp macro="" textlink="">
      <xdr:nvSpPr>
        <xdr:cNvPr id="1994"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95" name="Text Box 1"/>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96"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95250</xdr:rowOff>
    </xdr:to>
    <xdr:sp macro="" textlink="">
      <xdr:nvSpPr>
        <xdr:cNvPr id="1997"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9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199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0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0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0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0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200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0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0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0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0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0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10"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1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1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1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1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1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1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1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1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2019"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2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21"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2022"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2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2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25"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202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2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2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2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3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2031"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3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3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3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3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3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3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203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3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4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4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4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4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4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4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04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57150</xdr:rowOff>
    </xdr:to>
    <xdr:sp macro="" textlink="">
      <xdr:nvSpPr>
        <xdr:cNvPr id="2047"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104775</xdr:rowOff>
    </xdr:to>
    <xdr:sp macro="" textlink="">
      <xdr:nvSpPr>
        <xdr:cNvPr id="204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4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104775</xdr:rowOff>
    </xdr:to>
    <xdr:sp macro="" textlink="">
      <xdr:nvSpPr>
        <xdr:cNvPr id="2050"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5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5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2053"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54"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55"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56"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57"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5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05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6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6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62"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63"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64"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65"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6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067"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6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6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70"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71"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7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73"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74"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7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2076"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7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104775</xdr:rowOff>
    </xdr:to>
    <xdr:sp macro="" textlink="">
      <xdr:nvSpPr>
        <xdr:cNvPr id="2078"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7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80"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2081"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8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83"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84"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66675</xdr:rowOff>
    </xdr:to>
    <xdr:sp macro="" textlink="">
      <xdr:nvSpPr>
        <xdr:cNvPr id="2085"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8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087"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8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8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0</xdr:rowOff>
    </xdr:to>
    <xdr:sp macro="" textlink="">
      <xdr:nvSpPr>
        <xdr:cNvPr id="2090"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091"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92"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9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94"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9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104775</xdr:rowOff>
    </xdr:to>
    <xdr:sp macro="" textlink="">
      <xdr:nvSpPr>
        <xdr:cNvPr id="2096"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09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95250</xdr:rowOff>
    </xdr:to>
    <xdr:sp macro="" textlink="">
      <xdr:nvSpPr>
        <xdr:cNvPr id="2098"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oneCellAnchor>
    <xdr:from>
      <xdr:col>6</xdr:col>
      <xdr:colOff>66675</xdr:colOff>
      <xdr:row>182</xdr:row>
      <xdr:rowOff>0</xdr:rowOff>
    </xdr:from>
    <xdr:ext cx="194454" cy="240740"/>
    <xdr:sp macro="" textlink="">
      <xdr:nvSpPr>
        <xdr:cNvPr id="2099" name="TextBox 2098"/>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182</xdr:row>
      <xdr:rowOff>0</xdr:rowOff>
    </xdr:from>
    <xdr:to>
      <xdr:col>3</xdr:col>
      <xdr:colOff>1020318</xdr:colOff>
      <xdr:row>182</xdr:row>
      <xdr:rowOff>29718</xdr:rowOff>
    </xdr:to>
    <xdr:sp macro="" textlink="">
      <xdr:nvSpPr>
        <xdr:cNvPr id="2100"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2101"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2102"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2103"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2104"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2105"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1019175</xdr:colOff>
      <xdr:row>182</xdr:row>
      <xdr:rowOff>28575</xdr:rowOff>
    </xdr:to>
    <xdr:sp macro="" textlink="">
      <xdr:nvSpPr>
        <xdr:cNvPr id="2106"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9525</xdr:rowOff>
    </xdr:to>
    <xdr:sp macro="" textlink="">
      <xdr:nvSpPr>
        <xdr:cNvPr id="2107"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28575</xdr:rowOff>
    </xdr:to>
    <xdr:sp macro="" textlink="">
      <xdr:nvSpPr>
        <xdr:cNvPr id="2108"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182</xdr:row>
      <xdr:rowOff>0</xdr:rowOff>
    </xdr:from>
    <xdr:to>
      <xdr:col>3</xdr:col>
      <xdr:colOff>523875</xdr:colOff>
      <xdr:row>182</xdr:row>
      <xdr:rowOff>0</xdr:rowOff>
    </xdr:to>
    <xdr:sp macro="" textlink="">
      <xdr:nvSpPr>
        <xdr:cNvPr id="2109"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182</xdr:row>
      <xdr:rowOff>0</xdr:rowOff>
    </xdr:from>
    <xdr:to>
      <xdr:col>3</xdr:col>
      <xdr:colOff>613410</xdr:colOff>
      <xdr:row>182</xdr:row>
      <xdr:rowOff>7493</xdr:rowOff>
    </xdr:to>
    <xdr:sp macro="" textlink="">
      <xdr:nvSpPr>
        <xdr:cNvPr id="2110"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182</xdr:row>
      <xdr:rowOff>0</xdr:rowOff>
    </xdr:from>
    <xdr:ext cx="194454" cy="240740"/>
    <xdr:sp macro="" textlink="">
      <xdr:nvSpPr>
        <xdr:cNvPr id="2111" name="TextBox 2110"/>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0</xdr:rowOff>
    </xdr:from>
    <xdr:ext cx="194454" cy="240740"/>
    <xdr:sp macro="" textlink="">
      <xdr:nvSpPr>
        <xdr:cNvPr id="2112" name="TextBox 2111"/>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182</xdr:row>
      <xdr:rowOff>0</xdr:rowOff>
    </xdr:from>
    <xdr:to>
      <xdr:col>3</xdr:col>
      <xdr:colOff>609600</xdr:colOff>
      <xdr:row>182</xdr:row>
      <xdr:rowOff>96932</xdr:rowOff>
    </xdr:to>
    <xdr:sp macro="" textlink="">
      <xdr:nvSpPr>
        <xdr:cNvPr id="2113"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96932</xdr:rowOff>
    </xdr:to>
    <xdr:sp macro="" textlink="">
      <xdr:nvSpPr>
        <xdr:cNvPr id="2114"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1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1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1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1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1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2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2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2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2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2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25"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2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27"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2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2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3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3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32"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3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34"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3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3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3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oneCellAnchor>
    <xdr:from>
      <xdr:col>6</xdr:col>
      <xdr:colOff>66675</xdr:colOff>
      <xdr:row>182</xdr:row>
      <xdr:rowOff>0</xdr:rowOff>
    </xdr:from>
    <xdr:ext cx="194454" cy="240740"/>
    <xdr:sp macro="" textlink="">
      <xdr:nvSpPr>
        <xdr:cNvPr id="2138" name="TextBox 2137"/>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182</xdr:row>
      <xdr:rowOff>0</xdr:rowOff>
    </xdr:from>
    <xdr:to>
      <xdr:col>3</xdr:col>
      <xdr:colOff>1020318</xdr:colOff>
      <xdr:row>182</xdr:row>
      <xdr:rowOff>29718</xdr:rowOff>
    </xdr:to>
    <xdr:sp macro="" textlink="">
      <xdr:nvSpPr>
        <xdr:cNvPr id="2139"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2140"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2141"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2142"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1020318</xdr:colOff>
      <xdr:row>182</xdr:row>
      <xdr:rowOff>29718</xdr:rowOff>
    </xdr:to>
    <xdr:sp macro="" textlink="">
      <xdr:nvSpPr>
        <xdr:cNvPr id="2143"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182</xdr:row>
      <xdr:rowOff>0</xdr:rowOff>
    </xdr:from>
    <xdr:to>
      <xdr:col>3</xdr:col>
      <xdr:colOff>609600</xdr:colOff>
      <xdr:row>182</xdr:row>
      <xdr:rowOff>28575</xdr:rowOff>
    </xdr:to>
    <xdr:sp macro="" textlink="">
      <xdr:nvSpPr>
        <xdr:cNvPr id="2144"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182</xdr:row>
      <xdr:rowOff>0</xdr:rowOff>
    </xdr:from>
    <xdr:to>
      <xdr:col>3</xdr:col>
      <xdr:colOff>1019175</xdr:colOff>
      <xdr:row>182</xdr:row>
      <xdr:rowOff>28575</xdr:rowOff>
    </xdr:to>
    <xdr:sp macro="" textlink="">
      <xdr:nvSpPr>
        <xdr:cNvPr id="2145"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182</xdr:row>
      <xdr:rowOff>0</xdr:rowOff>
    </xdr:from>
    <xdr:to>
      <xdr:col>3</xdr:col>
      <xdr:colOff>609600</xdr:colOff>
      <xdr:row>182</xdr:row>
      <xdr:rowOff>9525</xdr:rowOff>
    </xdr:to>
    <xdr:sp macro="" textlink="">
      <xdr:nvSpPr>
        <xdr:cNvPr id="2146"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182</xdr:row>
      <xdr:rowOff>0</xdr:rowOff>
    </xdr:from>
    <xdr:to>
      <xdr:col>3</xdr:col>
      <xdr:colOff>714375</xdr:colOff>
      <xdr:row>182</xdr:row>
      <xdr:rowOff>28575</xdr:rowOff>
    </xdr:to>
    <xdr:sp macro="" textlink="">
      <xdr:nvSpPr>
        <xdr:cNvPr id="2147"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182</xdr:row>
      <xdr:rowOff>0</xdr:rowOff>
    </xdr:from>
    <xdr:to>
      <xdr:col>3</xdr:col>
      <xdr:colOff>523875</xdr:colOff>
      <xdr:row>182</xdr:row>
      <xdr:rowOff>0</xdr:rowOff>
    </xdr:to>
    <xdr:sp macro="" textlink="">
      <xdr:nvSpPr>
        <xdr:cNvPr id="2148"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182</xdr:row>
      <xdr:rowOff>0</xdr:rowOff>
    </xdr:from>
    <xdr:to>
      <xdr:col>3</xdr:col>
      <xdr:colOff>613410</xdr:colOff>
      <xdr:row>182</xdr:row>
      <xdr:rowOff>7493</xdr:rowOff>
    </xdr:to>
    <xdr:sp macro="" textlink="">
      <xdr:nvSpPr>
        <xdr:cNvPr id="2149"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182</xdr:row>
      <xdr:rowOff>0</xdr:rowOff>
    </xdr:from>
    <xdr:ext cx="194454" cy="240740"/>
    <xdr:sp macro="" textlink="">
      <xdr:nvSpPr>
        <xdr:cNvPr id="2150" name="TextBox 2149"/>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0</xdr:rowOff>
    </xdr:from>
    <xdr:ext cx="194454" cy="240740"/>
    <xdr:sp macro="" textlink="">
      <xdr:nvSpPr>
        <xdr:cNvPr id="2151" name="TextBox 2150"/>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182</xdr:row>
      <xdr:rowOff>0</xdr:rowOff>
    </xdr:from>
    <xdr:to>
      <xdr:col>3</xdr:col>
      <xdr:colOff>609600</xdr:colOff>
      <xdr:row>182</xdr:row>
      <xdr:rowOff>96932</xdr:rowOff>
    </xdr:to>
    <xdr:sp macro="" textlink="">
      <xdr:nvSpPr>
        <xdr:cNvPr id="2152"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96932</xdr:rowOff>
    </xdr:to>
    <xdr:sp macro="" textlink="">
      <xdr:nvSpPr>
        <xdr:cNvPr id="2153"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5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5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5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5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5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5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6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6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609600</xdr:colOff>
      <xdr:row>182</xdr:row>
      <xdr:rowOff>106457</xdr:rowOff>
    </xdr:to>
    <xdr:sp macro="" textlink="">
      <xdr:nvSpPr>
        <xdr:cNvPr id="216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6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64"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6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66"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6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6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6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7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71"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7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96932</xdr:rowOff>
    </xdr:to>
    <xdr:sp macro="" textlink="">
      <xdr:nvSpPr>
        <xdr:cNvPr id="2173"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7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7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182</xdr:row>
      <xdr:rowOff>0</xdr:rowOff>
    </xdr:from>
    <xdr:to>
      <xdr:col>3</xdr:col>
      <xdr:colOff>600075</xdr:colOff>
      <xdr:row>182</xdr:row>
      <xdr:rowOff>106457</xdr:rowOff>
    </xdr:to>
    <xdr:sp macro="" textlink="">
      <xdr:nvSpPr>
        <xdr:cNvPr id="217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oneCellAnchor>
    <xdr:from>
      <xdr:col>4</xdr:col>
      <xdr:colOff>3492500</xdr:colOff>
      <xdr:row>182</xdr:row>
      <xdr:rowOff>0</xdr:rowOff>
    </xdr:from>
    <xdr:ext cx="396875" cy="693185"/>
    <xdr:sp macro="" textlink="">
      <xdr:nvSpPr>
        <xdr:cNvPr id="2177" name="TextBox 2176"/>
        <xdr:cNvSpPr txBox="1"/>
      </xdr:nvSpPr>
      <xdr:spPr>
        <a:xfrm flipH="1">
          <a:off x="4367119" y="35701941"/>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6</xdr:col>
      <xdr:colOff>66675</xdr:colOff>
      <xdr:row>182</xdr:row>
      <xdr:rowOff>66675</xdr:rowOff>
    </xdr:from>
    <xdr:ext cx="194454" cy="240740"/>
    <xdr:sp macro="" textlink="">
      <xdr:nvSpPr>
        <xdr:cNvPr id="2178" name="TextBox 2177"/>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183</xdr:row>
      <xdr:rowOff>0</xdr:rowOff>
    </xdr:from>
    <xdr:to>
      <xdr:col>3</xdr:col>
      <xdr:colOff>1020318</xdr:colOff>
      <xdr:row>183</xdr:row>
      <xdr:rowOff>29718</xdr:rowOff>
    </xdr:to>
    <xdr:sp macro="" textlink="">
      <xdr:nvSpPr>
        <xdr:cNvPr id="2179"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180"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181"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182"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183"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184"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1019175</xdr:colOff>
      <xdr:row>183</xdr:row>
      <xdr:rowOff>28575</xdr:rowOff>
    </xdr:to>
    <xdr:sp macro="" textlink="">
      <xdr:nvSpPr>
        <xdr:cNvPr id="2185"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183</xdr:row>
      <xdr:rowOff>0</xdr:rowOff>
    </xdr:from>
    <xdr:to>
      <xdr:col>3</xdr:col>
      <xdr:colOff>609600</xdr:colOff>
      <xdr:row>183</xdr:row>
      <xdr:rowOff>9525</xdr:rowOff>
    </xdr:to>
    <xdr:sp macro="" textlink="">
      <xdr:nvSpPr>
        <xdr:cNvPr id="2186"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183</xdr:row>
      <xdr:rowOff>0</xdr:rowOff>
    </xdr:from>
    <xdr:to>
      <xdr:col>3</xdr:col>
      <xdr:colOff>714375</xdr:colOff>
      <xdr:row>183</xdr:row>
      <xdr:rowOff>28575</xdr:rowOff>
    </xdr:to>
    <xdr:sp macro="" textlink="">
      <xdr:nvSpPr>
        <xdr:cNvPr id="2187"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183</xdr:row>
      <xdr:rowOff>0</xdr:rowOff>
    </xdr:from>
    <xdr:to>
      <xdr:col>3</xdr:col>
      <xdr:colOff>523875</xdr:colOff>
      <xdr:row>183</xdr:row>
      <xdr:rowOff>0</xdr:rowOff>
    </xdr:to>
    <xdr:sp macro="" textlink="">
      <xdr:nvSpPr>
        <xdr:cNvPr id="2188"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183</xdr:row>
      <xdr:rowOff>0</xdr:rowOff>
    </xdr:from>
    <xdr:to>
      <xdr:col>3</xdr:col>
      <xdr:colOff>613410</xdr:colOff>
      <xdr:row>183</xdr:row>
      <xdr:rowOff>7493</xdr:rowOff>
    </xdr:to>
    <xdr:sp macro="" textlink="">
      <xdr:nvSpPr>
        <xdr:cNvPr id="2189"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183</xdr:row>
      <xdr:rowOff>0</xdr:rowOff>
    </xdr:from>
    <xdr:ext cx="194454" cy="240740"/>
    <xdr:sp macro="" textlink="">
      <xdr:nvSpPr>
        <xdr:cNvPr id="2190" name="TextBox 2189"/>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66675</xdr:rowOff>
    </xdr:from>
    <xdr:ext cx="194454" cy="240740"/>
    <xdr:sp macro="" textlink="">
      <xdr:nvSpPr>
        <xdr:cNvPr id="2191" name="TextBox 2190"/>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185</xdr:row>
      <xdr:rowOff>28575</xdr:rowOff>
    </xdr:from>
    <xdr:to>
      <xdr:col>3</xdr:col>
      <xdr:colOff>609600</xdr:colOff>
      <xdr:row>185</xdr:row>
      <xdr:rowOff>85725</xdr:rowOff>
    </xdr:to>
    <xdr:sp macro="" textlink="">
      <xdr:nvSpPr>
        <xdr:cNvPr id="2192"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19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99732</xdr:rowOff>
    </xdr:to>
    <xdr:sp macro="" textlink="">
      <xdr:nvSpPr>
        <xdr:cNvPr id="2194"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19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196"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19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99732</xdr:rowOff>
    </xdr:to>
    <xdr:sp macro="" textlink="">
      <xdr:nvSpPr>
        <xdr:cNvPr id="2198"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19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00"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01"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0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0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0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05"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06"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07"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0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09"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0</xdr:rowOff>
    </xdr:from>
    <xdr:to>
      <xdr:col>3</xdr:col>
      <xdr:colOff>609600</xdr:colOff>
      <xdr:row>185</xdr:row>
      <xdr:rowOff>95250</xdr:rowOff>
    </xdr:to>
    <xdr:sp macro="" textlink="">
      <xdr:nvSpPr>
        <xdr:cNvPr id="2210" name="Text Box 8"/>
        <xdr:cNvSpPr txBox="1">
          <a:spLocks noChangeArrowheads="1"/>
        </xdr:cNvSpPr>
      </xdr:nvSpPr>
      <xdr:spPr bwMode="auto">
        <a:xfrm>
          <a:off x="2552140" y="36407912"/>
          <a:ext cx="85725" cy="952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95250</xdr:rowOff>
    </xdr:to>
    <xdr:sp macro="" textlink="">
      <xdr:nvSpPr>
        <xdr:cNvPr id="2211"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12" name="Text Box 1"/>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1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95250</xdr:rowOff>
    </xdr:to>
    <xdr:sp macro="" textlink="">
      <xdr:nvSpPr>
        <xdr:cNvPr id="2214"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1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1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1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1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1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2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21"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2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2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2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2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2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2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2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2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30"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3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3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33"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3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35"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3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3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3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39"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4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4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42"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43"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4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4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4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4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4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4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5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5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5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53"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5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55"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5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5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5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5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6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6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6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26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264"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265"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6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0</xdr:rowOff>
    </xdr:from>
    <xdr:to>
      <xdr:col>3</xdr:col>
      <xdr:colOff>609600</xdr:colOff>
      <xdr:row>185</xdr:row>
      <xdr:rowOff>104775</xdr:rowOff>
    </xdr:to>
    <xdr:sp macro="" textlink="">
      <xdr:nvSpPr>
        <xdr:cNvPr id="2267"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26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69"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270"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71"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272"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73"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74"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75"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276"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277"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27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79"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80"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81"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82"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83"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284"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285"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28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87"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28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28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90"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291"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29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293"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29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0</xdr:rowOff>
    </xdr:from>
    <xdr:to>
      <xdr:col>3</xdr:col>
      <xdr:colOff>609600</xdr:colOff>
      <xdr:row>185</xdr:row>
      <xdr:rowOff>104775</xdr:rowOff>
    </xdr:to>
    <xdr:sp macro="" textlink="">
      <xdr:nvSpPr>
        <xdr:cNvPr id="2295"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29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97"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298"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299"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30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301"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302"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03"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304"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305"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30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0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308"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309"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31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311"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31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313"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31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315"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oneCellAnchor>
    <xdr:from>
      <xdr:col>6</xdr:col>
      <xdr:colOff>66675</xdr:colOff>
      <xdr:row>182</xdr:row>
      <xdr:rowOff>66675</xdr:rowOff>
    </xdr:from>
    <xdr:ext cx="194454" cy="240740"/>
    <xdr:sp macro="" textlink="">
      <xdr:nvSpPr>
        <xdr:cNvPr id="2316" name="TextBox 2315"/>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183</xdr:row>
      <xdr:rowOff>0</xdr:rowOff>
    </xdr:from>
    <xdr:to>
      <xdr:col>3</xdr:col>
      <xdr:colOff>1020318</xdr:colOff>
      <xdr:row>183</xdr:row>
      <xdr:rowOff>29718</xdr:rowOff>
    </xdr:to>
    <xdr:sp macro="" textlink="">
      <xdr:nvSpPr>
        <xdr:cNvPr id="2317"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318"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319"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320"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321"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322"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1019175</xdr:colOff>
      <xdr:row>183</xdr:row>
      <xdr:rowOff>28575</xdr:rowOff>
    </xdr:to>
    <xdr:sp macro="" textlink="">
      <xdr:nvSpPr>
        <xdr:cNvPr id="2323"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183</xdr:row>
      <xdr:rowOff>0</xdr:rowOff>
    </xdr:from>
    <xdr:to>
      <xdr:col>3</xdr:col>
      <xdr:colOff>609600</xdr:colOff>
      <xdr:row>183</xdr:row>
      <xdr:rowOff>9525</xdr:rowOff>
    </xdr:to>
    <xdr:sp macro="" textlink="">
      <xdr:nvSpPr>
        <xdr:cNvPr id="2324"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183</xdr:row>
      <xdr:rowOff>0</xdr:rowOff>
    </xdr:from>
    <xdr:to>
      <xdr:col>3</xdr:col>
      <xdr:colOff>714375</xdr:colOff>
      <xdr:row>183</xdr:row>
      <xdr:rowOff>28575</xdr:rowOff>
    </xdr:to>
    <xdr:sp macro="" textlink="">
      <xdr:nvSpPr>
        <xdr:cNvPr id="2325"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183</xdr:row>
      <xdr:rowOff>0</xdr:rowOff>
    </xdr:from>
    <xdr:to>
      <xdr:col>3</xdr:col>
      <xdr:colOff>523875</xdr:colOff>
      <xdr:row>183</xdr:row>
      <xdr:rowOff>0</xdr:rowOff>
    </xdr:to>
    <xdr:sp macro="" textlink="">
      <xdr:nvSpPr>
        <xdr:cNvPr id="2326"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183</xdr:row>
      <xdr:rowOff>0</xdr:rowOff>
    </xdr:from>
    <xdr:to>
      <xdr:col>3</xdr:col>
      <xdr:colOff>613410</xdr:colOff>
      <xdr:row>183</xdr:row>
      <xdr:rowOff>7493</xdr:rowOff>
    </xdr:to>
    <xdr:sp macro="" textlink="">
      <xdr:nvSpPr>
        <xdr:cNvPr id="2327"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183</xdr:row>
      <xdr:rowOff>0</xdr:rowOff>
    </xdr:from>
    <xdr:ext cx="194454" cy="240740"/>
    <xdr:sp macro="" textlink="">
      <xdr:nvSpPr>
        <xdr:cNvPr id="2328" name="TextBox 2327"/>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66675</xdr:rowOff>
    </xdr:from>
    <xdr:ext cx="194454" cy="240740"/>
    <xdr:sp macro="" textlink="">
      <xdr:nvSpPr>
        <xdr:cNvPr id="2329" name="TextBox 2328"/>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185</xdr:row>
      <xdr:rowOff>28575</xdr:rowOff>
    </xdr:from>
    <xdr:to>
      <xdr:col>3</xdr:col>
      <xdr:colOff>609600</xdr:colOff>
      <xdr:row>185</xdr:row>
      <xdr:rowOff>85725</xdr:rowOff>
    </xdr:to>
    <xdr:sp macro="" textlink="">
      <xdr:nvSpPr>
        <xdr:cNvPr id="2330"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3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99732</xdr:rowOff>
    </xdr:to>
    <xdr:sp macro="" textlink="">
      <xdr:nvSpPr>
        <xdr:cNvPr id="2332"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3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34"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3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99732</xdr:rowOff>
    </xdr:to>
    <xdr:sp macro="" textlink="">
      <xdr:nvSpPr>
        <xdr:cNvPr id="2336"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3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3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39"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4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4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4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43"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44"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45"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46"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47"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0</xdr:rowOff>
    </xdr:from>
    <xdr:to>
      <xdr:col>3</xdr:col>
      <xdr:colOff>609600</xdr:colOff>
      <xdr:row>185</xdr:row>
      <xdr:rowOff>95250</xdr:rowOff>
    </xdr:to>
    <xdr:sp macro="" textlink="">
      <xdr:nvSpPr>
        <xdr:cNvPr id="2348" name="Text Box 8"/>
        <xdr:cNvSpPr txBox="1">
          <a:spLocks noChangeArrowheads="1"/>
        </xdr:cNvSpPr>
      </xdr:nvSpPr>
      <xdr:spPr bwMode="auto">
        <a:xfrm>
          <a:off x="2552140" y="36407912"/>
          <a:ext cx="85725" cy="952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95250</xdr:rowOff>
    </xdr:to>
    <xdr:sp macro="" textlink="">
      <xdr:nvSpPr>
        <xdr:cNvPr id="2349"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50" name="Text Box 1"/>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51"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95250</xdr:rowOff>
    </xdr:to>
    <xdr:sp macro="" textlink="">
      <xdr:nvSpPr>
        <xdr:cNvPr id="2352"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5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5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5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5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5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35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59"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6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65"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6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7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7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37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7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7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37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76"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77"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37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37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80"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81"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8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8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8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38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8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8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8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8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9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9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39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393"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9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9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9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9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39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39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0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0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85725</xdr:rowOff>
    </xdr:to>
    <xdr:sp macro="" textlink="">
      <xdr:nvSpPr>
        <xdr:cNvPr id="2402"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609600</xdr:colOff>
      <xdr:row>185</xdr:row>
      <xdr:rowOff>104775</xdr:rowOff>
    </xdr:to>
    <xdr:sp macro="" textlink="">
      <xdr:nvSpPr>
        <xdr:cNvPr id="2403"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40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0</xdr:rowOff>
    </xdr:from>
    <xdr:to>
      <xdr:col>3</xdr:col>
      <xdr:colOff>609600</xdr:colOff>
      <xdr:row>185</xdr:row>
      <xdr:rowOff>104775</xdr:rowOff>
    </xdr:to>
    <xdr:sp macro="" textlink="">
      <xdr:nvSpPr>
        <xdr:cNvPr id="2405"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0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07"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408"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09"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1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11"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12"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413"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14"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15"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1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17"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18"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19"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20"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42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22"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23"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2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25"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26"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2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28"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29"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3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431"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43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185</xdr:row>
      <xdr:rowOff>0</xdr:rowOff>
    </xdr:from>
    <xdr:to>
      <xdr:col>3</xdr:col>
      <xdr:colOff>609600</xdr:colOff>
      <xdr:row>185</xdr:row>
      <xdr:rowOff>104775</xdr:rowOff>
    </xdr:to>
    <xdr:sp macro="" textlink="">
      <xdr:nvSpPr>
        <xdr:cNvPr id="2433"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3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35"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436"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37"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3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39"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185</xdr:row>
      <xdr:rowOff>28575</xdr:rowOff>
    </xdr:from>
    <xdr:to>
      <xdr:col>3</xdr:col>
      <xdr:colOff>609600</xdr:colOff>
      <xdr:row>185</xdr:row>
      <xdr:rowOff>95250</xdr:rowOff>
    </xdr:to>
    <xdr:sp macro="" textlink="">
      <xdr:nvSpPr>
        <xdr:cNvPr id="2440"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44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42"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43"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4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714375</xdr:colOff>
      <xdr:row>185</xdr:row>
      <xdr:rowOff>114300</xdr:rowOff>
    </xdr:from>
    <xdr:to>
      <xdr:col>3</xdr:col>
      <xdr:colOff>714375</xdr:colOff>
      <xdr:row>185</xdr:row>
      <xdr:rowOff>114300</xdr:rowOff>
    </xdr:to>
    <xdr:sp macro="" textlink="">
      <xdr:nvSpPr>
        <xdr:cNvPr id="2445"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46"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47"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4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49"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5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104775</xdr:rowOff>
    </xdr:to>
    <xdr:sp macro="" textlink="">
      <xdr:nvSpPr>
        <xdr:cNvPr id="2451"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5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185</xdr:row>
      <xdr:rowOff>0</xdr:rowOff>
    </xdr:from>
    <xdr:to>
      <xdr:col>3</xdr:col>
      <xdr:colOff>600075</xdr:colOff>
      <xdr:row>185</xdr:row>
      <xdr:rowOff>95250</xdr:rowOff>
    </xdr:to>
    <xdr:sp macro="" textlink="">
      <xdr:nvSpPr>
        <xdr:cNvPr id="2453"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oneCellAnchor>
    <xdr:from>
      <xdr:col>6</xdr:col>
      <xdr:colOff>66675</xdr:colOff>
      <xdr:row>182</xdr:row>
      <xdr:rowOff>66675</xdr:rowOff>
    </xdr:from>
    <xdr:ext cx="194454" cy="240740"/>
    <xdr:sp macro="" textlink="">
      <xdr:nvSpPr>
        <xdr:cNvPr id="2454" name="TextBox 2453"/>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183</xdr:row>
      <xdr:rowOff>0</xdr:rowOff>
    </xdr:from>
    <xdr:to>
      <xdr:col>3</xdr:col>
      <xdr:colOff>1020318</xdr:colOff>
      <xdr:row>183</xdr:row>
      <xdr:rowOff>29718</xdr:rowOff>
    </xdr:to>
    <xdr:sp macro="" textlink="">
      <xdr:nvSpPr>
        <xdr:cNvPr id="2455"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456"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457"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458"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459"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460"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1019175</xdr:colOff>
      <xdr:row>183</xdr:row>
      <xdr:rowOff>28575</xdr:rowOff>
    </xdr:to>
    <xdr:sp macro="" textlink="">
      <xdr:nvSpPr>
        <xdr:cNvPr id="2461"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183</xdr:row>
      <xdr:rowOff>0</xdr:rowOff>
    </xdr:from>
    <xdr:to>
      <xdr:col>3</xdr:col>
      <xdr:colOff>609600</xdr:colOff>
      <xdr:row>183</xdr:row>
      <xdr:rowOff>9525</xdr:rowOff>
    </xdr:to>
    <xdr:sp macro="" textlink="">
      <xdr:nvSpPr>
        <xdr:cNvPr id="2462"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183</xdr:row>
      <xdr:rowOff>0</xdr:rowOff>
    </xdr:from>
    <xdr:to>
      <xdr:col>3</xdr:col>
      <xdr:colOff>714375</xdr:colOff>
      <xdr:row>183</xdr:row>
      <xdr:rowOff>28575</xdr:rowOff>
    </xdr:to>
    <xdr:sp macro="" textlink="">
      <xdr:nvSpPr>
        <xdr:cNvPr id="2463"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183</xdr:row>
      <xdr:rowOff>0</xdr:rowOff>
    </xdr:from>
    <xdr:to>
      <xdr:col>3</xdr:col>
      <xdr:colOff>523875</xdr:colOff>
      <xdr:row>183</xdr:row>
      <xdr:rowOff>0</xdr:rowOff>
    </xdr:to>
    <xdr:sp macro="" textlink="">
      <xdr:nvSpPr>
        <xdr:cNvPr id="2464"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183</xdr:row>
      <xdr:rowOff>0</xdr:rowOff>
    </xdr:from>
    <xdr:to>
      <xdr:col>3</xdr:col>
      <xdr:colOff>613410</xdr:colOff>
      <xdr:row>183</xdr:row>
      <xdr:rowOff>7493</xdr:rowOff>
    </xdr:to>
    <xdr:sp macro="" textlink="">
      <xdr:nvSpPr>
        <xdr:cNvPr id="2465"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183</xdr:row>
      <xdr:rowOff>0</xdr:rowOff>
    </xdr:from>
    <xdr:ext cx="194454" cy="240740"/>
    <xdr:sp macro="" textlink="">
      <xdr:nvSpPr>
        <xdr:cNvPr id="2466" name="TextBox 2465"/>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66675</xdr:rowOff>
    </xdr:from>
    <xdr:ext cx="194454" cy="240740"/>
    <xdr:sp macro="" textlink="">
      <xdr:nvSpPr>
        <xdr:cNvPr id="2467" name="TextBox 2466"/>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183</xdr:row>
      <xdr:rowOff>304800</xdr:rowOff>
    </xdr:from>
    <xdr:to>
      <xdr:col>3</xdr:col>
      <xdr:colOff>609600</xdr:colOff>
      <xdr:row>184</xdr:row>
      <xdr:rowOff>99732</xdr:rowOff>
    </xdr:to>
    <xdr:sp macro="" textlink="">
      <xdr:nvSpPr>
        <xdr:cNvPr id="2468"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99732</xdr:rowOff>
    </xdr:to>
    <xdr:sp macro="" textlink="">
      <xdr:nvSpPr>
        <xdr:cNvPr id="2469"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47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7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80"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8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82"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8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8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8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8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87"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8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48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9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9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49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oneCellAnchor>
    <xdr:from>
      <xdr:col>6</xdr:col>
      <xdr:colOff>66675</xdr:colOff>
      <xdr:row>182</xdr:row>
      <xdr:rowOff>66675</xdr:rowOff>
    </xdr:from>
    <xdr:ext cx="194454" cy="240740"/>
    <xdr:sp macro="" textlink="">
      <xdr:nvSpPr>
        <xdr:cNvPr id="2493" name="TextBox 2492"/>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183</xdr:row>
      <xdr:rowOff>0</xdr:rowOff>
    </xdr:from>
    <xdr:to>
      <xdr:col>3</xdr:col>
      <xdr:colOff>1020318</xdr:colOff>
      <xdr:row>183</xdr:row>
      <xdr:rowOff>29718</xdr:rowOff>
    </xdr:to>
    <xdr:sp macro="" textlink="">
      <xdr:nvSpPr>
        <xdr:cNvPr id="2494"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495"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496"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497"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1020318</xdr:colOff>
      <xdr:row>183</xdr:row>
      <xdr:rowOff>29718</xdr:rowOff>
    </xdr:to>
    <xdr:sp macro="" textlink="">
      <xdr:nvSpPr>
        <xdr:cNvPr id="2498"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183</xdr:row>
      <xdr:rowOff>0</xdr:rowOff>
    </xdr:from>
    <xdr:to>
      <xdr:col>3</xdr:col>
      <xdr:colOff>609600</xdr:colOff>
      <xdr:row>183</xdr:row>
      <xdr:rowOff>28575</xdr:rowOff>
    </xdr:to>
    <xdr:sp macro="" textlink="">
      <xdr:nvSpPr>
        <xdr:cNvPr id="2499"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183</xdr:row>
      <xdr:rowOff>0</xdr:rowOff>
    </xdr:from>
    <xdr:to>
      <xdr:col>3</xdr:col>
      <xdr:colOff>1019175</xdr:colOff>
      <xdr:row>183</xdr:row>
      <xdr:rowOff>28575</xdr:rowOff>
    </xdr:to>
    <xdr:sp macro="" textlink="">
      <xdr:nvSpPr>
        <xdr:cNvPr id="2500"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183</xdr:row>
      <xdr:rowOff>0</xdr:rowOff>
    </xdr:from>
    <xdr:to>
      <xdr:col>3</xdr:col>
      <xdr:colOff>609600</xdr:colOff>
      <xdr:row>183</xdr:row>
      <xdr:rowOff>9525</xdr:rowOff>
    </xdr:to>
    <xdr:sp macro="" textlink="">
      <xdr:nvSpPr>
        <xdr:cNvPr id="2501"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183</xdr:row>
      <xdr:rowOff>0</xdr:rowOff>
    </xdr:from>
    <xdr:to>
      <xdr:col>3</xdr:col>
      <xdr:colOff>714375</xdr:colOff>
      <xdr:row>183</xdr:row>
      <xdr:rowOff>28575</xdr:rowOff>
    </xdr:to>
    <xdr:sp macro="" textlink="">
      <xdr:nvSpPr>
        <xdr:cNvPr id="2502"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183</xdr:row>
      <xdr:rowOff>0</xdr:rowOff>
    </xdr:from>
    <xdr:to>
      <xdr:col>3</xdr:col>
      <xdr:colOff>523875</xdr:colOff>
      <xdr:row>183</xdr:row>
      <xdr:rowOff>0</xdr:rowOff>
    </xdr:to>
    <xdr:sp macro="" textlink="">
      <xdr:nvSpPr>
        <xdr:cNvPr id="2503"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183</xdr:row>
      <xdr:rowOff>0</xdr:rowOff>
    </xdr:from>
    <xdr:to>
      <xdr:col>3</xdr:col>
      <xdr:colOff>613410</xdr:colOff>
      <xdr:row>183</xdr:row>
      <xdr:rowOff>7493</xdr:rowOff>
    </xdr:to>
    <xdr:sp macro="" textlink="">
      <xdr:nvSpPr>
        <xdr:cNvPr id="2504"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183</xdr:row>
      <xdr:rowOff>0</xdr:rowOff>
    </xdr:from>
    <xdr:ext cx="194454" cy="240740"/>
    <xdr:sp macro="" textlink="">
      <xdr:nvSpPr>
        <xdr:cNvPr id="2505" name="TextBox 2504"/>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182</xdr:row>
      <xdr:rowOff>66675</xdr:rowOff>
    </xdr:from>
    <xdr:ext cx="194454" cy="240740"/>
    <xdr:sp macro="" textlink="">
      <xdr:nvSpPr>
        <xdr:cNvPr id="2506" name="TextBox 2505"/>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183</xdr:row>
      <xdr:rowOff>304800</xdr:rowOff>
    </xdr:from>
    <xdr:to>
      <xdr:col>3</xdr:col>
      <xdr:colOff>609600</xdr:colOff>
      <xdr:row>184</xdr:row>
      <xdr:rowOff>99732</xdr:rowOff>
    </xdr:to>
    <xdr:sp macro="" textlink="">
      <xdr:nvSpPr>
        <xdr:cNvPr id="2507"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99732</xdr:rowOff>
    </xdr:to>
    <xdr:sp macro="" textlink="">
      <xdr:nvSpPr>
        <xdr:cNvPr id="2508"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0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609600</xdr:colOff>
      <xdr:row>184</xdr:row>
      <xdr:rowOff>109257</xdr:rowOff>
    </xdr:to>
    <xdr:sp macro="" textlink="">
      <xdr:nvSpPr>
        <xdr:cNvPr id="251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1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51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2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521"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2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2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2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2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526"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2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99732</xdr:rowOff>
    </xdr:to>
    <xdr:sp macro="" textlink="">
      <xdr:nvSpPr>
        <xdr:cNvPr id="2528"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2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3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183</xdr:row>
      <xdr:rowOff>304800</xdr:rowOff>
    </xdr:from>
    <xdr:to>
      <xdr:col>3</xdr:col>
      <xdr:colOff>600075</xdr:colOff>
      <xdr:row>184</xdr:row>
      <xdr:rowOff>109257</xdr:rowOff>
    </xdr:to>
    <xdr:sp macro="" textlink="">
      <xdr:nvSpPr>
        <xdr:cNvPr id="253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oneCellAnchor>
    <xdr:from>
      <xdr:col>4</xdr:col>
      <xdr:colOff>3492500</xdr:colOff>
      <xdr:row>182</xdr:row>
      <xdr:rowOff>0</xdr:rowOff>
    </xdr:from>
    <xdr:ext cx="396875" cy="693185"/>
    <xdr:sp macro="" textlink="">
      <xdr:nvSpPr>
        <xdr:cNvPr id="2532" name="TextBox 2531"/>
        <xdr:cNvSpPr txBox="1"/>
      </xdr:nvSpPr>
      <xdr:spPr>
        <a:xfrm flipH="1">
          <a:off x="4367119" y="35701941"/>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6</xdr:col>
      <xdr:colOff>66675</xdr:colOff>
      <xdr:row>213</xdr:row>
      <xdr:rowOff>66675</xdr:rowOff>
    </xdr:from>
    <xdr:ext cx="194454" cy="240740"/>
    <xdr:sp macro="" textlink="">
      <xdr:nvSpPr>
        <xdr:cNvPr id="2533" name="TextBox 2532"/>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214</xdr:row>
      <xdr:rowOff>0</xdr:rowOff>
    </xdr:from>
    <xdr:to>
      <xdr:col>3</xdr:col>
      <xdr:colOff>1020318</xdr:colOff>
      <xdr:row>214</xdr:row>
      <xdr:rowOff>29718</xdr:rowOff>
    </xdr:to>
    <xdr:sp macro="" textlink="">
      <xdr:nvSpPr>
        <xdr:cNvPr id="2534"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535"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536"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537"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538"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539"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1019175</xdr:colOff>
      <xdr:row>214</xdr:row>
      <xdr:rowOff>28575</xdr:rowOff>
    </xdr:to>
    <xdr:sp macro="" textlink="">
      <xdr:nvSpPr>
        <xdr:cNvPr id="2540"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214</xdr:row>
      <xdr:rowOff>0</xdr:rowOff>
    </xdr:from>
    <xdr:to>
      <xdr:col>3</xdr:col>
      <xdr:colOff>609600</xdr:colOff>
      <xdr:row>214</xdr:row>
      <xdr:rowOff>9525</xdr:rowOff>
    </xdr:to>
    <xdr:sp macro="" textlink="">
      <xdr:nvSpPr>
        <xdr:cNvPr id="2541"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214</xdr:row>
      <xdr:rowOff>0</xdr:rowOff>
    </xdr:from>
    <xdr:to>
      <xdr:col>3</xdr:col>
      <xdr:colOff>714375</xdr:colOff>
      <xdr:row>214</xdr:row>
      <xdr:rowOff>28575</xdr:rowOff>
    </xdr:to>
    <xdr:sp macro="" textlink="">
      <xdr:nvSpPr>
        <xdr:cNvPr id="2542"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214</xdr:row>
      <xdr:rowOff>0</xdr:rowOff>
    </xdr:from>
    <xdr:to>
      <xdr:col>3</xdr:col>
      <xdr:colOff>523875</xdr:colOff>
      <xdr:row>214</xdr:row>
      <xdr:rowOff>0</xdr:rowOff>
    </xdr:to>
    <xdr:sp macro="" textlink="">
      <xdr:nvSpPr>
        <xdr:cNvPr id="2543"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214</xdr:row>
      <xdr:rowOff>0</xdr:rowOff>
    </xdr:from>
    <xdr:to>
      <xdr:col>3</xdr:col>
      <xdr:colOff>613410</xdr:colOff>
      <xdr:row>214</xdr:row>
      <xdr:rowOff>7493</xdr:rowOff>
    </xdr:to>
    <xdr:sp macro="" textlink="">
      <xdr:nvSpPr>
        <xdr:cNvPr id="2544"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214</xdr:row>
      <xdr:rowOff>0</xdr:rowOff>
    </xdr:from>
    <xdr:ext cx="194454" cy="240740"/>
    <xdr:sp macro="" textlink="">
      <xdr:nvSpPr>
        <xdr:cNvPr id="2545" name="TextBox 2544"/>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213</xdr:row>
      <xdr:rowOff>66675</xdr:rowOff>
    </xdr:from>
    <xdr:ext cx="194454" cy="240740"/>
    <xdr:sp macro="" textlink="">
      <xdr:nvSpPr>
        <xdr:cNvPr id="2546" name="TextBox 2545"/>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216</xdr:row>
      <xdr:rowOff>28575</xdr:rowOff>
    </xdr:from>
    <xdr:to>
      <xdr:col>3</xdr:col>
      <xdr:colOff>609600</xdr:colOff>
      <xdr:row>216</xdr:row>
      <xdr:rowOff>85725</xdr:rowOff>
    </xdr:to>
    <xdr:sp macro="" textlink="">
      <xdr:nvSpPr>
        <xdr:cNvPr id="2547"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4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99734</xdr:rowOff>
    </xdr:to>
    <xdr:sp macro="" textlink="">
      <xdr:nvSpPr>
        <xdr:cNvPr id="2549"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5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51"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5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99734</xdr:rowOff>
    </xdr:to>
    <xdr:sp macro="" textlink="">
      <xdr:nvSpPr>
        <xdr:cNvPr id="2553"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5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55"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5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5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5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55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6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61"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62"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6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6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0</xdr:rowOff>
    </xdr:from>
    <xdr:to>
      <xdr:col>3</xdr:col>
      <xdr:colOff>609600</xdr:colOff>
      <xdr:row>216</xdr:row>
      <xdr:rowOff>95250</xdr:rowOff>
    </xdr:to>
    <xdr:sp macro="" textlink="">
      <xdr:nvSpPr>
        <xdr:cNvPr id="2565" name="Text Box 8"/>
        <xdr:cNvSpPr txBox="1">
          <a:spLocks noChangeArrowheads="1"/>
        </xdr:cNvSpPr>
      </xdr:nvSpPr>
      <xdr:spPr bwMode="auto">
        <a:xfrm>
          <a:off x="2552140" y="36407912"/>
          <a:ext cx="85725" cy="952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95250</xdr:rowOff>
    </xdr:to>
    <xdr:sp macro="" textlink="">
      <xdr:nvSpPr>
        <xdr:cNvPr id="2566"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67" name="Text Box 1"/>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6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95250</xdr:rowOff>
    </xdr:to>
    <xdr:sp macro="" textlink="">
      <xdr:nvSpPr>
        <xdr:cNvPr id="2569"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7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7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7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7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57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57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7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7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7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57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8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8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58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8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8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85"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8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8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58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58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90"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91"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59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9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9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59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59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97"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59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59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0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0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60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603"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0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0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0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0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0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60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61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1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1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13"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1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1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1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61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61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19"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62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2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0</xdr:rowOff>
    </xdr:from>
    <xdr:to>
      <xdr:col>3</xdr:col>
      <xdr:colOff>609600</xdr:colOff>
      <xdr:row>216</xdr:row>
      <xdr:rowOff>104775</xdr:rowOff>
    </xdr:to>
    <xdr:sp macro="" textlink="">
      <xdr:nvSpPr>
        <xdr:cNvPr id="2622"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2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24"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625"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26"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27"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28"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29"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30"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631"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32"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3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34"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35"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36"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37"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3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63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4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4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4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43"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4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45"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46"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4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648"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4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0</xdr:rowOff>
    </xdr:from>
    <xdr:to>
      <xdr:col>3</xdr:col>
      <xdr:colOff>609600</xdr:colOff>
      <xdr:row>216</xdr:row>
      <xdr:rowOff>104775</xdr:rowOff>
    </xdr:to>
    <xdr:sp macro="" textlink="">
      <xdr:nvSpPr>
        <xdr:cNvPr id="2650"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5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5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653"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54"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55"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56"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657"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5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65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6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6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6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663"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64"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6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66"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6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66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66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670"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oneCellAnchor>
    <xdr:from>
      <xdr:col>6</xdr:col>
      <xdr:colOff>66675</xdr:colOff>
      <xdr:row>213</xdr:row>
      <xdr:rowOff>66675</xdr:rowOff>
    </xdr:from>
    <xdr:ext cx="194454" cy="240740"/>
    <xdr:sp macro="" textlink="">
      <xdr:nvSpPr>
        <xdr:cNvPr id="2671" name="TextBox 2670"/>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214</xdr:row>
      <xdr:rowOff>0</xdr:rowOff>
    </xdr:from>
    <xdr:to>
      <xdr:col>3</xdr:col>
      <xdr:colOff>1020318</xdr:colOff>
      <xdr:row>214</xdr:row>
      <xdr:rowOff>29718</xdr:rowOff>
    </xdr:to>
    <xdr:sp macro="" textlink="">
      <xdr:nvSpPr>
        <xdr:cNvPr id="2672"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673"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674"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675"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676"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677"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1019175</xdr:colOff>
      <xdr:row>214</xdr:row>
      <xdr:rowOff>28575</xdr:rowOff>
    </xdr:to>
    <xdr:sp macro="" textlink="">
      <xdr:nvSpPr>
        <xdr:cNvPr id="2678"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214</xdr:row>
      <xdr:rowOff>0</xdr:rowOff>
    </xdr:from>
    <xdr:to>
      <xdr:col>3</xdr:col>
      <xdr:colOff>609600</xdr:colOff>
      <xdr:row>214</xdr:row>
      <xdr:rowOff>9525</xdr:rowOff>
    </xdr:to>
    <xdr:sp macro="" textlink="">
      <xdr:nvSpPr>
        <xdr:cNvPr id="2679"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214</xdr:row>
      <xdr:rowOff>0</xdr:rowOff>
    </xdr:from>
    <xdr:to>
      <xdr:col>3</xdr:col>
      <xdr:colOff>714375</xdr:colOff>
      <xdr:row>214</xdr:row>
      <xdr:rowOff>28575</xdr:rowOff>
    </xdr:to>
    <xdr:sp macro="" textlink="">
      <xdr:nvSpPr>
        <xdr:cNvPr id="2680"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214</xdr:row>
      <xdr:rowOff>0</xdr:rowOff>
    </xdr:from>
    <xdr:to>
      <xdr:col>3</xdr:col>
      <xdr:colOff>523875</xdr:colOff>
      <xdr:row>214</xdr:row>
      <xdr:rowOff>0</xdr:rowOff>
    </xdr:to>
    <xdr:sp macro="" textlink="">
      <xdr:nvSpPr>
        <xdr:cNvPr id="2681"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214</xdr:row>
      <xdr:rowOff>0</xdr:rowOff>
    </xdr:from>
    <xdr:to>
      <xdr:col>3</xdr:col>
      <xdr:colOff>613410</xdr:colOff>
      <xdr:row>214</xdr:row>
      <xdr:rowOff>7493</xdr:rowOff>
    </xdr:to>
    <xdr:sp macro="" textlink="">
      <xdr:nvSpPr>
        <xdr:cNvPr id="2682"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214</xdr:row>
      <xdr:rowOff>0</xdr:rowOff>
    </xdr:from>
    <xdr:ext cx="194454" cy="240740"/>
    <xdr:sp macro="" textlink="">
      <xdr:nvSpPr>
        <xdr:cNvPr id="2683" name="TextBox 2682"/>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213</xdr:row>
      <xdr:rowOff>66675</xdr:rowOff>
    </xdr:from>
    <xdr:ext cx="194454" cy="240740"/>
    <xdr:sp macro="" textlink="">
      <xdr:nvSpPr>
        <xdr:cNvPr id="2684" name="TextBox 2683"/>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523875</xdr:colOff>
      <xdr:row>216</xdr:row>
      <xdr:rowOff>28575</xdr:rowOff>
    </xdr:from>
    <xdr:to>
      <xdr:col>3</xdr:col>
      <xdr:colOff>609600</xdr:colOff>
      <xdr:row>216</xdr:row>
      <xdr:rowOff>85725</xdr:rowOff>
    </xdr:to>
    <xdr:sp macro="" textlink="">
      <xdr:nvSpPr>
        <xdr:cNvPr id="2685"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8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99734</xdr:rowOff>
    </xdr:to>
    <xdr:sp macro="" textlink="">
      <xdr:nvSpPr>
        <xdr:cNvPr id="2687"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8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89" name="Text Box 29"/>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9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99734</xdr:rowOff>
    </xdr:to>
    <xdr:sp macro="" textlink="">
      <xdr:nvSpPr>
        <xdr:cNvPr id="2691"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9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9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69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9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9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69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69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699"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00"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01"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02"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0</xdr:rowOff>
    </xdr:from>
    <xdr:to>
      <xdr:col>3</xdr:col>
      <xdr:colOff>609600</xdr:colOff>
      <xdr:row>216</xdr:row>
      <xdr:rowOff>95250</xdr:rowOff>
    </xdr:to>
    <xdr:sp macro="" textlink="">
      <xdr:nvSpPr>
        <xdr:cNvPr id="2703" name="Text Box 8"/>
        <xdr:cNvSpPr txBox="1">
          <a:spLocks noChangeArrowheads="1"/>
        </xdr:cNvSpPr>
      </xdr:nvSpPr>
      <xdr:spPr bwMode="auto">
        <a:xfrm>
          <a:off x="2552140" y="36407912"/>
          <a:ext cx="85725" cy="952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95250</xdr:rowOff>
    </xdr:to>
    <xdr:sp macro="" textlink="">
      <xdr:nvSpPr>
        <xdr:cNvPr id="2704"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05" name="Text Box 1"/>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06"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95250</xdr:rowOff>
    </xdr:to>
    <xdr:sp macro="" textlink="">
      <xdr:nvSpPr>
        <xdr:cNvPr id="2707" name="Text Box 68"/>
        <xdr:cNvSpPr txBox="1">
          <a:spLocks noChangeArrowheads="1"/>
        </xdr:cNvSpPr>
      </xdr:nvSpPr>
      <xdr:spPr bwMode="auto">
        <a:xfrm>
          <a:off x="2475940" y="36407912"/>
          <a:ext cx="161925"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0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0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1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1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12"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1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14"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1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16"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1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1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1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20"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21"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2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23"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2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2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2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2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28"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29"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3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31"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32"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3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3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35"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36"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37"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38"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3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4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41"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4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4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44"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45"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4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4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4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49"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50"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51"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52"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53" name="Text Box 8"/>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54"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5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75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85725</xdr:rowOff>
    </xdr:to>
    <xdr:sp macro="" textlink="">
      <xdr:nvSpPr>
        <xdr:cNvPr id="2757" name="Text Box 22"/>
        <xdr:cNvSpPr txBox="1">
          <a:spLocks noChangeArrowheads="1"/>
        </xdr:cNvSpPr>
      </xdr:nvSpPr>
      <xdr:spPr bwMode="auto">
        <a:xfrm>
          <a:off x="2552140" y="36436487"/>
          <a:ext cx="85725" cy="57150"/>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609600</xdr:colOff>
      <xdr:row>216</xdr:row>
      <xdr:rowOff>104775</xdr:rowOff>
    </xdr:to>
    <xdr:sp macro="" textlink="">
      <xdr:nvSpPr>
        <xdr:cNvPr id="2758" name="Text Box 68"/>
        <xdr:cNvSpPr txBox="1">
          <a:spLocks noChangeArrowheads="1"/>
        </xdr:cNvSpPr>
      </xdr:nvSpPr>
      <xdr:spPr bwMode="auto">
        <a:xfrm>
          <a:off x="2475940" y="36407912"/>
          <a:ext cx="161925" cy="1047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59"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0</xdr:rowOff>
    </xdr:from>
    <xdr:to>
      <xdr:col>3</xdr:col>
      <xdr:colOff>609600</xdr:colOff>
      <xdr:row>216</xdr:row>
      <xdr:rowOff>104775</xdr:rowOff>
    </xdr:to>
    <xdr:sp macro="" textlink="">
      <xdr:nvSpPr>
        <xdr:cNvPr id="2760"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76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6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763"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64"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765"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66"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67"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68"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769"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770"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77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72"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73"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74"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75"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7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777"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77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77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80"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781"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78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83"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784"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78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786"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87"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523875</xdr:colOff>
      <xdr:row>216</xdr:row>
      <xdr:rowOff>0</xdr:rowOff>
    </xdr:from>
    <xdr:to>
      <xdr:col>3</xdr:col>
      <xdr:colOff>609600</xdr:colOff>
      <xdr:row>216</xdr:row>
      <xdr:rowOff>104775</xdr:rowOff>
    </xdr:to>
    <xdr:sp macro="" textlink="">
      <xdr:nvSpPr>
        <xdr:cNvPr id="2788" name="Text Box 55"/>
        <xdr:cNvSpPr txBox="1">
          <a:spLocks noChangeArrowheads="1"/>
        </xdr:cNvSpPr>
      </xdr:nvSpPr>
      <xdr:spPr bwMode="auto">
        <a:xfrm>
          <a:off x="2552140" y="36407912"/>
          <a:ext cx="85725"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78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90"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791"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92" name="Text Box 22"/>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793"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94"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523875</xdr:colOff>
      <xdr:row>216</xdr:row>
      <xdr:rowOff>28575</xdr:rowOff>
    </xdr:from>
    <xdr:to>
      <xdr:col>3</xdr:col>
      <xdr:colOff>609600</xdr:colOff>
      <xdr:row>216</xdr:row>
      <xdr:rowOff>95250</xdr:rowOff>
    </xdr:to>
    <xdr:sp macro="" textlink="">
      <xdr:nvSpPr>
        <xdr:cNvPr id="2795" name="Text Box 8"/>
        <xdr:cNvSpPr txBox="1">
          <a:spLocks noChangeArrowheads="1"/>
        </xdr:cNvSpPr>
      </xdr:nvSpPr>
      <xdr:spPr bwMode="auto">
        <a:xfrm>
          <a:off x="2552140" y="36436487"/>
          <a:ext cx="85725" cy="66675"/>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796"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797"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798"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79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714375</xdr:colOff>
      <xdr:row>216</xdr:row>
      <xdr:rowOff>114300</xdr:rowOff>
    </xdr:from>
    <xdr:to>
      <xdr:col>3</xdr:col>
      <xdr:colOff>714375</xdr:colOff>
      <xdr:row>216</xdr:row>
      <xdr:rowOff>114300</xdr:rowOff>
    </xdr:to>
    <xdr:sp macro="" textlink="">
      <xdr:nvSpPr>
        <xdr:cNvPr id="2800" name="Text Box 68"/>
        <xdr:cNvSpPr txBox="1">
          <a:spLocks noChangeArrowheads="1"/>
        </xdr:cNvSpPr>
      </xdr:nvSpPr>
      <xdr:spPr bwMode="auto">
        <a:xfrm>
          <a:off x="2742640" y="36522212"/>
          <a:ext cx="0" cy="0"/>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01"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802"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0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804"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0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104775</xdr:rowOff>
    </xdr:to>
    <xdr:sp macro="" textlink="">
      <xdr:nvSpPr>
        <xdr:cNvPr id="2806" name="Text Box 68"/>
        <xdr:cNvSpPr txBox="1">
          <a:spLocks noChangeArrowheads="1"/>
        </xdr:cNvSpPr>
      </xdr:nvSpPr>
      <xdr:spPr bwMode="auto">
        <a:xfrm>
          <a:off x="2475940" y="36407912"/>
          <a:ext cx="152400" cy="104775"/>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0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216</xdr:row>
      <xdr:rowOff>0</xdr:rowOff>
    </xdr:from>
    <xdr:to>
      <xdr:col>3</xdr:col>
      <xdr:colOff>600075</xdr:colOff>
      <xdr:row>216</xdr:row>
      <xdr:rowOff>95250</xdr:rowOff>
    </xdr:to>
    <xdr:sp macro="" textlink="">
      <xdr:nvSpPr>
        <xdr:cNvPr id="2808" name="Text Box 68"/>
        <xdr:cNvSpPr txBox="1">
          <a:spLocks noChangeArrowheads="1"/>
        </xdr:cNvSpPr>
      </xdr:nvSpPr>
      <xdr:spPr bwMode="auto">
        <a:xfrm>
          <a:off x="2475940" y="36407912"/>
          <a:ext cx="152400" cy="95250"/>
        </a:xfrm>
        <a:prstGeom prst="rect">
          <a:avLst/>
        </a:prstGeom>
        <a:noFill/>
        <a:ln w="9525">
          <a:noFill/>
          <a:miter lim="800000"/>
          <a:headEnd/>
          <a:tailEnd/>
        </a:ln>
      </xdr:spPr>
    </xdr:sp>
    <xdr:clientData/>
  </xdr:twoCellAnchor>
  <xdr:oneCellAnchor>
    <xdr:from>
      <xdr:col>6</xdr:col>
      <xdr:colOff>66675</xdr:colOff>
      <xdr:row>213</xdr:row>
      <xdr:rowOff>66675</xdr:rowOff>
    </xdr:from>
    <xdr:ext cx="194454" cy="240740"/>
    <xdr:sp macro="" textlink="">
      <xdr:nvSpPr>
        <xdr:cNvPr id="2809" name="TextBox 2808"/>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214</xdr:row>
      <xdr:rowOff>0</xdr:rowOff>
    </xdr:from>
    <xdr:to>
      <xdr:col>3</xdr:col>
      <xdr:colOff>1020318</xdr:colOff>
      <xdr:row>214</xdr:row>
      <xdr:rowOff>29718</xdr:rowOff>
    </xdr:to>
    <xdr:sp macro="" textlink="">
      <xdr:nvSpPr>
        <xdr:cNvPr id="2810"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811"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812"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813"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814"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815"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1019175</xdr:colOff>
      <xdr:row>214</xdr:row>
      <xdr:rowOff>28575</xdr:rowOff>
    </xdr:to>
    <xdr:sp macro="" textlink="">
      <xdr:nvSpPr>
        <xdr:cNvPr id="2816"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214</xdr:row>
      <xdr:rowOff>0</xdr:rowOff>
    </xdr:from>
    <xdr:to>
      <xdr:col>3</xdr:col>
      <xdr:colOff>609600</xdr:colOff>
      <xdr:row>214</xdr:row>
      <xdr:rowOff>9525</xdr:rowOff>
    </xdr:to>
    <xdr:sp macro="" textlink="">
      <xdr:nvSpPr>
        <xdr:cNvPr id="2817"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214</xdr:row>
      <xdr:rowOff>0</xdr:rowOff>
    </xdr:from>
    <xdr:to>
      <xdr:col>3</xdr:col>
      <xdr:colOff>714375</xdr:colOff>
      <xdr:row>214</xdr:row>
      <xdr:rowOff>28575</xdr:rowOff>
    </xdr:to>
    <xdr:sp macro="" textlink="">
      <xdr:nvSpPr>
        <xdr:cNvPr id="2818"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214</xdr:row>
      <xdr:rowOff>0</xdr:rowOff>
    </xdr:from>
    <xdr:to>
      <xdr:col>3</xdr:col>
      <xdr:colOff>523875</xdr:colOff>
      <xdr:row>214</xdr:row>
      <xdr:rowOff>0</xdr:rowOff>
    </xdr:to>
    <xdr:sp macro="" textlink="">
      <xdr:nvSpPr>
        <xdr:cNvPr id="2819"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214</xdr:row>
      <xdr:rowOff>0</xdr:rowOff>
    </xdr:from>
    <xdr:to>
      <xdr:col>3</xdr:col>
      <xdr:colOff>613410</xdr:colOff>
      <xdr:row>214</xdr:row>
      <xdr:rowOff>7493</xdr:rowOff>
    </xdr:to>
    <xdr:sp macro="" textlink="">
      <xdr:nvSpPr>
        <xdr:cNvPr id="2820"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214</xdr:row>
      <xdr:rowOff>0</xdr:rowOff>
    </xdr:from>
    <xdr:ext cx="194454" cy="240740"/>
    <xdr:sp macro="" textlink="">
      <xdr:nvSpPr>
        <xdr:cNvPr id="2821" name="TextBox 2820"/>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213</xdr:row>
      <xdr:rowOff>66675</xdr:rowOff>
    </xdr:from>
    <xdr:ext cx="194454" cy="240740"/>
    <xdr:sp macro="" textlink="">
      <xdr:nvSpPr>
        <xdr:cNvPr id="2822" name="TextBox 2821"/>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214</xdr:row>
      <xdr:rowOff>304800</xdr:rowOff>
    </xdr:from>
    <xdr:to>
      <xdr:col>3</xdr:col>
      <xdr:colOff>609600</xdr:colOff>
      <xdr:row>215</xdr:row>
      <xdr:rowOff>99734</xdr:rowOff>
    </xdr:to>
    <xdr:sp macro="" textlink="">
      <xdr:nvSpPr>
        <xdr:cNvPr id="2823"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99734</xdr:rowOff>
    </xdr:to>
    <xdr:sp macro="" textlink="">
      <xdr:nvSpPr>
        <xdr:cNvPr id="2824"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2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2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2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2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2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3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3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3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33"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3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35"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3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37"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3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3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4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41"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42"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4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44"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4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4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4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oneCellAnchor>
    <xdr:from>
      <xdr:col>6</xdr:col>
      <xdr:colOff>66675</xdr:colOff>
      <xdr:row>213</xdr:row>
      <xdr:rowOff>66675</xdr:rowOff>
    </xdr:from>
    <xdr:ext cx="194454" cy="240740"/>
    <xdr:sp macro="" textlink="">
      <xdr:nvSpPr>
        <xdr:cNvPr id="2848" name="TextBox 2847"/>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214</xdr:row>
      <xdr:rowOff>0</xdr:rowOff>
    </xdr:from>
    <xdr:to>
      <xdr:col>3</xdr:col>
      <xdr:colOff>1020318</xdr:colOff>
      <xdr:row>214</xdr:row>
      <xdr:rowOff>29718</xdr:rowOff>
    </xdr:to>
    <xdr:sp macro="" textlink="">
      <xdr:nvSpPr>
        <xdr:cNvPr id="2849" name="Text Box 44"/>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850" name="Text Box 50"/>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851" name="Text Box 52"/>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852" name="Text Box 55"/>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1020318</xdr:colOff>
      <xdr:row>214</xdr:row>
      <xdr:rowOff>29718</xdr:rowOff>
    </xdr:to>
    <xdr:sp macro="" textlink="">
      <xdr:nvSpPr>
        <xdr:cNvPr id="2853" name="Text Box 39"/>
        <xdr:cNvSpPr txBox="1">
          <a:spLocks noChangeArrowheads="1"/>
        </xdr:cNvSpPr>
      </xdr:nvSpPr>
      <xdr:spPr bwMode="auto">
        <a:xfrm>
          <a:off x="3047440" y="3593726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214</xdr:row>
      <xdr:rowOff>0</xdr:rowOff>
    </xdr:from>
    <xdr:to>
      <xdr:col>3</xdr:col>
      <xdr:colOff>609600</xdr:colOff>
      <xdr:row>214</xdr:row>
      <xdr:rowOff>28575</xdr:rowOff>
    </xdr:to>
    <xdr:sp macro="" textlink="">
      <xdr:nvSpPr>
        <xdr:cNvPr id="2854" name="Text Box 8"/>
        <xdr:cNvSpPr txBox="1">
          <a:spLocks noChangeArrowheads="1"/>
        </xdr:cNvSpPr>
      </xdr:nvSpPr>
      <xdr:spPr bwMode="auto">
        <a:xfrm>
          <a:off x="2552140" y="35937265"/>
          <a:ext cx="85725" cy="28575"/>
        </a:xfrm>
        <a:prstGeom prst="rect">
          <a:avLst/>
        </a:prstGeom>
        <a:noFill/>
        <a:ln w="9525">
          <a:noFill/>
          <a:miter lim="800000"/>
          <a:headEnd/>
          <a:tailEnd/>
        </a:ln>
      </xdr:spPr>
    </xdr:sp>
    <xdr:clientData/>
  </xdr:twoCellAnchor>
  <xdr:twoCellAnchor editAs="oneCell">
    <xdr:from>
      <xdr:col>3</xdr:col>
      <xdr:colOff>1019175</xdr:colOff>
      <xdr:row>214</xdr:row>
      <xdr:rowOff>0</xdr:rowOff>
    </xdr:from>
    <xdr:to>
      <xdr:col>3</xdr:col>
      <xdr:colOff>1019175</xdr:colOff>
      <xdr:row>214</xdr:row>
      <xdr:rowOff>28575</xdr:rowOff>
    </xdr:to>
    <xdr:sp macro="" textlink="">
      <xdr:nvSpPr>
        <xdr:cNvPr id="2855" name="Text Box 11"/>
        <xdr:cNvSpPr txBox="1">
          <a:spLocks noChangeArrowheads="1"/>
        </xdr:cNvSpPr>
      </xdr:nvSpPr>
      <xdr:spPr bwMode="auto">
        <a:xfrm>
          <a:off x="3047440" y="35937265"/>
          <a:ext cx="0" cy="28575"/>
        </a:xfrm>
        <a:prstGeom prst="rect">
          <a:avLst/>
        </a:prstGeom>
        <a:noFill/>
        <a:ln w="9525">
          <a:noFill/>
          <a:miter lim="800000"/>
          <a:headEnd/>
          <a:tailEnd/>
        </a:ln>
      </xdr:spPr>
    </xdr:sp>
    <xdr:clientData/>
  </xdr:twoCellAnchor>
  <xdr:twoCellAnchor editAs="oneCell">
    <xdr:from>
      <xdr:col>3</xdr:col>
      <xdr:colOff>523875</xdr:colOff>
      <xdr:row>214</xdr:row>
      <xdr:rowOff>0</xdr:rowOff>
    </xdr:from>
    <xdr:to>
      <xdr:col>3</xdr:col>
      <xdr:colOff>609600</xdr:colOff>
      <xdr:row>214</xdr:row>
      <xdr:rowOff>9525</xdr:rowOff>
    </xdr:to>
    <xdr:sp macro="" textlink="">
      <xdr:nvSpPr>
        <xdr:cNvPr id="2856" name="Text Box 63"/>
        <xdr:cNvSpPr txBox="1">
          <a:spLocks noChangeArrowheads="1"/>
        </xdr:cNvSpPr>
      </xdr:nvSpPr>
      <xdr:spPr bwMode="auto">
        <a:xfrm>
          <a:off x="2552140" y="35937265"/>
          <a:ext cx="85725" cy="9525"/>
        </a:xfrm>
        <a:prstGeom prst="rect">
          <a:avLst/>
        </a:prstGeom>
        <a:noFill/>
        <a:ln w="9525">
          <a:noFill/>
          <a:miter lim="800000"/>
          <a:headEnd/>
          <a:tailEnd/>
        </a:ln>
      </xdr:spPr>
    </xdr:sp>
    <xdr:clientData/>
  </xdr:twoCellAnchor>
  <xdr:twoCellAnchor editAs="oneCell">
    <xdr:from>
      <xdr:col>3</xdr:col>
      <xdr:colOff>714375</xdr:colOff>
      <xdr:row>214</xdr:row>
      <xdr:rowOff>0</xdr:rowOff>
    </xdr:from>
    <xdr:to>
      <xdr:col>3</xdr:col>
      <xdr:colOff>714375</xdr:colOff>
      <xdr:row>214</xdr:row>
      <xdr:rowOff>28575</xdr:rowOff>
    </xdr:to>
    <xdr:sp macro="" textlink="">
      <xdr:nvSpPr>
        <xdr:cNvPr id="2857" name="Text Box 68"/>
        <xdr:cNvSpPr txBox="1">
          <a:spLocks noChangeArrowheads="1"/>
        </xdr:cNvSpPr>
      </xdr:nvSpPr>
      <xdr:spPr bwMode="auto">
        <a:xfrm>
          <a:off x="2742640" y="35937265"/>
          <a:ext cx="0" cy="28575"/>
        </a:xfrm>
        <a:prstGeom prst="rect">
          <a:avLst/>
        </a:prstGeom>
        <a:noFill/>
        <a:ln w="9525">
          <a:noFill/>
          <a:miter lim="800000"/>
          <a:headEnd/>
          <a:tailEnd/>
        </a:ln>
      </xdr:spPr>
    </xdr:sp>
    <xdr:clientData/>
  </xdr:twoCellAnchor>
  <xdr:twoCellAnchor editAs="oneCell">
    <xdr:from>
      <xdr:col>3</xdr:col>
      <xdr:colOff>123825</xdr:colOff>
      <xdr:row>214</xdr:row>
      <xdr:rowOff>0</xdr:rowOff>
    </xdr:from>
    <xdr:to>
      <xdr:col>3</xdr:col>
      <xdr:colOff>523875</xdr:colOff>
      <xdr:row>214</xdr:row>
      <xdr:rowOff>0</xdr:rowOff>
    </xdr:to>
    <xdr:sp macro="" textlink="">
      <xdr:nvSpPr>
        <xdr:cNvPr id="2858" name="Text Box 71"/>
        <xdr:cNvSpPr txBox="1">
          <a:spLocks noChangeArrowheads="1"/>
        </xdr:cNvSpPr>
      </xdr:nvSpPr>
      <xdr:spPr bwMode="auto">
        <a:xfrm rot="313457">
          <a:off x="2152090" y="35937265"/>
          <a:ext cx="400050" cy="0"/>
        </a:xfrm>
        <a:prstGeom prst="rect">
          <a:avLst/>
        </a:prstGeom>
        <a:noFill/>
        <a:ln w="9525">
          <a:noFill/>
          <a:miter lim="800000"/>
          <a:headEnd/>
          <a:tailEnd/>
        </a:ln>
      </xdr:spPr>
    </xdr:sp>
    <xdr:clientData/>
  </xdr:twoCellAnchor>
  <xdr:twoCellAnchor editAs="oneCell">
    <xdr:from>
      <xdr:col>3</xdr:col>
      <xdr:colOff>438150</xdr:colOff>
      <xdr:row>214</xdr:row>
      <xdr:rowOff>0</xdr:rowOff>
    </xdr:from>
    <xdr:to>
      <xdr:col>3</xdr:col>
      <xdr:colOff>613410</xdr:colOff>
      <xdr:row>214</xdr:row>
      <xdr:rowOff>7493</xdr:rowOff>
    </xdr:to>
    <xdr:sp macro="" textlink="">
      <xdr:nvSpPr>
        <xdr:cNvPr id="2859" name="Text Box 72"/>
        <xdr:cNvSpPr txBox="1">
          <a:spLocks noChangeArrowheads="1"/>
        </xdr:cNvSpPr>
      </xdr:nvSpPr>
      <xdr:spPr bwMode="auto">
        <a:xfrm>
          <a:off x="2466415" y="3593726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214</xdr:row>
      <xdr:rowOff>0</xdr:rowOff>
    </xdr:from>
    <xdr:ext cx="194454" cy="240740"/>
    <xdr:sp macro="" textlink="">
      <xdr:nvSpPr>
        <xdr:cNvPr id="2860" name="TextBox 2859"/>
        <xdr:cNvSpPr txBox="1"/>
      </xdr:nvSpPr>
      <xdr:spPr>
        <a:xfrm>
          <a:off x="1058956" y="3593726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213</xdr:row>
      <xdr:rowOff>66675</xdr:rowOff>
    </xdr:from>
    <xdr:ext cx="194454" cy="240740"/>
    <xdr:sp macro="" textlink="">
      <xdr:nvSpPr>
        <xdr:cNvPr id="2861" name="TextBox 2860"/>
        <xdr:cNvSpPr txBox="1"/>
      </xdr:nvSpPr>
      <xdr:spPr>
        <a:xfrm>
          <a:off x="5232587" y="35768616"/>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214</xdr:row>
      <xdr:rowOff>304800</xdr:rowOff>
    </xdr:from>
    <xdr:to>
      <xdr:col>3</xdr:col>
      <xdr:colOff>609600</xdr:colOff>
      <xdr:row>215</xdr:row>
      <xdr:rowOff>99734</xdr:rowOff>
    </xdr:to>
    <xdr:sp macro="" textlink="">
      <xdr:nvSpPr>
        <xdr:cNvPr id="2862"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99734</xdr:rowOff>
    </xdr:to>
    <xdr:sp macro="" textlink="">
      <xdr:nvSpPr>
        <xdr:cNvPr id="2863" name="Text Box 68"/>
        <xdr:cNvSpPr txBox="1">
          <a:spLocks noChangeArrowheads="1"/>
        </xdr:cNvSpPr>
      </xdr:nvSpPr>
      <xdr:spPr bwMode="auto">
        <a:xfrm>
          <a:off x="2475940" y="36175390"/>
          <a:ext cx="161925"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64"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65"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66"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67"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68"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69"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70"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71"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609600</xdr:colOff>
      <xdr:row>215</xdr:row>
      <xdr:rowOff>109259</xdr:rowOff>
    </xdr:to>
    <xdr:sp macro="" textlink="">
      <xdr:nvSpPr>
        <xdr:cNvPr id="2872" name="Text Box 68"/>
        <xdr:cNvSpPr txBox="1">
          <a:spLocks noChangeArrowheads="1"/>
        </xdr:cNvSpPr>
      </xdr:nvSpPr>
      <xdr:spPr bwMode="auto">
        <a:xfrm>
          <a:off x="2475940" y="36175390"/>
          <a:ext cx="161925"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73"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74"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7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76"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77"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78"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79"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80"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81"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82"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99734</xdr:rowOff>
    </xdr:to>
    <xdr:sp macro="" textlink="">
      <xdr:nvSpPr>
        <xdr:cNvPr id="2883" name="Text Box 68"/>
        <xdr:cNvSpPr txBox="1">
          <a:spLocks noChangeArrowheads="1"/>
        </xdr:cNvSpPr>
      </xdr:nvSpPr>
      <xdr:spPr bwMode="auto">
        <a:xfrm>
          <a:off x="2475940" y="36175390"/>
          <a:ext cx="152400" cy="96931"/>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84"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85"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twoCellAnchor editAs="oneCell">
    <xdr:from>
      <xdr:col>3</xdr:col>
      <xdr:colOff>447675</xdr:colOff>
      <xdr:row>214</xdr:row>
      <xdr:rowOff>304800</xdr:rowOff>
    </xdr:from>
    <xdr:to>
      <xdr:col>3</xdr:col>
      <xdr:colOff>600075</xdr:colOff>
      <xdr:row>215</xdr:row>
      <xdr:rowOff>109259</xdr:rowOff>
    </xdr:to>
    <xdr:sp macro="" textlink="">
      <xdr:nvSpPr>
        <xdr:cNvPr id="2886" name="Text Box 68"/>
        <xdr:cNvSpPr txBox="1">
          <a:spLocks noChangeArrowheads="1"/>
        </xdr:cNvSpPr>
      </xdr:nvSpPr>
      <xdr:spPr bwMode="auto">
        <a:xfrm>
          <a:off x="2475940" y="36175390"/>
          <a:ext cx="152400" cy="106456"/>
        </a:xfrm>
        <a:prstGeom prst="rect">
          <a:avLst/>
        </a:prstGeom>
        <a:noFill/>
        <a:ln w="9525">
          <a:noFill/>
          <a:miter lim="800000"/>
          <a:headEnd/>
          <a:tailEnd/>
        </a:ln>
      </xdr:spPr>
    </xdr:sp>
    <xdr:clientData/>
  </xdr:twoCellAnchor>
  <xdr:oneCellAnchor>
    <xdr:from>
      <xdr:col>4</xdr:col>
      <xdr:colOff>3492500</xdr:colOff>
      <xdr:row>213</xdr:row>
      <xdr:rowOff>0</xdr:rowOff>
    </xdr:from>
    <xdr:ext cx="396875" cy="693185"/>
    <xdr:sp macro="" textlink="">
      <xdr:nvSpPr>
        <xdr:cNvPr id="2887" name="TextBox 2886"/>
        <xdr:cNvSpPr txBox="1"/>
      </xdr:nvSpPr>
      <xdr:spPr>
        <a:xfrm flipH="1">
          <a:off x="4367119" y="35701941"/>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3492500</xdr:colOff>
      <xdr:row>0</xdr:row>
      <xdr:rowOff>0</xdr:rowOff>
    </xdr:from>
    <xdr:ext cx="396875" cy="693185"/>
    <xdr:sp macro="" textlink="">
      <xdr:nvSpPr>
        <xdr:cNvPr id="2" name="TextBox 1"/>
        <xdr:cNvSpPr txBox="1"/>
      </xdr:nvSpPr>
      <xdr:spPr>
        <a:xfrm flipH="1">
          <a:off x="3349625"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3492500</xdr:colOff>
      <xdr:row>0</xdr:row>
      <xdr:rowOff>0</xdr:rowOff>
    </xdr:from>
    <xdr:ext cx="396875" cy="693185"/>
    <xdr:sp macro="" textlink="">
      <xdr:nvSpPr>
        <xdr:cNvPr id="2" name="TextBox 1"/>
        <xdr:cNvSpPr txBox="1"/>
      </xdr:nvSpPr>
      <xdr:spPr>
        <a:xfrm flipH="1">
          <a:off x="337820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3492500</xdr:colOff>
      <xdr:row>0</xdr:row>
      <xdr:rowOff>0</xdr:rowOff>
    </xdr:from>
    <xdr:ext cx="396875" cy="693185"/>
    <xdr:sp macro="" textlink="">
      <xdr:nvSpPr>
        <xdr:cNvPr id="2" name="TextBox 1"/>
        <xdr:cNvSpPr txBox="1"/>
      </xdr:nvSpPr>
      <xdr:spPr>
        <a:xfrm flipH="1">
          <a:off x="337820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3492500</xdr:colOff>
      <xdr:row>30</xdr:row>
      <xdr:rowOff>0</xdr:rowOff>
    </xdr:from>
    <xdr:ext cx="396875" cy="693185"/>
    <xdr:sp macro="" textlink="">
      <xdr:nvSpPr>
        <xdr:cNvPr id="3" name="TextBox 2"/>
        <xdr:cNvSpPr txBox="1"/>
      </xdr:nvSpPr>
      <xdr:spPr>
        <a:xfrm flipH="1">
          <a:off x="330200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4</xdr:col>
      <xdr:colOff>3492500</xdr:colOff>
      <xdr:row>0</xdr:row>
      <xdr:rowOff>0</xdr:rowOff>
    </xdr:from>
    <xdr:ext cx="396875" cy="693185"/>
    <xdr:sp macro="" textlink="">
      <xdr:nvSpPr>
        <xdr:cNvPr id="2" name="TextBox 1"/>
        <xdr:cNvSpPr txBox="1"/>
      </xdr:nvSpPr>
      <xdr:spPr>
        <a:xfrm flipH="1">
          <a:off x="337820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6</xdr:col>
      <xdr:colOff>66675</xdr:colOff>
      <xdr:row>68</xdr:row>
      <xdr:rowOff>66675</xdr:rowOff>
    </xdr:from>
    <xdr:ext cx="194454" cy="240740"/>
    <xdr:sp macro="" textlink="">
      <xdr:nvSpPr>
        <xdr:cNvPr id="2" name="TextBox 1"/>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69</xdr:row>
      <xdr:rowOff>0</xdr:rowOff>
    </xdr:from>
    <xdr:to>
      <xdr:col>3</xdr:col>
      <xdr:colOff>1020318</xdr:colOff>
      <xdr:row>69</xdr:row>
      <xdr:rowOff>29718</xdr:rowOff>
    </xdr:to>
    <xdr:sp macro="" textlink="">
      <xdr:nvSpPr>
        <xdr:cNvPr id="3" name="Text Box 44"/>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4" name="Text Box 50"/>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5" name="Text Box 52"/>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6" name="Text Box 55"/>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7" name="Text Box 39"/>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8" name="Text Box 8"/>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1019175</xdr:colOff>
      <xdr:row>69</xdr:row>
      <xdr:rowOff>28575</xdr:rowOff>
    </xdr:to>
    <xdr:sp macro="" textlink="">
      <xdr:nvSpPr>
        <xdr:cNvPr id="9" name="Text Box 11"/>
        <xdr:cNvSpPr txBox="1">
          <a:spLocks noChangeArrowheads="1"/>
        </xdr:cNvSpPr>
      </xdr:nvSpPr>
      <xdr:spPr bwMode="auto">
        <a:xfrm>
          <a:off x="2771775" y="8515350"/>
          <a:ext cx="0" cy="28575"/>
        </a:xfrm>
        <a:prstGeom prst="rect">
          <a:avLst/>
        </a:prstGeom>
        <a:noFill/>
        <a:ln w="9525">
          <a:noFill/>
          <a:miter lim="800000"/>
          <a:headEnd/>
          <a:tailEnd/>
        </a:ln>
      </xdr:spPr>
    </xdr:sp>
    <xdr:clientData/>
  </xdr:twoCellAnchor>
  <xdr:twoCellAnchor editAs="oneCell">
    <xdr:from>
      <xdr:col>3</xdr:col>
      <xdr:colOff>523875</xdr:colOff>
      <xdr:row>69</xdr:row>
      <xdr:rowOff>0</xdr:rowOff>
    </xdr:from>
    <xdr:to>
      <xdr:col>3</xdr:col>
      <xdr:colOff>609600</xdr:colOff>
      <xdr:row>69</xdr:row>
      <xdr:rowOff>9525</xdr:rowOff>
    </xdr:to>
    <xdr:sp macro="" textlink="">
      <xdr:nvSpPr>
        <xdr:cNvPr id="10" name="Text Box 63"/>
        <xdr:cNvSpPr txBox="1">
          <a:spLocks noChangeArrowheads="1"/>
        </xdr:cNvSpPr>
      </xdr:nvSpPr>
      <xdr:spPr bwMode="auto">
        <a:xfrm>
          <a:off x="2276475" y="8515350"/>
          <a:ext cx="85725" cy="9525"/>
        </a:xfrm>
        <a:prstGeom prst="rect">
          <a:avLst/>
        </a:prstGeom>
        <a:noFill/>
        <a:ln w="9525">
          <a:noFill/>
          <a:miter lim="800000"/>
          <a:headEnd/>
          <a:tailEnd/>
        </a:ln>
      </xdr:spPr>
    </xdr:sp>
    <xdr:clientData/>
  </xdr:twoCellAnchor>
  <xdr:twoCellAnchor editAs="oneCell">
    <xdr:from>
      <xdr:col>3</xdr:col>
      <xdr:colOff>714375</xdr:colOff>
      <xdr:row>69</xdr:row>
      <xdr:rowOff>0</xdr:rowOff>
    </xdr:from>
    <xdr:to>
      <xdr:col>3</xdr:col>
      <xdr:colOff>714375</xdr:colOff>
      <xdr:row>69</xdr:row>
      <xdr:rowOff>28575</xdr:rowOff>
    </xdr:to>
    <xdr:sp macro="" textlink="">
      <xdr:nvSpPr>
        <xdr:cNvPr id="11" name="Text Box 68"/>
        <xdr:cNvSpPr txBox="1">
          <a:spLocks noChangeArrowheads="1"/>
        </xdr:cNvSpPr>
      </xdr:nvSpPr>
      <xdr:spPr bwMode="auto">
        <a:xfrm>
          <a:off x="2466975" y="8515350"/>
          <a:ext cx="0" cy="28575"/>
        </a:xfrm>
        <a:prstGeom prst="rect">
          <a:avLst/>
        </a:prstGeom>
        <a:noFill/>
        <a:ln w="9525">
          <a:noFill/>
          <a:miter lim="800000"/>
          <a:headEnd/>
          <a:tailEnd/>
        </a:ln>
      </xdr:spPr>
    </xdr:sp>
    <xdr:clientData/>
  </xdr:twoCellAnchor>
  <xdr:twoCellAnchor editAs="oneCell">
    <xdr:from>
      <xdr:col>3</xdr:col>
      <xdr:colOff>123825</xdr:colOff>
      <xdr:row>69</xdr:row>
      <xdr:rowOff>0</xdr:rowOff>
    </xdr:from>
    <xdr:to>
      <xdr:col>3</xdr:col>
      <xdr:colOff>523875</xdr:colOff>
      <xdr:row>69</xdr:row>
      <xdr:rowOff>0</xdr:rowOff>
    </xdr:to>
    <xdr:sp macro="" textlink="">
      <xdr:nvSpPr>
        <xdr:cNvPr id="12" name="Text Box 71"/>
        <xdr:cNvSpPr txBox="1">
          <a:spLocks noChangeArrowheads="1"/>
        </xdr:cNvSpPr>
      </xdr:nvSpPr>
      <xdr:spPr bwMode="auto">
        <a:xfrm rot="313457">
          <a:off x="1876425" y="8515350"/>
          <a:ext cx="400050" cy="0"/>
        </a:xfrm>
        <a:prstGeom prst="rect">
          <a:avLst/>
        </a:prstGeom>
        <a:noFill/>
        <a:ln w="9525">
          <a:noFill/>
          <a:miter lim="800000"/>
          <a:headEnd/>
          <a:tailEnd/>
        </a:ln>
      </xdr:spPr>
    </xdr:sp>
    <xdr:clientData/>
  </xdr:twoCellAnchor>
  <xdr:twoCellAnchor editAs="oneCell">
    <xdr:from>
      <xdr:col>3</xdr:col>
      <xdr:colOff>438150</xdr:colOff>
      <xdr:row>69</xdr:row>
      <xdr:rowOff>0</xdr:rowOff>
    </xdr:from>
    <xdr:to>
      <xdr:col>3</xdr:col>
      <xdr:colOff>613410</xdr:colOff>
      <xdr:row>69</xdr:row>
      <xdr:rowOff>7493</xdr:rowOff>
    </xdr:to>
    <xdr:sp macro="" textlink="">
      <xdr:nvSpPr>
        <xdr:cNvPr id="13" name="Text Box 72"/>
        <xdr:cNvSpPr txBox="1">
          <a:spLocks noChangeArrowheads="1"/>
        </xdr:cNvSpPr>
      </xdr:nvSpPr>
      <xdr:spPr bwMode="auto">
        <a:xfrm>
          <a:off x="2190750" y="851535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69</xdr:row>
      <xdr:rowOff>0</xdr:rowOff>
    </xdr:from>
    <xdr:ext cx="194454" cy="240740"/>
    <xdr:sp macro="" textlink="">
      <xdr:nvSpPr>
        <xdr:cNvPr id="14" name="TextBox 13"/>
        <xdr:cNvSpPr txBox="1"/>
      </xdr:nvSpPr>
      <xdr:spPr>
        <a:xfrm>
          <a:off x="1085850" y="851535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68</xdr:row>
      <xdr:rowOff>66675</xdr:rowOff>
    </xdr:from>
    <xdr:ext cx="194454" cy="240740"/>
    <xdr:sp macro="" textlink="">
      <xdr:nvSpPr>
        <xdr:cNvPr id="15" name="TextBox 14"/>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71</xdr:row>
      <xdr:rowOff>304800</xdr:rowOff>
    </xdr:from>
    <xdr:to>
      <xdr:col>3</xdr:col>
      <xdr:colOff>609600</xdr:colOff>
      <xdr:row>71</xdr:row>
      <xdr:rowOff>200025</xdr:rowOff>
    </xdr:to>
    <xdr:sp macro="" textlink="">
      <xdr:nvSpPr>
        <xdr:cNvPr id="16"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17" name="Text Box 29"/>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18"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91888</xdr:rowOff>
    </xdr:to>
    <xdr:sp macro="" textlink="">
      <xdr:nvSpPr>
        <xdr:cNvPr id="19"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0"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438150</xdr:colOff>
      <xdr:row>71</xdr:row>
      <xdr:rowOff>257175</xdr:rowOff>
    </xdr:from>
    <xdr:to>
      <xdr:col>3</xdr:col>
      <xdr:colOff>609600</xdr:colOff>
      <xdr:row>71</xdr:row>
      <xdr:rowOff>200025</xdr:rowOff>
    </xdr:to>
    <xdr:sp macro="" textlink="">
      <xdr:nvSpPr>
        <xdr:cNvPr id="21" name="Text Box 72"/>
        <xdr:cNvSpPr txBox="1">
          <a:spLocks noChangeArrowheads="1"/>
        </xdr:cNvSpPr>
      </xdr:nvSpPr>
      <xdr:spPr bwMode="auto">
        <a:xfrm>
          <a:off x="2190750" y="9086850"/>
          <a:ext cx="17145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2" name="Text Box 29"/>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3"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91888</xdr:rowOff>
    </xdr:to>
    <xdr:sp macro="" textlink="">
      <xdr:nvSpPr>
        <xdr:cNvPr id="24"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5"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6"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7"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9"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30"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31"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32"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33"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34"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5"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36"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37"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0</xdr:rowOff>
    </xdr:from>
    <xdr:to>
      <xdr:col>3</xdr:col>
      <xdr:colOff>609600</xdr:colOff>
      <xdr:row>71</xdr:row>
      <xdr:rowOff>95250</xdr:rowOff>
    </xdr:to>
    <xdr:sp macro="" textlink="">
      <xdr:nvSpPr>
        <xdr:cNvPr id="38" name="Text Box 8"/>
        <xdr:cNvSpPr txBox="1">
          <a:spLocks noChangeArrowheads="1"/>
        </xdr:cNvSpPr>
      </xdr:nvSpPr>
      <xdr:spPr bwMode="auto">
        <a:xfrm>
          <a:off x="2276475" y="8896350"/>
          <a:ext cx="85725"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95250</xdr:rowOff>
    </xdr:to>
    <xdr:sp macro="" textlink="">
      <xdr:nvSpPr>
        <xdr:cNvPr id="39" name="Text Box 68"/>
        <xdr:cNvSpPr txBox="1">
          <a:spLocks noChangeArrowheads="1"/>
        </xdr:cNvSpPr>
      </xdr:nvSpPr>
      <xdr:spPr bwMode="auto">
        <a:xfrm>
          <a:off x="2200275" y="8896350"/>
          <a:ext cx="161925"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40" name="Text Box 1"/>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41"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95250</xdr:rowOff>
    </xdr:to>
    <xdr:sp macro="" textlink="">
      <xdr:nvSpPr>
        <xdr:cNvPr id="42" name="Text Box 68"/>
        <xdr:cNvSpPr txBox="1">
          <a:spLocks noChangeArrowheads="1"/>
        </xdr:cNvSpPr>
      </xdr:nvSpPr>
      <xdr:spPr bwMode="auto">
        <a:xfrm>
          <a:off x="2200275" y="8896350"/>
          <a:ext cx="161925" cy="9525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43"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44"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45"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46"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47"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48"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49"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50"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51"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52"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53"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54"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55"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56"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57"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58"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59"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60"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61"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62"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63"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64"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65"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66"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67"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68"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69"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70"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71"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72"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73"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74"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75"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76"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77"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78"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79"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80"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81"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82"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83"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84"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85"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86"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87"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88"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89"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90"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91"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92"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93"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94"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95"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96"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97"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98"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99"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0"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1"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2"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3"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4"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5"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6"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7"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8"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09"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0"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1"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2"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3"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4"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5"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6"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7"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8"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119"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120"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0</xdr:rowOff>
    </xdr:from>
    <xdr:to>
      <xdr:col>3</xdr:col>
      <xdr:colOff>609600</xdr:colOff>
      <xdr:row>71</xdr:row>
      <xdr:rowOff>104775</xdr:rowOff>
    </xdr:to>
    <xdr:sp macro="" textlink="">
      <xdr:nvSpPr>
        <xdr:cNvPr id="121" name="Text Box 55"/>
        <xdr:cNvSpPr txBox="1">
          <a:spLocks noChangeArrowheads="1"/>
        </xdr:cNvSpPr>
      </xdr:nvSpPr>
      <xdr:spPr bwMode="auto">
        <a:xfrm>
          <a:off x="2276475" y="8896350"/>
          <a:ext cx="857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22"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23"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124"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25"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26"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27"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28"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29"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130"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131"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32"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33"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34"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35"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36"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37"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138"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139"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40"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41"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42"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43"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44"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45"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46"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47"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148"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49"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50"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51"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52"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53"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154"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438150</xdr:colOff>
      <xdr:row>71</xdr:row>
      <xdr:rowOff>257175</xdr:rowOff>
    </xdr:from>
    <xdr:to>
      <xdr:col>3</xdr:col>
      <xdr:colOff>609600</xdr:colOff>
      <xdr:row>71</xdr:row>
      <xdr:rowOff>200025</xdr:rowOff>
    </xdr:to>
    <xdr:sp macro="" textlink="">
      <xdr:nvSpPr>
        <xdr:cNvPr id="155" name="Text Box 72"/>
        <xdr:cNvSpPr txBox="1">
          <a:spLocks noChangeArrowheads="1"/>
        </xdr:cNvSpPr>
      </xdr:nvSpPr>
      <xdr:spPr bwMode="auto">
        <a:xfrm>
          <a:off x="2190750" y="9086850"/>
          <a:ext cx="171450" cy="0"/>
        </a:xfrm>
        <a:prstGeom prst="rect">
          <a:avLst/>
        </a:prstGeom>
        <a:noFill/>
        <a:ln w="9525">
          <a:noFill/>
          <a:miter lim="800000"/>
          <a:headEnd/>
          <a:tailEnd/>
        </a:ln>
      </xdr:spPr>
    </xdr:sp>
    <xdr:clientData/>
  </xdr:twoCellAnchor>
  <xdr:twoCellAnchor editAs="oneCell">
    <xdr:from>
      <xdr:col>3</xdr:col>
      <xdr:colOff>523875</xdr:colOff>
      <xdr:row>71</xdr:row>
      <xdr:rowOff>0</xdr:rowOff>
    </xdr:from>
    <xdr:to>
      <xdr:col>3</xdr:col>
      <xdr:colOff>609600</xdr:colOff>
      <xdr:row>71</xdr:row>
      <xdr:rowOff>104775</xdr:rowOff>
    </xdr:to>
    <xdr:sp macro="" textlink="">
      <xdr:nvSpPr>
        <xdr:cNvPr id="156" name="Text Box 55"/>
        <xdr:cNvSpPr txBox="1">
          <a:spLocks noChangeArrowheads="1"/>
        </xdr:cNvSpPr>
      </xdr:nvSpPr>
      <xdr:spPr bwMode="auto">
        <a:xfrm>
          <a:off x="2276475" y="8896350"/>
          <a:ext cx="857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57"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58"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159"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60"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61"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62"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63"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164"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165"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166"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67"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68"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169"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170"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71"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72"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73"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74"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175"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176"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177"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78"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79"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0"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1"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2"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3"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4"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5"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6"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7"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188"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oneCellAnchor>
    <xdr:from>
      <xdr:col>6</xdr:col>
      <xdr:colOff>66675</xdr:colOff>
      <xdr:row>68</xdr:row>
      <xdr:rowOff>66675</xdr:rowOff>
    </xdr:from>
    <xdr:ext cx="194454" cy="240740"/>
    <xdr:sp macro="" textlink="">
      <xdr:nvSpPr>
        <xdr:cNvPr id="189" name="TextBox 188"/>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69</xdr:row>
      <xdr:rowOff>0</xdr:rowOff>
    </xdr:from>
    <xdr:to>
      <xdr:col>3</xdr:col>
      <xdr:colOff>1020318</xdr:colOff>
      <xdr:row>69</xdr:row>
      <xdr:rowOff>29718</xdr:rowOff>
    </xdr:to>
    <xdr:sp macro="" textlink="">
      <xdr:nvSpPr>
        <xdr:cNvPr id="190" name="Text Box 44"/>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191" name="Text Box 50"/>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192" name="Text Box 52"/>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193" name="Text Box 55"/>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194" name="Text Box 39"/>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195" name="Text Box 8"/>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1019175</xdr:colOff>
      <xdr:row>69</xdr:row>
      <xdr:rowOff>28575</xdr:rowOff>
    </xdr:to>
    <xdr:sp macro="" textlink="">
      <xdr:nvSpPr>
        <xdr:cNvPr id="196" name="Text Box 11"/>
        <xdr:cNvSpPr txBox="1">
          <a:spLocks noChangeArrowheads="1"/>
        </xdr:cNvSpPr>
      </xdr:nvSpPr>
      <xdr:spPr bwMode="auto">
        <a:xfrm>
          <a:off x="2771775" y="8515350"/>
          <a:ext cx="0" cy="28575"/>
        </a:xfrm>
        <a:prstGeom prst="rect">
          <a:avLst/>
        </a:prstGeom>
        <a:noFill/>
        <a:ln w="9525">
          <a:noFill/>
          <a:miter lim="800000"/>
          <a:headEnd/>
          <a:tailEnd/>
        </a:ln>
      </xdr:spPr>
    </xdr:sp>
    <xdr:clientData/>
  </xdr:twoCellAnchor>
  <xdr:twoCellAnchor editAs="oneCell">
    <xdr:from>
      <xdr:col>3</xdr:col>
      <xdr:colOff>523875</xdr:colOff>
      <xdr:row>69</xdr:row>
      <xdr:rowOff>0</xdr:rowOff>
    </xdr:from>
    <xdr:to>
      <xdr:col>3</xdr:col>
      <xdr:colOff>609600</xdr:colOff>
      <xdr:row>69</xdr:row>
      <xdr:rowOff>9525</xdr:rowOff>
    </xdr:to>
    <xdr:sp macro="" textlink="">
      <xdr:nvSpPr>
        <xdr:cNvPr id="197" name="Text Box 63"/>
        <xdr:cNvSpPr txBox="1">
          <a:spLocks noChangeArrowheads="1"/>
        </xdr:cNvSpPr>
      </xdr:nvSpPr>
      <xdr:spPr bwMode="auto">
        <a:xfrm>
          <a:off x="2276475" y="8515350"/>
          <a:ext cx="85725" cy="9525"/>
        </a:xfrm>
        <a:prstGeom prst="rect">
          <a:avLst/>
        </a:prstGeom>
        <a:noFill/>
        <a:ln w="9525">
          <a:noFill/>
          <a:miter lim="800000"/>
          <a:headEnd/>
          <a:tailEnd/>
        </a:ln>
      </xdr:spPr>
    </xdr:sp>
    <xdr:clientData/>
  </xdr:twoCellAnchor>
  <xdr:twoCellAnchor editAs="oneCell">
    <xdr:from>
      <xdr:col>3</xdr:col>
      <xdr:colOff>714375</xdr:colOff>
      <xdr:row>69</xdr:row>
      <xdr:rowOff>0</xdr:rowOff>
    </xdr:from>
    <xdr:to>
      <xdr:col>3</xdr:col>
      <xdr:colOff>714375</xdr:colOff>
      <xdr:row>69</xdr:row>
      <xdr:rowOff>28575</xdr:rowOff>
    </xdr:to>
    <xdr:sp macro="" textlink="">
      <xdr:nvSpPr>
        <xdr:cNvPr id="198" name="Text Box 68"/>
        <xdr:cNvSpPr txBox="1">
          <a:spLocks noChangeArrowheads="1"/>
        </xdr:cNvSpPr>
      </xdr:nvSpPr>
      <xdr:spPr bwMode="auto">
        <a:xfrm>
          <a:off x="2466975" y="8515350"/>
          <a:ext cx="0" cy="28575"/>
        </a:xfrm>
        <a:prstGeom prst="rect">
          <a:avLst/>
        </a:prstGeom>
        <a:noFill/>
        <a:ln w="9525">
          <a:noFill/>
          <a:miter lim="800000"/>
          <a:headEnd/>
          <a:tailEnd/>
        </a:ln>
      </xdr:spPr>
    </xdr:sp>
    <xdr:clientData/>
  </xdr:twoCellAnchor>
  <xdr:twoCellAnchor editAs="oneCell">
    <xdr:from>
      <xdr:col>3</xdr:col>
      <xdr:colOff>123825</xdr:colOff>
      <xdr:row>69</xdr:row>
      <xdr:rowOff>0</xdr:rowOff>
    </xdr:from>
    <xdr:to>
      <xdr:col>3</xdr:col>
      <xdr:colOff>523875</xdr:colOff>
      <xdr:row>69</xdr:row>
      <xdr:rowOff>0</xdr:rowOff>
    </xdr:to>
    <xdr:sp macro="" textlink="">
      <xdr:nvSpPr>
        <xdr:cNvPr id="199" name="Text Box 71"/>
        <xdr:cNvSpPr txBox="1">
          <a:spLocks noChangeArrowheads="1"/>
        </xdr:cNvSpPr>
      </xdr:nvSpPr>
      <xdr:spPr bwMode="auto">
        <a:xfrm rot="313457">
          <a:off x="1876425" y="8515350"/>
          <a:ext cx="400050" cy="0"/>
        </a:xfrm>
        <a:prstGeom prst="rect">
          <a:avLst/>
        </a:prstGeom>
        <a:noFill/>
        <a:ln w="9525">
          <a:noFill/>
          <a:miter lim="800000"/>
          <a:headEnd/>
          <a:tailEnd/>
        </a:ln>
      </xdr:spPr>
    </xdr:sp>
    <xdr:clientData/>
  </xdr:twoCellAnchor>
  <xdr:twoCellAnchor editAs="oneCell">
    <xdr:from>
      <xdr:col>3</xdr:col>
      <xdr:colOff>438150</xdr:colOff>
      <xdr:row>69</xdr:row>
      <xdr:rowOff>0</xdr:rowOff>
    </xdr:from>
    <xdr:to>
      <xdr:col>3</xdr:col>
      <xdr:colOff>613410</xdr:colOff>
      <xdr:row>69</xdr:row>
      <xdr:rowOff>7493</xdr:rowOff>
    </xdr:to>
    <xdr:sp macro="" textlink="">
      <xdr:nvSpPr>
        <xdr:cNvPr id="200" name="Text Box 72"/>
        <xdr:cNvSpPr txBox="1">
          <a:spLocks noChangeArrowheads="1"/>
        </xdr:cNvSpPr>
      </xdr:nvSpPr>
      <xdr:spPr bwMode="auto">
        <a:xfrm>
          <a:off x="2190750" y="851535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69</xdr:row>
      <xdr:rowOff>0</xdr:rowOff>
    </xdr:from>
    <xdr:ext cx="194454" cy="240740"/>
    <xdr:sp macro="" textlink="">
      <xdr:nvSpPr>
        <xdr:cNvPr id="201" name="TextBox 200"/>
        <xdr:cNvSpPr txBox="1"/>
      </xdr:nvSpPr>
      <xdr:spPr>
        <a:xfrm>
          <a:off x="1085850" y="851535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68</xdr:row>
      <xdr:rowOff>66675</xdr:rowOff>
    </xdr:from>
    <xdr:ext cx="194454" cy="240740"/>
    <xdr:sp macro="" textlink="">
      <xdr:nvSpPr>
        <xdr:cNvPr id="202" name="TextBox 201"/>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71</xdr:row>
      <xdr:rowOff>304800</xdr:rowOff>
    </xdr:from>
    <xdr:to>
      <xdr:col>3</xdr:col>
      <xdr:colOff>609600</xdr:colOff>
      <xdr:row>71</xdr:row>
      <xdr:rowOff>200025</xdr:rowOff>
    </xdr:to>
    <xdr:sp macro="" textlink="">
      <xdr:nvSpPr>
        <xdr:cNvPr id="203"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04" name="Text Box 29"/>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05"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91888</xdr:rowOff>
    </xdr:to>
    <xdr:sp macro="" textlink="">
      <xdr:nvSpPr>
        <xdr:cNvPr id="206"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07"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438150</xdr:colOff>
      <xdr:row>71</xdr:row>
      <xdr:rowOff>257175</xdr:rowOff>
    </xdr:from>
    <xdr:to>
      <xdr:col>3</xdr:col>
      <xdr:colOff>609600</xdr:colOff>
      <xdr:row>71</xdr:row>
      <xdr:rowOff>200025</xdr:rowOff>
    </xdr:to>
    <xdr:sp macro="" textlink="">
      <xdr:nvSpPr>
        <xdr:cNvPr id="208" name="Text Box 72"/>
        <xdr:cNvSpPr txBox="1">
          <a:spLocks noChangeArrowheads="1"/>
        </xdr:cNvSpPr>
      </xdr:nvSpPr>
      <xdr:spPr bwMode="auto">
        <a:xfrm>
          <a:off x="2190750" y="9086850"/>
          <a:ext cx="17145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09" name="Text Box 29"/>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10"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91888</xdr:rowOff>
    </xdr:to>
    <xdr:sp macro="" textlink="">
      <xdr:nvSpPr>
        <xdr:cNvPr id="211"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12"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13"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14"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15"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16"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17"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18"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19"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20"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21"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22"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23"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24"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0</xdr:rowOff>
    </xdr:from>
    <xdr:to>
      <xdr:col>3</xdr:col>
      <xdr:colOff>609600</xdr:colOff>
      <xdr:row>71</xdr:row>
      <xdr:rowOff>95250</xdr:rowOff>
    </xdr:to>
    <xdr:sp macro="" textlink="">
      <xdr:nvSpPr>
        <xdr:cNvPr id="225" name="Text Box 8"/>
        <xdr:cNvSpPr txBox="1">
          <a:spLocks noChangeArrowheads="1"/>
        </xdr:cNvSpPr>
      </xdr:nvSpPr>
      <xdr:spPr bwMode="auto">
        <a:xfrm>
          <a:off x="2276475" y="8896350"/>
          <a:ext cx="85725"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95250</xdr:rowOff>
    </xdr:to>
    <xdr:sp macro="" textlink="">
      <xdr:nvSpPr>
        <xdr:cNvPr id="226" name="Text Box 68"/>
        <xdr:cNvSpPr txBox="1">
          <a:spLocks noChangeArrowheads="1"/>
        </xdr:cNvSpPr>
      </xdr:nvSpPr>
      <xdr:spPr bwMode="auto">
        <a:xfrm>
          <a:off x="2200275" y="8896350"/>
          <a:ext cx="161925"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27" name="Text Box 1"/>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28"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95250</xdr:rowOff>
    </xdr:to>
    <xdr:sp macro="" textlink="">
      <xdr:nvSpPr>
        <xdr:cNvPr id="229" name="Text Box 68"/>
        <xdr:cNvSpPr txBox="1">
          <a:spLocks noChangeArrowheads="1"/>
        </xdr:cNvSpPr>
      </xdr:nvSpPr>
      <xdr:spPr bwMode="auto">
        <a:xfrm>
          <a:off x="2200275" y="8896350"/>
          <a:ext cx="161925" cy="9525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30"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31"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32"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33"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34"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35"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36"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37"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38"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39"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0"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41"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2"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3"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44"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5"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6"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7"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8"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49"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50"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51"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52"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53"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54"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55"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56"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57"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58"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59"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60"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61"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62"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63"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64"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65"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66"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67"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68"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69"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70"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71"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72"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73"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74"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75"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76"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77" name="Text Box 8"/>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278"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79"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280"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85725</xdr:rowOff>
    </xdr:to>
    <xdr:sp macro="" textlink="">
      <xdr:nvSpPr>
        <xdr:cNvPr id="281" name="Text Box 22"/>
        <xdr:cNvSpPr txBox="1">
          <a:spLocks noChangeArrowheads="1"/>
        </xdr:cNvSpPr>
      </xdr:nvSpPr>
      <xdr:spPr bwMode="auto">
        <a:xfrm>
          <a:off x="2276475" y="8924925"/>
          <a:ext cx="85725" cy="571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609600</xdr:colOff>
      <xdr:row>71</xdr:row>
      <xdr:rowOff>104775</xdr:rowOff>
    </xdr:to>
    <xdr:sp macro="" textlink="">
      <xdr:nvSpPr>
        <xdr:cNvPr id="282" name="Text Box 68"/>
        <xdr:cNvSpPr txBox="1">
          <a:spLocks noChangeArrowheads="1"/>
        </xdr:cNvSpPr>
      </xdr:nvSpPr>
      <xdr:spPr bwMode="auto">
        <a:xfrm>
          <a:off x="2200275" y="8896350"/>
          <a:ext cx="161925"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3"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4"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5"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6"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7"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8"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89"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0"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1"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2"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3"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4"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5"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6"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7"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8"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299"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00"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01"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02"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03"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04"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05"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609600</xdr:colOff>
      <xdr:row>71</xdr:row>
      <xdr:rowOff>200025</xdr:rowOff>
    </xdr:to>
    <xdr:sp macro="" textlink="">
      <xdr:nvSpPr>
        <xdr:cNvPr id="306" name="Text Box 68"/>
        <xdr:cNvSpPr txBox="1">
          <a:spLocks noChangeArrowheads="1"/>
        </xdr:cNvSpPr>
      </xdr:nvSpPr>
      <xdr:spPr bwMode="auto">
        <a:xfrm>
          <a:off x="2200275" y="9086850"/>
          <a:ext cx="161925" cy="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307"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523875</xdr:colOff>
      <xdr:row>71</xdr:row>
      <xdr:rowOff>0</xdr:rowOff>
    </xdr:from>
    <xdr:to>
      <xdr:col>3</xdr:col>
      <xdr:colOff>609600</xdr:colOff>
      <xdr:row>71</xdr:row>
      <xdr:rowOff>104775</xdr:rowOff>
    </xdr:to>
    <xdr:sp macro="" textlink="">
      <xdr:nvSpPr>
        <xdr:cNvPr id="308" name="Text Box 55"/>
        <xdr:cNvSpPr txBox="1">
          <a:spLocks noChangeArrowheads="1"/>
        </xdr:cNvSpPr>
      </xdr:nvSpPr>
      <xdr:spPr bwMode="auto">
        <a:xfrm>
          <a:off x="2276475" y="8896350"/>
          <a:ext cx="857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09"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10"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311"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12"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13"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14"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15"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16"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317"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318"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19"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20"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21"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22"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23"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24"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325"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326"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27"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28"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29"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30"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31"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32"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33"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34"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335"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36"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37"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38"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39"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40"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341"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438150</xdr:colOff>
      <xdr:row>71</xdr:row>
      <xdr:rowOff>257175</xdr:rowOff>
    </xdr:from>
    <xdr:to>
      <xdr:col>3</xdr:col>
      <xdr:colOff>609600</xdr:colOff>
      <xdr:row>71</xdr:row>
      <xdr:rowOff>200025</xdr:rowOff>
    </xdr:to>
    <xdr:sp macro="" textlink="">
      <xdr:nvSpPr>
        <xdr:cNvPr id="342" name="Text Box 72"/>
        <xdr:cNvSpPr txBox="1">
          <a:spLocks noChangeArrowheads="1"/>
        </xdr:cNvSpPr>
      </xdr:nvSpPr>
      <xdr:spPr bwMode="auto">
        <a:xfrm>
          <a:off x="2190750" y="9086850"/>
          <a:ext cx="171450" cy="0"/>
        </a:xfrm>
        <a:prstGeom prst="rect">
          <a:avLst/>
        </a:prstGeom>
        <a:noFill/>
        <a:ln w="9525">
          <a:noFill/>
          <a:miter lim="800000"/>
          <a:headEnd/>
          <a:tailEnd/>
        </a:ln>
      </xdr:spPr>
    </xdr:sp>
    <xdr:clientData/>
  </xdr:twoCellAnchor>
  <xdr:twoCellAnchor editAs="oneCell">
    <xdr:from>
      <xdr:col>3</xdr:col>
      <xdr:colOff>523875</xdr:colOff>
      <xdr:row>71</xdr:row>
      <xdr:rowOff>0</xdr:rowOff>
    </xdr:from>
    <xdr:to>
      <xdr:col>3</xdr:col>
      <xdr:colOff>609600</xdr:colOff>
      <xdr:row>71</xdr:row>
      <xdr:rowOff>104775</xdr:rowOff>
    </xdr:to>
    <xdr:sp macro="" textlink="">
      <xdr:nvSpPr>
        <xdr:cNvPr id="343" name="Text Box 55"/>
        <xdr:cNvSpPr txBox="1">
          <a:spLocks noChangeArrowheads="1"/>
        </xdr:cNvSpPr>
      </xdr:nvSpPr>
      <xdr:spPr bwMode="auto">
        <a:xfrm>
          <a:off x="2276475" y="8896350"/>
          <a:ext cx="857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44"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45"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346"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47" name="Text Box 22"/>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48"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49"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50"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523875</xdr:colOff>
      <xdr:row>71</xdr:row>
      <xdr:rowOff>28575</xdr:rowOff>
    </xdr:from>
    <xdr:to>
      <xdr:col>3</xdr:col>
      <xdr:colOff>609600</xdr:colOff>
      <xdr:row>71</xdr:row>
      <xdr:rowOff>95250</xdr:rowOff>
    </xdr:to>
    <xdr:sp macro="" textlink="">
      <xdr:nvSpPr>
        <xdr:cNvPr id="351" name="Text Box 8"/>
        <xdr:cNvSpPr txBox="1">
          <a:spLocks noChangeArrowheads="1"/>
        </xdr:cNvSpPr>
      </xdr:nvSpPr>
      <xdr:spPr bwMode="auto">
        <a:xfrm>
          <a:off x="2276475" y="8924925"/>
          <a:ext cx="85725" cy="666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352"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353"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54"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55"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714375</xdr:colOff>
      <xdr:row>71</xdr:row>
      <xdr:rowOff>114300</xdr:rowOff>
    </xdr:from>
    <xdr:to>
      <xdr:col>3</xdr:col>
      <xdr:colOff>714375</xdr:colOff>
      <xdr:row>71</xdr:row>
      <xdr:rowOff>114300</xdr:rowOff>
    </xdr:to>
    <xdr:sp macro="" textlink="">
      <xdr:nvSpPr>
        <xdr:cNvPr id="356" name="Text Box 68"/>
        <xdr:cNvSpPr txBox="1">
          <a:spLocks noChangeArrowheads="1"/>
        </xdr:cNvSpPr>
      </xdr:nvSpPr>
      <xdr:spPr bwMode="auto">
        <a:xfrm>
          <a:off x="2466975" y="9010650"/>
          <a:ext cx="0" cy="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357"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58"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59"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60"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61"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104775</xdr:rowOff>
    </xdr:to>
    <xdr:sp macro="" textlink="">
      <xdr:nvSpPr>
        <xdr:cNvPr id="362" name="Text Box 68"/>
        <xdr:cNvSpPr txBox="1">
          <a:spLocks noChangeArrowheads="1"/>
        </xdr:cNvSpPr>
      </xdr:nvSpPr>
      <xdr:spPr bwMode="auto">
        <a:xfrm>
          <a:off x="2200275" y="88963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363"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71</xdr:row>
      <xdr:rowOff>0</xdr:rowOff>
    </xdr:from>
    <xdr:to>
      <xdr:col>3</xdr:col>
      <xdr:colOff>600075</xdr:colOff>
      <xdr:row>71</xdr:row>
      <xdr:rowOff>95250</xdr:rowOff>
    </xdr:to>
    <xdr:sp macro="" textlink="">
      <xdr:nvSpPr>
        <xdr:cNvPr id="364" name="Text Box 68"/>
        <xdr:cNvSpPr txBox="1">
          <a:spLocks noChangeArrowheads="1"/>
        </xdr:cNvSpPr>
      </xdr:nvSpPr>
      <xdr:spPr bwMode="auto">
        <a:xfrm>
          <a:off x="2200275" y="8896350"/>
          <a:ext cx="152400" cy="9525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65"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66"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67"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68"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69"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70"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71"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72"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73"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74"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twoCellAnchor editAs="oneCell">
    <xdr:from>
      <xdr:col>3</xdr:col>
      <xdr:colOff>447675</xdr:colOff>
      <xdr:row>71</xdr:row>
      <xdr:rowOff>304800</xdr:rowOff>
    </xdr:from>
    <xdr:to>
      <xdr:col>3</xdr:col>
      <xdr:colOff>600075</xdr:colOff>
      <xdr:row>71</xdr:row>
      <xdr:rowOff>200025</xdr:rowOff>
    </xdr:to>
    <xdr:sp macro="" textlink="">
      <xdr:nvSpPr>
        <xdr:cNvPr id="375" name="Text Box 68"/>
        <xdr:cNvSpPr txBox="1">
          <a:spLocks noChangeArrowheads="1"/>
        </xdr:cNvSpPr>
      </xdr:nvSpPr>
      <xdr:spPr bwMode="auto">
        <a:xfrm>
          <a:off x="2200275" y="9086850"/>
          <a:ext cx="152400" cy="0"/>
        </a:xfrm>
        <a:prstGeom prst="rect">
          <a:avLst/>
        </a:prstGeom>
        <a:noFill/>
        <a:ln w="9525">
          <a:noFill/>
          <a:miter lim="800000"/>
          <a:headEnd/>
          <a:tailEnd/>
        </a:ln>
      </xdr:spPr>
    </xdr:sp>
    <xdr:clientData/>
  </xdr:twoCellAnchor>
  <xdr:oneCellAnchor>
    <xdr:from>
      <xdr:col>6</xdr:col>
      <xdr:colOff>66675</xdr:colOff>
      <xdr:row>68</xdr:row>
      <xdr:rowOff>66675</xdr:rowOff>
    </xdr:from>
    <xdr:ext cx="194454" cy="240740"/>
    <xdr:sp macro="" textlink="">
      <xdr:nvSpPr>
        <xdr:cNvPr id="376" name="TextBox 375"/>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69</xdr:row>
      <xdr:rowOff>0</xdr:rowOff>
    </xdr:from>
    <xdr:to>
      <xdr:col>3</xdr:col>
      <xdr:colOff>1020318</xdr:colOff>
      <xdr:row>69</xdr:row>
      <xdr:rowOff>29718</xdr:rowOff>
    </xdr:to>
    <xdr:sp macro="" textlink="">
      <xdr:nvSpPr>
        <xdr:cNvPr id="377" name="Text Box 44"/>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378" name="Text Box 50"/>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379" name="Text Box 52"/>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380" name="Text Box 55"/>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381" name="Text Box 39"/>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382" name="Text Box 8"/>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1019175</xdr:colOff>
      <xdr:row>69</xdr:row>
      <xdr:rowOff>28575</xdr:rowOff>
    </xdr:to>
    <xdr:sp macro="" textlink="">
      <xdr:nvSpPr>
        <xdr:cNvPr id="383" name="Text Box 11"/>
        <xdr:cNvSpPr txBox="1">
          <a:spLocks noChangeArrowheads="1"/>
        </xdr:cNvSpPr>
      </xdr:nvSpPr>
      <xdr:spPr bwMode="auto">
        <a:xfrm>
          <a:off x="2771775" y="8515350"/>
          <a:ext cx="0" cy="28575"/>
        </a:xfrm>
        <a:prstGeom prst="rect">
          <a:avLst/>
        </a:prstGeom>
        <a:noFill/>
        <a:ln w="9525">
          <a:noFill/>
          <a:miter lim="800000"/>
          <a:headEnd/>
          <a:tailEnd/>
        </a:ln>
      </xdr:spPr>
    </xdr:sp>
    <xdr:clientData/>
  </xdr:twoCellAnchor>
  <xdr:twoCellAnchor editAs="oneCell">
    <xdr:from>
      <xdr:col>3</xdr:col>
      <xdr:colOff>523875</xdr:colOff>
      <xdr:row>69</xdr:row>
      <xdr:rowOff>0</xdr:rowOff>
    </xdr:from>
    <xdr:to>
      <xdr:col>3</xdr:col>
      <xdr:colOff>609600</xdr:colOff>
      <xdr:row>69</xdr:row>
      <xdr:rowOff>9525</xdr:rowOff>
    </xdr:to>
    <xdr:sp macro="" textlink="">
      <xdr:nvSpPr>
        <xdr:cNvPr id="384" name="Text Box 63"/>
        <xdr:cNvSpPr txBox="1">
          <a:spLocks noChangeArrowheads="1"/>
        </xdr:cNvSpPr>
      </xdr:nvSpPr>
      <xdr:spPr bwMode="auto">
        <a:xfrm>
          <a:off x="2276475" y="8515350"/>
          <a:ext cx="85725" cy="9525"/>
        </a:xfrm>
        <a:prstGeom prst="rect">
          <a:avLst/>
        </a:prstGeom>
        <a:noFill/>
        <a:ln w="9525">
          <a:noFill/>
          <a:miter lim="800000"/>
          <a:headEnd/>
          <a:tailEnd/>
        </a:ln>
      </xdr:spPr>
    </xdr:sp>
    <xdr:clientData/>
  </xdr:twoCellAnchor>
  <xdr:twoCellAnchor editAs="oneCell">
    <xdr:from>
      <xdr:col>3</xdr:col>
      <xdr:colOff>714375</xdr:colOff>
      <xdr:row>69</xdr:row>
      <xdr:rowOff>0</xdr:rowOff>
    </xdr:from>
    <xdr:to>
      <xdr:col>3</xdr:col>
      <xdr:colOff>714375</xdr:colOff>
      <xdr:row>69</xdr:row>
      <xdr:rowOff>28575</xdr:rowOff>
    </xdr:to>
    <xdr:sp macro="" textlink="">
      <xdr:nvSpPr>
        <xdr:cNvPr id="385" name="Text Box 68"/>
        <xdr:cNvSpPr txBox="1">
          <a:spLocks noChangeArrowheads="1"/>
        </xdr:cNvSpPr>
      </xdr:nvSpPr>
      <xdr:spPr bwMode="auto">
        <a:xfrm>
          <a:off x="2466975" y="8515350"/>
          <a:ext cx="0" cy="28575"/>
        </a:xfrm>
        <a:prstGeom prst="rect">
          <a:avLst/>
        </a:prstGeom>
        <a:noFill/>
        <a:ln w="9525">
          <a:noFill/>
          <a:miter lim="800000"/>
          <a:headEnd/>
          <a:tailEnd/>
        </a:ln>
      </xdr:spPr>
    </xdr:sp>
    <xdr:clientData/>
  </xdr:twoCellAnchor>
  <xdr:twoCellAnchor editAs="oneCell">
    <xdr:from>
      <xdr:col>3</xdr:col>
      <xdr:colOff>123825</xdr:colOff>
      <xdr:row>69</xdr:row>
      <xdr:rowOff>0</xdr:rowOff>
    </xdr:from>
    <xdr:to>
      <xdr:col>3</xdr:col>
      <xdr:colOff>523875</xdr:colOff>
      <xdr:row>69</xdr:row>
      <xdr:rowOff>0</xdr:rowOff>
    </xdr:to>
    <xdr:sp macro="" textlink="">
      <xdr:nvSpPr>
        <xdr:cNvPr id="386" name="Text Box 71"/>
        <xdr:cNvSpPr txBox="1">
          <a:spLocks noChangeArrowheads="1"/>
        </xdr:cNvSpPr>
      </xdr:nvSpPr>
      <xdr:spPr bwMode="auto">
        <a:xfrm rot="313457">
          <a:off x="1876425" y="8515350"/>
          <a:ext cx="400050" cy="0"/>
        </a:xfrm>
        <a:prstGeom prst="rect">
          <a:avLst/>
        </a:prstGeom>
        <a:noFill/>
        <a:ln w="9525">
          <a:noFill/>
          <a:miter lim="800000"/>
          <a:headEnd/>
          <a:tailEnd/>
        </a:ln>
      </xdr:spPr>
    </xdr:sp>
    <xdr:clientData/>
  </xdr:twoCellAnchor>
  <xdr:twoCellAnchor editAs="oneCell">
    <xdr:from>
      <xdr:col>3</xdr:col>
      <xdr:colOff>438150</xdr:colOff>
      <xdr:row>69</xdr:row>
      <xdr:rowOff>0</xdr:rowOff>
    </xdr:from>
    <xdr:to>
      <xdr:col>3</xdr:col>
      <xdr:colOff>613410</xdr:colOff>
      <xdr:row>69</xdr:row>
      <xdr:rowOff>7493</xdr:rowOff>
    </xdr:to>
    <xdr:sp macro="" textlink="">
      <xdr:nvSpPr>
        <xdr:cNvPr id="387" name="Text Box 72"/>
        <xdr:cNvSpPr txBox="1">
          <a:spLocks noChangeArrowheads="1"/>
        </xdr:cNvSpPr>
      </xdr:nvSpPr>
      <xdr:spPr bwMode="auto">
        <a:xfrm>
          <a:off x="2190750" y="851535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69</xdr:row>
      <xdr:rowOff>0</xdr:rowOff>
    </xdr:from>
    <xdr:ext cx="194454" cy="240740"/>
    <xdr:sp macro="" textlink="">
      <xdr:nvSpPr>
        <xdr:cNvPr id="388" name="TextBox 387"/>
        <xdr:cNvSpPr txBox="1"/>
      </xdr:nvSpPr>
      <xdr:spPr>
        <a:xfrm>
          <a:off x="1085850" y="851535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68</xdr:row>
      <xdr:rowOff>66675</xdr:rowOff>
    </xdr:from>
    <xdr:ext cx="194454" cy="240740"/>
    <xdr:sp macro="" textlink="">
      <xdr:nvSpPr>
        <xdr:cNvPr id="389" name="TextBox 388"/>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69</xdr:row>
      <xdr:rowOff>304800</xdr:rowOff>
    </xdr:from>
    <xdr:to>
      <xdr:col>3</xdr:col>
      <xdr:colOff>609600</xdr:colOff>
      <xdr:row>70</xdr:row>
      <xdr:rowOff>91888</xdr:rowOff>
    </xdr:to>
    <xdr:sp macro="" textlink="">
      <xdr:nvSpPr>
        <xdr:cNvPr id="390"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91888</xdr:rowOff>
    </xdr:to>
    <xdr:sp macro="" textlink="">
      <xdr:nvSpPr>
        <xdr:cNvPr id="391"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2"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3"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4"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5"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6"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7"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8"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399"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00"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01"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02"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03"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04"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05"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06"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07"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08"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09"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10"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11"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12"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13"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14"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oneCellAnchor>
    <xdr:from>
      <xdr:col>6</xdr:col>
      <xdr:colOff>66675</xdr:colOff>
      <xdr:row>68</xdr:row>
      <xdr:rowOff>66675</xdr:rowOff>
    </xdr:from>
    <xdr:ext cx="194454" cy="240740"/>
    <xdr:sp macro="" textlink="">
      <xdr:nvSpPr>
        <xdr:cNvPr id="415" name="TextBox 414"/>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69</xdr:row>
      <xdr:rowOff>0</xdr:rowOff>
    </xdr:from>
    <xdr:to>
      <xdr:col>3</xdr:col>
      <xdr:colOff>1020318</xdr:colOff>
      <xdr:row>69</xdr:row>
      <xdr:rowOff>29718</xdr:rowOff>
    </xdr:to>
    <xdr:sp macro="" textlink="">
      <xdr:nvSpPr>
        <xdr:cNvPr id="416" name="Text Box 44"/>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417" name="Text Box 50"/>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418" name="Text Box 52"/>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419" name="Text Box 55"/>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1020318</xdr:colOff>
      <xdr:row>69</xdr:row>
      <xdr:rowOff>29718</xdr:rowOff>
    </xdr:to>
    <xdr:sp macro="" textlink="">
      <xdr:nvSpPr>
        <xdr:cNvPr id="420" name="Text Box 39"/>
        <xdr:cNvSpPr txBox="1">
          <a:spLocks noChangeArrowheads="1"/>
        </xdr:cNvSpPr>
      </xdr:nvSpPr>
      <xdr:spPr bwMode="auto">
        <a:xfrm>
          <a:off x="2771775" y="8515350"/>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69</xdr:row>
      <xdr:rowOff>0</xdr:rowOff>
    </xdr:from>
    <xdr:to>
      <xdr:col>3</xdr:col>
      <xdr:colOff>609600</xdr:colOff>
      <xdr:row>69</xdr:row>
      <xdr:rowOff>28575</xdr:rowOff>
    </xdr:to>
    <xdr:sp macro="" textlink="">
      <xdr:nvSpPr>
        <xdr:cNvPr id="421" name="Text Box 8"/>
        <xdr:cNvSpPr txBox="1">
          <a:spLocks noChangeArrowheads="1"/>
        </xdr:cNvSpPr>
      </xdr:nvSpPr>
      <xdr:spPr bwMode="auto">
        <a:xfrm>
          <a:off x="2276475" y="8515350"/>
          <a:ext cx="85725" cy="28575"/>
        </a:xfrm>
        <a:prstGeom prst="rect">
          <a:avLst/>
        </a:prstGeom>
        <a:noFill/>
        <a:ln w="9525">
          <a:noFill/>
          <a:miter lim="800000"/>
          <a:headEnd/>
          <a:tailEnd/>
        </a:ln>
      </xdr:spPr>
    </xdr:sp>
    <xdr:clientData/>
  </xdr:twoCellAnchor>
  <xdr:twoCellAnchor editAs="oneCell">
    <xdr:from>
      <xdr:col>3</xdr:col>
      <xdr:colOff>1019175</xdr:colOff>
      <xdr:row>69</xdr:row>
      <xdr:rowOff>0</xdr:rowOff>
    </xdr:from>
    <xdr:to>
      <xdr:col>3</xdr:col>
      <xdr:colOff>1019175</xdr:colOff>
      <xdr:row>69</xdr:row>
      <xdr:rowOff>28575</xdr:rowOff>
    </xdr:to>
    <xdr:sp macro="" textlink="">
      <xdr:nvSpPr>
        <xdr:cNvPr id="422" name="Text Box 11"/>
        <xdr:cNvSpPr txBox="1">
          <a:spLocks noChangeArrowheads="1"/>
        </xdr:cNvSpPr>
      </xdr:nvSpPr>
      <xdr:spPr bwMode="auto">
        <a:xfrm>
          <a:off x="2771775" y="8515350"/>
          <a:ext cx="0" cy="28575"/>
        </a:xfrm>
        <a:prstGeom prst="rect">
          <a:avLst/>
        </a:prstGeom>
        <a:noFill/>
        <a:ln w="9525">
          <a:noFill/>
          <a:miter lim="800000"/>
          <a:headEnd/>
          <a:tailEnd/>
        </a:ln>
      </xdr:spPr>
    </xdr:sp>
    <xdr:clientData/>
  </xdr:twoCellAnchor>
  <xdr:twoCellAnchor editAs="oneCell">
    <xdr:from>
      <xdr:col>3</xdr:col>
      <xdr:colOff>523875</xdr:colOff>
      <xdr:row>69</xdr:row>
      <xdr:rowOff>0</xdr:rowOff>
    </xdr:from>
    <xdr:to>
      <xdr:col>3</xdr:col>
      <xdr:colOff>609600</xdr:colOff>
      <xdr:row>69</xdr:row>
      <xdr:rowOff>9525</xdr:rowOff>
    </xdr:to>
    <xdr:sp macro="" textlink="">
      <xdr:nvSpPr>
        <xdr:cNvPr id="423" name="Text Box 63"/>
        <xdr:cNvSpPr txBox="1">
          <a:spLocks noChangeArrowheads="1"/>
        </xdr:cNvSpPr>
      </xdr:nvSpPr>
      <xdr:spPr bwMode="auto">
        <a:xfrm>
          <a:off x="2276475" y="8515350"/>
          <a:ext cx="85725" cy="9525"/>
        </a:xfrm>
        <a:prstGeom prst="rect">
          <a:avLst/>
        </a:prstGeom>
        <a:noFill/>
        <a:ln w="9525">
          <a:noFill/>
          <a:miter lim="800000"/>
          <a:headEnd/>
          <a:tailEnd/>
        </a:ln>
      </xdr:spPr>
    </xdr:sp>
    <xdr:clientData/>
  </xdr:twoCellAnchor>
  <xdr:twoCellAnchor editAs="oneCell">
    <xdr:from>
      <xdr:col>3</xdr:col>
      <xdr:colOff>714375</xdr:colOff>
      <xdr:row>69</xdr:row>
      <xdr:rowOff>0</xdr:rowOff>
    </xdr:from>
    <xdr:to>
      <xdr:col>3</xdr:col>
      <xdr:colOff>714375</xdr:colOff>
      <xdr:row>69</xdr:row>
      <xdr:rowOff>28575</xdr:rowOff>
    </xdr:to>
    <xdr:sp macro="" textlink="">
      <xdr:nvSpPr>
        <xdr:cNvPr id="424" name="Text Box 68"/>
        <xdr:cNvSpPr txBox="1">
          <a:spLocks noChangeArrowheads="1"/>
        </xdr:cNvSpPr>
      </xdr:nvSpPr>
      <xdr:spPr bwMode="auto">
        <a:xfrm>
          <a:off x="2466975" y="8515350"/>
          <a:ext cx="0" cy="28575"/>
        </a:xfrm>
        <a:prstGeom prst="rect">
          <a:avLst/>
        </a:prstGeom>
        <a:noFill/>
        <a:ln w="9525">
          <a:noFill/>
          <a:miter lim="800000"/>
          <a:headEnd/>
          <a:tailEnd/>
        </a:ln>
      </xdr:spPr>
    </xdr:sp>
    <xdr:clientData/>
  </xdr:twoCellAnchor>
  <xdr:twoCellAnchor editAs="oneCell">
    <xdr:from>
      <xdr:col>3</xdr:col>
      <xdr:colOff>123825</xdr:colOff>
      <xdr:row>69</xdr:row>
      <xdr:rowOff>0</xdr:rowOff>
    </xdr:from>
    <xdr:to>
      <xdr:col>3</xdr:col>
      <xdr:colOff>523875</xdr:colOff>
      <xdr:row>69</xdr:row>
      <xdr:rowOff>0</xdr:rowOff>
    </xdr:to>
    <xdr:sp macro="" textlink="">
      <xdr:nvSpPr>
        <xdr:cNvPr id="425" name="Text Box 71"/>
        <xdr:cNvSpPr txBox="1">
          <a:spLocks noChangeArrowheads="1"/>
        </xdr:cNvSpPr>
      </xdr:nvSpPr>
      <xdr:spPr bwMode="auto">
        <a:xfrm rot="313457">
          <a:off x="1876425" y="8515350"/>
          <a:ext cx="400050" cy="0"/>
        </a:xfrm>
        <a:prstGeom prst="rect">
          <a:avLst/>
        </a:prstGeom>
        <a:noFill/>
        <a:ln w="9525">
          <a:noFill/>
          <a:miter lim="800000"/>
          <a:headEnd/>
          <a:tailEnd/>
        </a:ln>
      </xdr:spPr>
    </xdr:sp>
    <xdr:clientData/>
  </xdr:twoCellAnchor>
  <xdr:twoCellAnchor editAs="oneCell">
    <xdr:from>
      <xdr:col>3</xdr:col>
      <xdr:colOff>438150</xdr:colOff>
      <xdr:row>69</xdr:row>
      <xdr:rowOff>0</xdr:rowOff>
    </xdr:from>
    <xdr:to>
      <xdr:col>3</xdr:col>
      <xdr:colOff>613410</xdr:colOff>
      <xdr:row>69</xdr:row>
      <xdr:rowOff>7493</xdr:rowOff>
    </xdr:to>
    <xdr:sp macro="" textlink="">
      <xdr:nvSpPr>
        <xdr:cNvPr id="426" name="Text Box 72"/>
        <xdr:cNvSpPr txBox="1">
          <a:spLocks noChangeArrowheads="1"/>
        </xdr:cNvSpPr>
      </xdr:nvSpPr>
      <xdr:spPr bwMode="auto">
        <a:xfrm>
          <a:off x="2190750" y="8515350"/>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69</xdr:row>
      <xdr:rowOff>0</xdr:rowOff>
    </xdr:from>
    <xdr:ext cx="194454" cy="240740"/>
    <xdr:sp macro="" textlink="">
      <xdr:nvSpPr>
        <xdr:cNvPr id="427" name="TextBox 426"/>
        <xdr:cNvSpPr txBox="1"/>
      </xdr:nvSpPr>
      <xdr:spPr>
        <a:xfrm>
          <a:off x="1085850" y="851535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68</xdr:row>
      <xdr:rowOff>66675</xdr:rowOff>
    </xdr:from>
    <xdr:ext cx="194454" cy="240740"/>
    <xdr:sp macro="" textlink="">
      <xdr:nvSpPr>
        <xdr:cNvPr id="428" name="TextBox 427"/>
        <xdr:cNvSpPr txBox="1"/>
      </xdr:nvSpPr>
      <xdr:spPr>
        <a:xfrm>
          <a:off x="4371975" y="8382000"/>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69</xdr:row>
      <xdr:rowOff>304800</xdr:rowOff>
    </xdr:from>
    <xdr:to>
      <xdr:col>3</xdr:col>
      <xdr:colOff>609600</xdr:colOff>
      <xdr:row>70</xdr:row>
      <xdr:rowOff>91888</xdr:rowOff>
    </xdr:to>
    <xdr:sp macro="" textlink="">
      <xdr:nvSpPr>
        <xdr:cNvPr id="429"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91888</xdr:rowOff>
    </xdr:to>
    <xdr:sp macro="" textlink="">
      <xdr:nvSpPr>
        <xdr:cNvPr id="430" name="Text Box 68"/>
        <xdr:cNvSpPr txBox="1">
          <a:spLocks noChangeArrowheads="1"/>
        </xdr:cNvSpPr>
      </xdr:nvSpPr>
      <xdr:spPr bwMode="auto">
        <a:xfrm>
          <a:off x="2200275" y="8705850"/>
          <a:ext cx="161925"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1"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2"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3"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4"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5"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6"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7"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8"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609600</xdr:colOff>
      <xdr:row>70</xdr:row>
      <xdr:rowOff>101413</xdr:rowOff>
    </xdr:to>
    <xdr:sp macro="" textlink="">
      <xdr:nvSpPr>
        <xdr:cNvPr id="439" name="Text Box 68"/>
        <xdr:cNvSpPr txBox="1">
          <a:spLocks noChangeArrowheads="1"/>
        </xdr:cNvSpPr>
      </xdr:nvSpPr>
      <xdr:spPr bwMode="auto">
        <a:xfrm>
          <a:off x="2200275" y="8705850"/>
          <a:ext cx="161925"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40"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41"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42"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43"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44"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45"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46"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47"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48"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49"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91888</xdr:rowOff>
    </xdr:to>
    <xdr:sp macro="" textlink="">
      <xdr:nvSpPr>
        <xdr:cNvPr id="450" name="Text Box 68"/>
        <xdr:cNvSpPr txBox="1">
          <a:spLocks noChangeArrowheads="1"/>
        </xdr:cNvSpPr>
      </xdr:nvSpPr>
      <xdr:spPr bwMode="auto">
        <a:xfrm>
          <a:off x="2200275" y="8705850"/>
          <a:ext cx="152400" cy="95250"/>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51"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52"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twoCellAnchor editAs="oneCell">
    <xdr:from>
      <xdr:col>3</xdr:col>
      <xdr:colOff>447675</xdr:colOff>
      <xdr:row>69</xdr:row>
      <xdr:rowOff>304800</xdr:rowOff>
    </xdr:from>
    <xdr:to>
      <xdr:col>3</xdr:col>
      <xdr:colOff>600075</xdr:colOff>
      <xdr:row>70</xdr:row>
      <xdr:rowOff>101413</xdr:rowOff>
    </xdr:to>
    <xdr:sp macro="" textlink="">
      <xdr:nvSpPr>
        <xdr:cNvPr id="453" name="Text Box 68"/>
        <xdr:cNvSpPr txBox="1">
          <a:spLocks noChangeArrowheads="1"/>
        </xdr:cNvSpPr>
      </xdr:nvSpPr>
      <xdr:spPr bwMode="auto">
        <a:xfrm>
          <a:off x="2200275" y="8705850"/>
          <a:ext cx="152400" cy="104775"/>
        </a:xfrm>
        <a:prstGeom prst="rect">
          <a:avLst/>
        </a:prstGeom>
        <a:noFill/>
        <a:ln w="9525">
          <a:noFill/>
          <a:miter lim="800000"/>
          <a:headEnd/>
          <a:tailEnd/>
        </a:ln>
      </xdr:spPr>
    </xdr:sp>
    <xdr:clientData/>
  </xdr:twoCellAnchor>
  <xdr:oneCellAnchor>
    <xdr:from>
      <xdr:col>4</xdr:col>
      <xdr:colOff>3492500</xdr:colOff>
      <xdr:row>0</xdr:row>
      <xdr:rowOff>0</xdr:rowOff>
    </xdr:from>
    <xdr:ext cx="396875" cy="693185"/>
    <xdr:sp macro="" textlink="">
      <xdr:nvSpPr>
        <xdr:cNvPr id="461" name="TextBox 460"/>
        <xdr:cNvSpPr txBox="1"/>
      </xdr:nvSpPr>
      <xdr:spPr>
        <a:xfrm flipH="1">
          <a:off x="337820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6</xdr:col>
      <xdr:colOff>66675</xdr:colOff>
      <xdr:row>36</xdr:row>
      <xdr:rowOff>66675</xdr:rowOff>
    </xdr:from>
    <xdr:ext cx="194454" cy="240740"/>
    <xdr:sp macro="" textlink="">
      <xdr:nvSpPr>
        <xdr:cNvPr id="2" name="TextBox 1"/>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37</xdr:row>
      <xdr:rowOff>0</xdr:rowOff>
    </xdr:from>
    <xdr:to>
      <xdr:col>3</xdr:col>
      <xdr:colOff>1020318</xdr:colOff>
      <xdr:row>37</xdr:row>
      <xdr:rowOff>29718</xdr:rowOff>
    </xdr:to>
    <xdr:sp macro="" textlink="">
      <xdr:nvSpPr>
        <xdr:cNvPr id="3" name="Text Box 44"/>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4" name="Text Box 50"/>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5" name="Text Box 52"/>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6" name="Text Box 55"/>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7" name="Text Box 39"/>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8" name="Text Box 8"/>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1019175</xdr:colOff>
      <xdr:row>37</xdr:row>
      <xdr:rowOff>28575</xdr:rowOff>
    </xdr:to>
    <xdr:sp macro="" textlink="">
      <xdr:nvSpPr>
        <xdr:cNvPr id="9" name="Text Box 11"/>
        <xdr:cNvSpPr txBox="1">
          <a:spLocks noChangeArrowheads="1"/>
        </xdr:cNvSpPr>
      </xdr:nvSpPr>
      <xdr:spPr bwMode="auto">
        <a:xfrm>
          <a:off x="2447925" y="52339875"/>
          <a:ext cx="0" cy="28575"/>
        </a:xfrm>
        <a:prstGeom prst="rect">
          <a:avLst/>
        </a:prstGeom>
        <a:noFill/>
        <a:ln w="9525">
          <a:noFill/>
          <a:miter lim="800000"/>
          <a:headEnd/>
          <a:tailEnd/>
        </a:ln>
      </xdr:spPr>
    </xdr:sp>
    <xdr:clientData/>
  </xdr:twoCellAnchor>
  <xdr:twoCellAnchor editAs="oneCell">
    <xdr:from>
      <xdr:col>3</xdr:col>
      <xdr:colOff>523875</xdr:colOff>
      <xdr:row>37</xdr:row>
      <xdr:rowOff>0</xdr:rowOff>
    </xdr:from>
    <xdr:to>
      <xdr:col>3</xdr:col>
      <xdr:colOff>609600</xdr:colOff>
      <xdr:row>37</xdr:row>
      <xdr:rowOff>9525</xdr:rowOff>
    </xdr:to>
    <xdr:sp macro="" textlink="">
      <xdr:nvSpPr>
        <xdr:cNvPr id="10" name="Text Box 63"/>
        <xdr:cNvSpPr txBox="1">
          <a:spLocks noChangeArrowheads="1"/>
        </xdr:cNvSpPr>
      </xdr:nvSpPr>
      <xdr:spPr bwMode="auto">
        <a:xfrm>
          <a:off x="1952625" y="52339875"/>
          <a:ext cx="85725" cy="9525"/>
        </a:xfrm>
        <a:prstGeom prst="rect">
          <a:avLst/>
        </a:prstGeom>
        <a:noFill/>
        <a:ln w="9525">
          <a:noFill/>
          <a:miter lim="800000"/>
          <a:headEnd/>
          <a:tailEnd/>
        </a:ln>
      </xdr:spPr>
    </xdr:sp>
    <xdr:clientData/>
  </xdr:twoCellAnchor>
  <xdr:twoCellAnchor editAs="oneCell">
    <xdr:from>
      <xdr:col>3</xdr:col>
      <xdr:colOff>714375</xdr:colOff>
      <xdr:row>37</xdr:row>
      <xdr:rowOff>0</xdr:rowOff>
    </xdr:from>
    <xdr:to>
      <xdr:col>3</xdr:col>
      <xdr:colOff>714375</xdr:colOff>
      <xdr:row>37</xdr:row>
      <xdr:rowOff>28575</xdr:rowOff>
    </xdr:to>
    <xdr:sp macro="" textlink="">
      <xdr:nvSpPr>
        <xdr:cNvPr id="11" name="Text Box 68"/>
        <xdr:cNvSpPr txBox="1">
          <a:spLocks noChangeArrowheads="1"/>
        </xdr:cNvSpPr>
      </xdr:nvSpPr>
      <xdr:spPr bwMode="auto">
        <a:xfrm>
          <a:off x="2143125" y="52339875"/>
          <a:ext cx="0" cy="28575"/>
        </a:xfrm>
        <a:prstGeom prst="rect">
          <a:avLst/>
        </a:prstGeom>
        <a:noFill/>
        <a:ln w="9525">
          <a:noFill/>
          <a:miter lim="800000"/>
          <a:headEnd/>
          <a:tailEnd/>
        </a:ln>
      </xdr:spPr>
    </xdr:sp>
    <xdr:clientData/>
  </xdr:twoCellAnchor>
  <xdr:twoCellAnchor editAs="oneCell">
    <xdr:from>
      <xdr:col>3</xdr:col>
      <xdr:colOff>123825</xdr:colOff>
      <xdr:row>37</xdr:row>
      <xdr:rowOff>0</xdr:rowOff>
    </xdr:from>
    <xdr:to>
      <xdr:col>3</xdr:col>
      <xdr:colOff>523875</xdr:colOff>
      <xdr:row>37</xdr:row>
      <xdr:rowOff>0</xdr:rowOff>
    </xdr:to>
    <xdr:sp macro="" textlink="">
      <xdr:nvSpPr>
        <xdr:cNvPr id="12" name="Text Box 71"/>
        <xdr:cNvSpPr txBox="1">
          <a:spLocks noChangeArrowheads="1"/>
        </xdr:cNvSpPr>
      </xdr:nvSpPr>
      <xdr:spPr bwMode="auto">
        <a:xfrm rot="313457">
          <a:off x="1552575" y="52339875"/>
          <a:ext cx="400050" cy="0"/>
        </a:xfrm>
        <a:prstGeom prst="rect">
          <a:avLst/>
        </a:prstGeom>
        <a:noFill/>
        <a:ln w="9525">
          <a:noFill/>
          <a:miter lim="800000"/>
          <a:headEnd/>
          <a:tailEnd/>
        </a:ln>
      </xdr:spPr>
    </xdr:sp>
    <xdr:clientData/>
  </xdr:twoCellAnchor>
  <xdr:twoCellAnchor editAs="oneCell">
    <xdr:from>
      <xdr:col>3</xdr:col>
      <xdr:colOff>438150</xdr:colOff>
      <xdr:row>37</xdr:row>
      <xdr:rowOff>0</xdr:rowOff>
    </xdr:from>
    <xdr:to>
      <xdr:col>3</xdr:col>
      <xdr:colOff>613410</xdr:colOff>
      <xdr:row>37</xdr:row>
      <xdr:rowOff>7493</xdr:rowOff>
    </xdr:to>
    <xdr:sp macro="" textlink="">
      <xdr:nvSpPr>
        <xdr:cNvPr id="13" name="Text Box 72"/>
        <xdr:cNvSpPr txBox="1">
          <a:spLocks noChangeArrowheads="1"/>
        </xdr:cNvSpPr>
      </xdr:nvSpPr>
      <xdr:spPr bwMode="auto">
        <a:xfrm>
          <a:off x="1866900" y="5233987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37</xdr:row>
      <xdr:rowOff>0</xdr:rowOff>
    </xdr:from>
    <xdr:ext cx="194454" cy="240740"/>
    <xdr:sp macro="" textlink="">
      <xdr:nvSpPr>
        <xdr:cNvPr id="14" name="TextBox 13"/>
        <xdr:cNvSpPr txBox="1"/>
      </xdr:nvSpPr>
      <xdr:spPr>
        <a:xfrm>
          <a:off x="933450" y="523398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66675</xdr:rowOff>
    </xdr:from>
    <xdr:ext cx="194454" cy="240740"/>
    <xdr:sp macro="" textlink="">
      <xdr:nvSpPr>
        <xdr:cNvPr id="15" name="TextBox 14"/>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39</xdr:row>
      <xdr:rowOff>304800</xdr:rowOff>
    </xdr:from>
    <xdr:to>
      <xdr:col>3</xdr:col>
      <xdr:colOff>609600</xdr:colOff>
      <xdr:row>41</xdr:row>
      <xdr:rowOff>2899</xdr:rowOff>
    </xdr:to>
    <xdr:sp macro="" textlink="">
      <xdr:nvSpPr>
        <xdr:cNvPr id="16"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17" name="Text Box 29"/>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18"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96493</xdr:rowOff>
    </xdr:to>
    <xdr:sp macro="" textlink="">
      <xdr:nvSpPr>
        <xdr:cNvPr id="19"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0"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438150</xdr:colOff>
      <xdr:row>39</xdr:row>
      <xdr:rowOff>257175</xdr:rowOff>
    </xdr:from>
    <xdr:to>
      <xdr:col>3</xdr:col>
      <xdr:colOff>609600</xdr:colOff>
      <xdr:row>41</xdr:row>
      <xdr:rowOff>50524</xdr:rowOff>
    </xdr:to>
    <xdr:sp macro="" textlink="">
      <xdr:nvSpPr>
        <xdr:cNvPr id="21" name="Text Box 72"/>
        <xdr:cNvSpPr txBox="1">
          <a:spLocks noChangeArrowheads="1"/>
        </xdr:cNvSpPr>
      </xdr:nvSpPr>
      <xdr:spPr bwMode="auto">
        <a:xfrm>
          <a:off x="1866900" y="52911375"/>
          <a:ext cx="17145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2" name="Text Box 29"/>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3"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96493</xdr:rowOff>
    </xdr:to>
    <xdr:sp macro="" textlink="">
      <xdr:nvSpPr>
        <xdr:cNvPr id="24"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5"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6"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7"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9"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30"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31"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32"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33"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34"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5"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36"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37"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0</xdr:rowOff>
    </xdr:from>
    <xdr:to>
      <xdr:col>3</xdr:col>
      <xdr:colOff>609600</xdr:colOff>
      <xdr:row>39</xdr:row>
      <xdr:rowOff>95250</xdr:rowOff>
    </xdr:to>
    <xdr:sp macro="" textlink="">
      <xdr:nvSpPr>
        <xdr:cNvPr id="38" name="Text Box 8"/>
        <xdr:cNvSpPr txBox="1">
          <a:spLocks noChangeArrowheads="1"/>
        </xdr:cNvSpPr>
      </xdr:nvSpPr>
      <xdr:spPr bwMode="auto">
        <a:xfrm>
          <a:off x="1952625" y="52720875"/>
          <a:ext cx="85725"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95250</xdr:rowOff>
    </xdr:to>
    <xdr:sp macro="" textlink="">
      <xdr:nvSpPr>
        <xdr:cNvPr id="39" name="Text Box 68"/>
        <xdr:cNvSpPr txBox="1">
          <a:spLocks noChangeArrowheads="1"/>
        </xdr:cNvSpPr>
      </xdr:nvSpPr>
      <xdr:spPr bwMode="auto">
        <a:xfrm>
          <a:off x="1876425" y="52720875"/>
          <a:ext cx="161925"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40" name="Text Box 1"/>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41"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95250</xdr:rowOff>
    </xdr:to>
    <xdr:sp macro="" textlink="">
      <xdr:nvSpPr>
        <xdr:cNvPr id="42" name="Text Box 68"/>
        <xdr:cNvSpPr txBox="1">
          <a:spLocks noChangeArrowheads="1"/>
        </xdr:cNvSpPr>
      </xdr:nvSpPr>
      <xdr:spPr bwMode="auto">
        <a:xfrm>
          <a:off x="1876425" y="52720875"/>
          <a:ext cx="161925" cy="9525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43"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44"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45"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46"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47"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48"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49"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50"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51"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52"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53"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54"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55"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56"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57"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58"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59"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60"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61"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62"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63"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64"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65"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66"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67"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68"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69"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70"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71"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72"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73"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74"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75"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76"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77"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78"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79"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80"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81"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82"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83"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84"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85"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86"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87"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88"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89"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90"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91"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92"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93"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94"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95"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96"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97"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98"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99"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0"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1"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2"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3"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4"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5"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6"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7"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8"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09"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0"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1"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2"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3"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4"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5"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6"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7"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8"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119"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120"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0</xdr:rowOff>
    </xdr:from>
    <xdr:to>
      <xdr:col>3</xdr:col>
      <xdr:colOff>609600</xdr:colOff>
      <xdr:row>39</xdr:row>
      <xdr:rowOff>104775</xdr:rowOff>
    </xdr:to>
    <xdr:sp macro="" textlink="">
      <xdr:nvSpPr>
        <xdr:cNvPr id="121" name="Text Box 55"/>
        <xdr:cNvSpPr txBox="1">
          <a:spLocks noChangeArrowheads="1"/>
        </xdr:cNvSpPr>
      </xdr:nvSpPr>
      <xdr:spPr bwMode="auto">
        <a:xfrm>
          <a:off x="1952625" y="52720875"/>
          <a:ext cx="857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22"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23"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124"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25"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26"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27"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28"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29"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130"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131"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32"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33"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34"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35"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36"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37"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138"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139"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40"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41"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42"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43"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44"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45"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46"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47"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148"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49"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50"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51"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52"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53"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154"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438150</xdr:colOff>
      <xdr:row>39</xdr:row>
      <xdr:rowOff>257175</xdr:rowOff>
    </xdr:from>
    <xdr:to>
      <xdr:col>3</xdr:col>
      <xdr:colOff>609600</xdr:colOff>
      <xdr:row>41</xdr:row>
      <xdr:rowOff>50524</xdr:rowOff>
    </xdr:to>
    <xdr:sp macro="" textlink="">
      <xdr:nvSpPr>
        <xdr:cNvPr id="155" name="Text Box 72"/>
        <xdr:cNvSpPr txBox="1">
          <a:spLocks noChangeArrowheads="1"/>
        </xdr:cNvSpPr>
      </xdr:nvSpPr>
      <xdr:spPr bwMode="auto">
        <a:xfrm>
          <a:off x="1866900" y="52911375"/>
          <a:ext cx="171450" cy="0"/>
        </a:xfrm>
        <a:prstGeom prst="rect">
          <a:avLst/>
        </a:prstGeom>
        <a:noFill/>
        <a:ln w="9525">
          <a:noFill/>
          <a:miter lim="800000"/>
          <a:headEnd/>
          <a:tailEnd/>
        </a:ln>
      </xdr:spPr>
    </xdr:sp>
    <xdr:clientData/>
  </xdr:twoCellAnchor>
  <xdr:twoCellAnchor editAs="oneCell">
    <xdr:from>
      <xdr:col>3</xdr:col>
      <xdr:colOff>523875</xdr:colOff>
      <xdr:row>39</xdr:row>
      <xdr:rowOff>0</xdr:rowOff>
    </xdr:from>
    <xdr:to>
      <xdr:col>3</xdr:col>
      <xdr:colOff>609600</xdr:colOff>
      <xdr:row>39</xdr:row>
      <xdr:rowOff>104775</xdr:rowOff>
    </xdr:to>
    <xdr:sp macro="" textlink="">
      <xdr:nvSpPr>
        <xdr:cNvPr id="156" name="Text Box 55"/>
        <xdr:cNvSpPr txBox="1">
          <a:spLocks noChangeArrowheads="1"/>
        </xdr:cNvSpPr>
      </xdr:nvSpPr>
      <xdr:spPr bwMode="auto">
        <a:xfrm>
          <a:off x="1952625" y="52720875"/>
          <a:ext cx="857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57"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58"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159"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60"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61"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62"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63"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164"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165"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166"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67"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68"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169"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170"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71"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72"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73"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74"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175"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176"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177"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78"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79"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0"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1"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2"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3"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4"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5"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6"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7"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188"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oneCellAnchor>
    <xdr:from>
      <xdr:col>6</xdr:col>
      <xdr:colOff>66675</xdr:colOff>
      <xdr:row>36</xdr:row>
      <xdr:rowOff>66675</xdr:rowOff>
    </xdr:from>
    <xdr:ext cx="194454" cy="240740"/>
    <xdr:sp macro="" textlink="">
      <xdr:nvSpPr>
        <xdr:cNvPr id="189" name="TextBox 188"/>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37</xdr:row>
      <xdr:rowOff>0</xdr:rowOff>
    </xdr:from>
    <xdr:to>
      <xdr:col>3</xdr:col>
      <xdr:colOff>1020318</xdr:colOff>
      <xdr:row>37</xdr:row>
      <xdr:rowOff>29718</xdr:rowOff>
    </xdr:to>
    <xdr:sp macro="" textlink="">
      <xdr:nvSpPr>
        <xdr:cNvPr id="190" name="Text Box 44"/>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191" name="Text Box 50"/>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192" name="Text Box 52"/>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193" name="Text Box 55"/>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194" name="Text Box 39"/>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195" name="Text Box 8"/>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1019175</xdr:colOff>
      <xdr:row>37</xdr:row>
      <xdr:rowOff>28575</xdr:rowOff>
    </xdr:to>
    <xdr:sp macro="" textlink="">
      <xdr:nvSpPr>
        <xdr:cNvPr id="196" name="Text Box 11"/>
        <xdr:cNvSpPr txBox="1">
          <a:spLocks noChangeArrowheads="1"/>
        </xdr:cNvSpPr>
      </xdr:nvSpPr>
      <xdr:spPr bwMode="auto">
        <a:xfrm>
          <a:off x="2447925" y="52339875"/>
          <a:ext cx="0" cy="28575"/>
        </a:xfrm>
        <a:prstGeom prst="rect">
          <a:avLst/>
        </a:prstGeom>
        <a:noFill/>
        <a:ln w="9525">
          <a:noFill/>
          <a:miter lim="800000"/>
          <a:headEnd/>
          <a:tailEnd/>
        </a:ln>
      </xdr:spPr>
    </xdr:sp>
    <xdr:clientData/>
  </xdr:twoCellAnchor>
  <xdr:twoCellAnchor editAs="oneCell">
    <xdr:from>
      <xdr:col>3</xdr:col>
      <xdr:colOff>523875</xdr:colOff>
      <xdr:row>37</xdr:row>
      <xdr:rowOff>0</xdr:rowOff>
    </xdr:from>
    <xdr:to>
      <xdr:col>3</xdr:col>
      <xdr:colOff>609600</xdr:colOff>
      <xdr:row>37</xdr:row>
      <xdr:rowOff>9525</xdr:rowOff>
    </xdr:to>
    <xdr:sp macro="" textlink="">
      <xdr:nvSpPr>
        <xdr:cNvPr id="197" name="Text Box 63"/>
        <xdr:cNvSpPr txBox="1">
          <a:spLocks noChangeArrowheads="1"/>
        </xdr:cNvSpPr>
      </xdr:nvSpPr>
      <xdr:spPr bwMode="auto">
        <a:xfrm>
          <a:off x="1952625" y="52339875"/>
          <a:ext cx="85725" cy="9525"/>
        </a:xfrm>
        <a:prstGeom prst="rect">
          <a:avLst/>
        </a:prstGeom>
        <a:noFill/>
        <a:ln w="9525">
          <a:noFill/>
          <a:miter lim="800000"/>
          <a:headEnd/>
          <a:tailEnd/>
        </a:ln>
      </xdr:spPr>
    </xdr:sp>
    <xdr:clientData/>
  </xdr:twoCellAnchor>
  <xdr:twoCellAnchor editAs="oneCell">
    <xdr:from>
      <xdr:col>3</xdr:col>
      <xdr:colOff>714375</xdr:colOff>
      <xdr:row>37</xdr:row>
      <xdr:rowOff>0</xdr:rowOff>
    </xdr:from>
    <xdr:to>
      <xdr:col>3</xdr:col>
      <xdr:colOff>714375</xdr:colOff>
      <xdr:row>37</xdr:row>
      <xdr:rowOff>28575</xdr:rowOff>
    </xdr:to>
    <xdr:sp macro="" textlink="">
      <xdr:nvSpPr>
        <xdr:cNvPr id="198" name="Text Box 68"/>
        <xdr:cNvSpPr txBox="1">
          <a:spLocks noChangeArrowheads="1"/>
        </xdr:cNvSpPr>
      </xdr:nvSpPr>
      <xdr:spPr bwMode="auto">
        <a:xfrm>
          <a:off x="2143125" y="52339875"/>
          <a:ext cx="0" cy="28575"/>
        </a:xfrm>
        <a:prstGeom prst="rect">
          <a:avLst/>
        </a:prstGeom>
        <a:noFill/>
        <a:ln w="9525">
          <a:noFill/>
          <a:miter lim="800000"/>
          <a:headEnd/>
          <a:tailEnd/>
        </a:ln>
      </xdr:spPr>
    </xdr:sp>
    <xdr:clientData/>
  </xdr:twoCellAnchor>
  <xdr:twoCellAnchor editAs="oneCell">
    <xdr:from>
      <xdr:col>3</xdr:col>
      <xdr:colOff>123825</xdr:colOff>
      <xdr:row>37</xdr:row>
      <xdr:rowOff>0</xdr:rowOff>
    </xdr:from>
    <xdr:to>
      <xdr:col>3</xdr:col>
      <xdr:colOff>523875</xdr:colOff>
      <xdr:row>37</xdr:row>
      <xdr:rowOff>0</xdr:rowOff>
    </xdr:to>
    <xdr:sp macro="" textlink="">
      <xdr:nvSpPr>
        <xdr:cNvPr id="199" name="Text Box 71"/>
        <xdr:cNvSpPr txBox="1">
          <a:spLocks noChangeArrowheads="1"/>
        </xdr:cNvSpPr>
      </xdr:nvSpPr>
      <xdr:spPr bwMode="auto">
        <a:xfrm rot="313457">
          <a:off x="1552575" y="52339875"/>
          <a:ext cx="400050" cy="0"/>
        </a:xfrm>
        <a:prstGeom prst="rect">
          <a:avLst/>
        </a:prstGeom>
        <a:noFill/>
        <a:ln w="9525">
          <a:noFill/>
          <a:miter lim="800000"/>
          <a:headEnd/>
          <a:tailEnd/>
        </a:ln>
      </xdr:spPr>
    </xdr:sp>
    <xdr:clientData/>
  </xdr:twoCellAnchor>
  <xdr:twoCellAnchor editAs="oneCell">
    <xdr:from>
      <xdr:col>3</xdr:col>
      <xdr:colOff>438150</xdr:colOff>
      <xdr:row>37</xdr:row>
      <xdr:rowOff>0</xdr:rowOff>
    </xdr:from>
    <xdr:to>
      <xdr:col>3</xdr:col>
      <xdr:colOff>613410</xdr:colOff>
      <xdr:row>37</xdr:row>
      <xdr:rowOff>7493</xdr:rowOff>
    </xdr:to>
    <xdr:sp macro="" textlink="">
      <xdr:nvSpPr>
        <xdr:cNvPr id="200" name="Text Box 72"/>
        <xdr:cNvSpPr txBox="1">
          <a:spLocks noChangeArrowheads="1"/>
        </xdr:cNvSpPr>
      </xdr:nvSpPr>
      <xdr:spPr bwMode="auto">
        <a:xfrm>
          <a:off x="1866900" y="5233987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37</xdr:row>
      <xdr:rowOff>0</xdr:rowOff>
    </xdr:from>
    <xdr:ext cx="194454" cy="240740"/>
    <xdr:sp macro="" textlink="">
      <xdr:nvSpPr>
        <xdr:cNvPr id="201" name="TextBox 200"/>
        <xdr:cNvSpPr txBox="1"/>
      </xdr:nvSpPr>
      <xdr:spPr>
        <a:xfrm>
          <a:off x="933450" y="523398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66675</xdr:rowOff>
    </xdr:from>
    <xdr:ext cx="194454" cy="240740"/>
    <xdr:sp macro="" textlink="">
      <xdr:nvSpPr>
        <xdr:cNvPr id="202" name="TextBox 201"/>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39</xdr:row>
      <xdr:rowOff>304800</xdr:rowOff>
    </xdr:from>
    <xdr:to>
      <xdr:col>3</xdr:col>
      <xdr:colOff>609600</xdr:colOff>
      <xdr:row>41</xdr:row>
      <xdr:rowOff>2899</xdr:rowOff>
    </xdr:to>
    <xdr:sp macro="" textlink="">
      <xdr:nvSpPr>
        <xdr:cNvPr id="203"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04" name="Text Box 29"/>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05"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96493</xdr:rowOff>
    </xdr:to>
    <xdr:sp macro="" textlink="">
      <xdr:nvSpPr>
        <xdr:cNvPr id="206"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07"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438150</xdr:colOff>
      <xdr:row>39</xdr:row>
      <xdr:rowOff>257175</xdr:rowOff>
    </xdr:from>
    <xdr:to>
      <xdr:col>3</xdr:col>
      <xdr:colOff>609600</xdr:colOff>
      <xdr:row>41</xdr:row>
      <xdr:rowOff>50524</xdr:rowOff>
    </xdr:to>
    <xdr:sp macro="" textlink="">
      <xdr:nvSpPr>
        <xdr:cNvPr id="208" name="Text Box 72"/>
        <xdr:cNvSpPr txBox="1">
          <a:spLocks noChangeArrowheads="1"/>
        </xdr:cNvSpPr>
      </xdr:nvSpPr>
      <xdr:spPr bwMode="auto">
        <a:xfrm>
          <a:off x="1866900" y="52911375"/>
          <a:ext cx="17145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09" name="Text Box 29"/>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10"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96493</xdr:rowOff>
    </xdr:to>
    <xdr:sp macro="" textlink="">
      <xdr:nvSpPr>
        <xdr:cNvPr id="211"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12"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13"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14"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15"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16"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17"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18"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19"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20"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21"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22"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23"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24"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0</xdr:rowOff>
    </xdr:from>
    <xdr:to>
      <xdr:col>3</xdr:col>
      <xdr:colOff>609600</xdr:colOff>
      <xdr:row>39</xdr:row>
      <xdr:rowOff>95250</xdr:rowOff>
    </xdr:to>
    <xdr:sp macro="" textlink="">
      <xdr:nvSpPr>
        <xdr:cNvPr id="225" name="Text Box 8"/>
        <xdr:cNvSpPr txBox="1">
          <a:spLocks noChangeArrowheads="1"/>
        </xdr:cNvSpPr>
      </xdr:nvSpPr>
      <xdr:spPr bwMode="auto">
        <a:xfrm>
          <a:off x="1952625" y="52720875"/>
          <a:ext cx="85725"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95250</xdr:rowOff>
    </xdr:to>
    <xdr:sp macro="" textlink="">
      <xdr:nvSpPr>
        <xdr:cNvPr id="226" name="Text Box 68"/>
        <xdr:cNvSpPr txBox="1">
          <a:spLocks noChangeArrowheads="1"/>
        </xdr:cNvSpPr>
      </xdr:nvSpPr>
      <xdr:spPr bwMode="auto">
        <a:xfrm>
          <a:off x="1876425" y="52720875"/>
          <a:ext cx="161925"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27" name="Text Box 1"/>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28"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95250</xdr:rowOff>
    </xdr:to>
    <xdr:sp macro="" textlink="">
      <xdr:nvSpPr>
        <xdr:cNvPr id="229" name="Text Box 68"/>
        <xdr:cNvSpPr txBox="1">
          <a:spLocks noChangeArrowheads="1"/>
        </xdr:cNvSpPr>
      </xdr:nvSpPr>
      <xdr:spPr bwMode="auto">
        <a:xfrm>
          <a:off x="1876425" y="52720875"/>
          <a:ext cx="161925" cy="9525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30"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31"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32"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33"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34"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35"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36"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37"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38"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39"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0"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41"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2"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3"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44"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5"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6"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7"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8"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49"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50"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51"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52"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53"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54"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55"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56"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57"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58"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59"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60"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61"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62"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63"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64"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65"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66"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67"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68"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69"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70"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71"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72"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73"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74"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75"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76"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77" name="Text Box 8"/>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278"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79"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280"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85725</xdr:rowOff>
    </xdr:to>
    <xdr:sp macro="" textlink="">
      <xdr:nvSpPr>
        <xdr:cNvPr id="281" name="Text Box 22"/>
        <xdr:cNvSpPr txBox="1">
          <a:spLocks noChangeArrowheads="1"/>
        </xdr:cNvSpPr>
      </xdr:nvSpPr>
      <xdr:spPr bwMode="auto">
        <a:xfrm>
          <a:off x="1952625" y="52749450"/>
          <a:ext cx="85725" cy="571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609600</xdr:colOff>
      <xdr:row>39</xdr:row>
      <xdr:rowOff>104775</xdr:rowOff>
    </xdr:to>
    <xdr:sp macro="" textlink="">
      <xdr:nvSpPr>
        <xdr:cNvPr id="282" name="Text Box 68"/>
        <xdr:cNvSpPr txBox="1">
          <a:spLocks noChangeArrowheads="1"/>
        </xdr:cNvSpPr>
      </xdr:nvSpPr>
      <xdr:spPr bwMode="auto">
        <a:xfrm>
          <a:off x="1876425" y="52720875"/>
          <a:ext cx="161925"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3"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4"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5"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6"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7"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8"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89"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0"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1"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2"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3"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4"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5"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6"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7"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8"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299"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00"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01"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02"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03"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04"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05"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609600</xdr:colOff>
      <xdr:row>41</xdr:row>
      <xdr:rowOff>2899</xdr:rowOff>
    </xdr:to>
    <xdr:sp macro="" textlink="">
      <xdr:nvSpPr>
        <xdr:cNvPr id="306" name="Text Box 68"/>
        <xdr:cNvSpPr txBox="1">
          <a:spLocks noChangeArrowheads="1"/>
        </xdr:cNvSpPr>
      </xdr:nvSpPr>
      <xdr:spPr bwMode="auto">
        <a:xfrm>
          <a:off x="1876425" y="52911375"/>
          <a:ext cx="161925" cy="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307"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523875</xdr:colOff>
      <xdr:row>39</xdr:row>
      <xdr:rowOff>0</xdr:rowOff>
    </xdr:from>
    <xdr:to>
      <xdr:col>3</xdr:col>
      <xdr:colOff>609600</xdr:colOff>
      <xdr:row>39</xdr:row>
      <xdr:rowOff>104775</xdr:rowOff>
    </xdr:to>
    <xdr:sp macro="" textlink="">
      <xdr:nvSpPr>
        <xdr:cNvPr id="308" name="Text Box 55"/>
        <xdr:cNvSpPr txBox="1">
          <a:spLocks noChangeArrowheads="1"/>
        </xdr:cNvSpPr>
      </xdr:nvSpPr>
      <xdr:spPr bwMode="auto">
        <a:xfrm>
          <a:off x="1952625" y="52720875"/>
          <a:ext cx="857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09"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10"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311"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12"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13"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14"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15"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16"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317"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318"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19"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20"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21"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22"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23"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24"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325"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326"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27"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28"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29"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30"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31"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32"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33"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34"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335"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36"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37"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38"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39"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40"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341"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438150</xdr:colOff>
      <xdr:row>39</xdr:row>
      <xdr:rowOff>257175</xdr:rowOff>
    </xdr:from>
    <xdr:to>
      <xdr:col>3</xdr:col>
      <xdr:colOff>609600</xdr:colOff>
      <xdr:row>41</xdr:row>
      <xdr:rowOff>50524</xdr:rowOff>
    </xdr:to>
    <xdr:sp macro="" textlink="">
      <xdr:nvSpPr>
        <xdr:cNvPr id="342" name="Text Box 72"/>
        <xdr:cNvSpPr txBox="1">
          <a:spLocks noChangeArrowheads="1"/>
        </xdr:cNvSpPr>
      </xdr:nvSpPr>
      <xdr:spPr bwMode="auto">
        <a:xfrm>
          <a:off x="1866900" y="52911375"/>
          <a:ext cx="171450" cy="0"/>
        </a:xfrm>
        <a:prstGeom prst="rect">
          <a:avLst/>
        </a:prstGeom>
        <a:noFill/>
        <a:ln w="9525">
          <a:noFill/>
          <a:miter lim="800000"/>
          <a:headEnd/>
          <a:tailEnd/>
        </a:ln>
      </xdr:spPr>
    </xdr:sp>
    <xdr:clientData/>
  </xdr:twoCellAnchor>
  <xdr:twoCellAnchor editAs="oneCell">
    <xdr:from>
      <xdr:col>3</xdr:col>
      <xdr:colOff>523875</xdr:colOff>
      <xdr:row>39</xdr:row>
      <xdr:rowOff>0</xdr:rowOff>
    </xdr:from>
    <xdr:to>
      <xdr:col>3</xdr:col>
      <xdr:colOff>609600</xdr:colOff>
      <xdr:row>39</xdr:row>
      <xdr:rowOff>104775</xdr:rowOff>
    </xdr:to>
    <xdr:sp macro="" textlink="">
      <xdr:nvSpPr>
        <xdr:cNvPr id="343" name="Text Box 55"/>
        <xdr:cNvSpPr txBox="1">
          <a:spLocks noChangeArrowheads="1"/>
        </xdr:cNvSpPr>
      </xdr:nvSpPr>
      <xdr:spPr bwMode="auto">
        <a:xfrm>
          <a:off x="1952625" y="52720875"/>
          <a:ext cx="857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44"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45"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346"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47" name="Text Box 22"/>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48"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49"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50"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523875</xdr:colOff>
      <xdr:row>39</xdr:row>
      <xdr:rowOff>28575</xdr:rowOff>
    </xdr:from>
    <xdr:to>
      <xdr:col>3</xdr:col>
      <xdr:colOff>609600</xdr:colOff>
      <xdr:row>39</xdr:row>
      <xdr:rowOff>95250</xdr:rowOff>
    </xdr:to>
    <xdr:sp macro="" textlink="">
      <xdr:nvSpPr>
        <xdr:cNvPr id="351" name="Text Box 8"/>
        <xdr:cNvSpPr txBox="1">
          <a:spLocks noChangeArrowheads="1"/>
        </xdr:cNvSpPr>
      </xdr:nvSpPr>
      <xdr:spPr bwMode="auto">
        <a:xfrm>
          <a:off x="1952625" y="52749450"/>
          <a:ext cx="85725" cy="666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352"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353"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54"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55"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714375</xdr:colOff>
      <xdr:row>39</xdr:row>
      <xdr:rowOff>114300</xdr:rowOff>
    </xdr:from>
    <xdr:to>
      <xdr:col>3</xdr:col>
      <xdr:colOff>714375</xdr:colOff>
      <xdr:row>39</xdr:row>
      <xdr:rowOff>114300</xdr:rowOff>
    </xdr:to>
    <xdr:sp macro="" textlink="">
      <xdr:nvSpPr>
        <xdr:cNvPr id="356" name="Text Box 68"/>
        <xdr:cNvSpPr txBox="1">
          <a:spLocks noChangeArrowheads="1"/>
        </xdr:cNvSpPr>
      </xdr:nvSpPr>
      <xdr:spPr bwMode="auto">
        <a:xfrm>
          <a:off x="2143125" y="52835175"/>
          <a:ext cx="0" cy="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357"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58"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59"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60"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61"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104775</xdr:rowOff>
    </xdr:to>
    <xdr:sp macro="" textlink="">
      <xdr:nvSpPr>
        <xdr:cNvPr id="362" name="Text Box 68"/>
        <xdr:cNvSpPr txBox="1">
          <a:spLocks noChangeArrowheads="1"/>
        </xdr:cNvSpPr>
      </xdr:nvSpPr>
      <xdr:spPr bwMode="auto">
        <a:xfrm>
          <a:off x="1876425" y="527208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363"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39</xdr:row>
      <xdr:rowOff>0</xdr:rowOff>
    </xdr:from>
    <xdr:to>
      <xdr:col>3</xdr:col>
      <xdr:colOff>600075</xdr:colOff>
      <xdr:row>39</xdr:row>
      <xdr:rowOff>95250</xdr:rowOff>
    </xdr:to>
    <xdr:sp macro="" textlink="">
      <xdr:nvSpPr>
        <xdr:cNvPr id="364" name="Text Box 68"/>
        <xdr:cNvSpPr txBox="1">
          <a:spLocks noChangeArrowheads="1"/>
        </xdr:cNvSpPr>
      </xdr:nvSpPr>
      <xdr:spPr bwMode="auto">
        <a:xfrm>
          <a:off x="1876425" y="52720875"/>
          <a:ext cx="152400" cy="9525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65"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66"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67"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68"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69"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70"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71"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72"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73"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74"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twoCellAnchor editAs="oneCell">
    <xdr:from>
      <xdr:col>3</xdr:col>
      <xdr:colOff>447675</xdr:colOff>
      <xdr:row>39</xdr:row>
      <xdr:rowOff>304800</xdr:rowOff>
    </xdr:from>
    <xdr:to>
      <xdr:col>3</xdr:col>
      <xdr:colOff>600075</xdr:colOff>
      <xdr:row>41</xdr:row>
      <xdr:rowOff>2899</xdr:rowOff>
    </xdr:to>
    <xdr:sp macro="" textlink="">
      <xdr:nvSpPr>
        <xdr:cNvPr id="375" name="Text Box 68"/>
        <xdr:cNvSpPr txBox="1">
          <a:spLocks noChangeArrowheads="1"/>
        </xdr:cNvSpPr>
      </xdr:nvSpPr>
      <xdr:spPr bwMode="auto">
        <a:xfrm>
          <a:off x="1876425" y="52911375"/>
          <a:ext cx="152400" cy="0"/>
        </a:xfrm>
        <a:prstGeom prst="rect">
          <a:avLst/>
        </a:prstGeom>
        <a:noFill/>
        <a:ln w="9525">
          <a:noFill/>
          <a:miter lim="800000"/>
          <a:headEnd/>
          <a:tailEnd/>
        </a:ln>
      </xdr:spPr>
    </xdr:sp>
    <xdr:clientData/>
  </xdr:twoCellAnchor>
  <xdr:oneCellAnchor>
    <xdr:from>
      <xdr:col>6</xdr:col>
      <xdr:colOff>66675</xdr:colOff>
      <xdr:row>36</xdr:row>
      <xdr:rowOff>66675</xdr:rowOff>
    </xdr:from>
    <xdr:ext cx="194454" cy="240740"/>
    <xdr:sp macro="" textlink="">
      <xdr:nvSpPr>
        <xdr:cNvPr id="376" name="TextBox 375"/>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37</xdr:row>
      <xdr:rowOff>0</xdr:rowOff>
    </xdr:from>
    <xdr:to>
      <xdr:col>3</xdr:col>
      <xdr:colOff>1020318</xdr:colOff>
      <xdr:row>37</xdr:row>
      <xdr:rowOff>29718</xdr:rowOff>
    </xdr:to>
    <xdr:sp macro="" textlink="">
      <xdr:nvSpPr>
        <xdr:cNvPr id="377" name="Text Box 44"/>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378" name="Text Box 50"/>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379" name="Text Box 52"/>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380" name="Text Box 55"/>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381" name="Text Box 39"/>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382" name="Text Box 8"/>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1019175</xdr:colOff>
      <xdr:row>37</xdr:row>
      <xdr:rowOff>28575</xdr:rowOff>
    </xdr:to>
    <xdr:sp macro="" textlink="">
      <xdr:nvSpPr>
        <xdr:cNvPr id="383" name="Text Box 11"/>
        <xdr:cNvSpPr txBox="1">
          <a:spLocks noChangeArrowheads="1"/>
        </xdr:cNvSpPr>
      </xdr:nvSpPr>
      <xdr:spPr bwMode="auto">
        <a:xfrm>
          <a:off x="2447925" y="52339875"/>
          <a:ext cx="0" cy="28575"/>
        </a:xfrm>
        <a:prstGeom prst="rect">
          <a:avLst/>
        </a:prstGeom>
        <a:noFill/>
        <a:ln w="9525">
          <a:noFill/>
          <a:miter lim="800000"/>
          <a:headEnd/>
          <a:tailEnd/>
        </a:ln>
      </xdr:spPr>
    </xdr:sp>
    <xdr:clientData/>
  </xdr:twoCellAnchor>
  <xdr:twoCellAnchor editAs="oneCell">
    <xdr:from>
      <xdr:col>3</xdr:col>
      <xdr:colOff>523875</xdr:colOff>
      <xdr:row>37</xdr:row>
      <xdr:rowOff>0</xdr:rowOff>
    </xdr:from>
    <xdr:to>
      <xdr:col>3</xdr:col>
      <xdr:colOff>609600</xdr:colOff>
      <xdr:row>37</xdr:row>
      <xdr:rowOff>9525</xdr:rowOff>
    </xdr:to>
    <xdr:sp macro="" textlink="">
      <xdr:nvSpPr>
        <xdr:cNvPr id="384" name="Text Box 63"/>
        <xdr:cNvSpPr txBox="1">
          <a:spLocks noChangeArrowheads="1"/>
        </xdr:cNvSpPr>
      </xdr:nvSpPr>
      <xdr:spPr bwMode="auto">
        <a:xfrm>
          <a:off x="1952625" y="52339875"/>
          <a:ext cx="85725" cy="9525"/>
        </a:xfrm>
        <a:prstGeom prst="rect">
          <a:avLst/>
        </a:prstGeom>
        <a:noFill/>
        <a:ln w="9525">
          <a:noFill/>
          <a:miter lim="800000"/>
          <a:headEnd/>
          <a:tailEnd/>
        </a:ln>
      </xdr:spPr>
    </xdr:sp>
    <xdr:clientData/>
  </xdr:twoCellAnchor>
  <xdr:twoCellAnchor editAs="oneCell">
    <xdr:from>
      <xdr:col>3</xdr:col>
      <xdr:colOff>714375</xdr:colOff>
      <xdr:row>37</xdr:row>
      <xdr:rowOff>0</xdr:rowOff>
    </xdr:from>
    <xdr:to>
      <xdr:col>3</xdr:col>
      <xdr:colOff>714375</xdr:colOff>
      <xdr:row>37</xdr:row>
      <xdr:rowOff>28575</xdr:rowOff>
    </xdr:to>
    <xdr:sp macro="" textlink="">
      <xdr:nvSpPr>
        <xdr:cNvPr id="385" name="Text Box 68"/>
        <xdr:cNvSpPr txBox="1">
          <a:spLocks noChangeArrowheads="1"/>
        </xdr:cNvSpPr>
      </xdr:nvSpPr>
      <xdr:spPr bwMode="auto">
        <a:xfrm>
          <a:off x="2143125" y="52339875"/>
          <a:ext cx="0" cy="28575"/>
        </a:xfrm>
        <a:prstGeom prst="rect">
          <a:avLst/>
        </a:prstGeom>
        <a:noFill/>
        <a:ln w="9525">
          <a:noFill/>
          <a:miter lim="800000"/>
          <a:headEnd/>
          <a:tailEnd/>
        </a:ln>
      </xdr:spPr>
    </xdr:sp>
    <xdr:clientData/>
  </xdr:twoCellAnchor>
  <xdr:twoCellAnchor editAs="oneCell">
    <xdr:from>
      <xdr:col>3</xdr:col>
      <xdr:colOff>123825</xdr:colOff>
      <xdr:row>37</xdr:row>
      <xdr:rowOff>0</xdr:rowOff>
    </xdr:from>
    <xdr:to>
      <xdr:col>3</xdr:col>
      <xdr:colOff>523875</xdr:colOff>
      <xdr:row>37</xdr:row>
      <xdr:rowOff>0</xdr:rowOff>
    </xdr:to>
    <xdr:sp macro="" textlink="">
      <xdr:nvSpPr>
        <xdr:cNvPr id="386" name="Text Box 71"/>
        <xdr:cNvSpPr txBox="1">
          <a:spLocks noChangeArrowheads="1"/>
        </xdr:cNvSpPr>
      </xdr:nvSpPr>
      <xdr:spPr bwMode="auto">
        <a:xfrm rot="313457">
          <a:off x="1552575" y="52339875"/>
          <a:ext cx="400050" cy="0"/>
        </a:xfrm>
        <a:prstGeom prst="rect">
          <a:avLst/>
        </a:prstGeom>
        <a:noFill/>
        <a:ln w="9525">
          <a:noFill/>
          <a:miter lim="800000"/>
          <a:headEnd/>
          <a:tailEnd/>
        </a:ln>
      </xdr:spPr>
    </xdr:sp>
    <xdr:clientData/>
  </xdr:twoCellAnchor>
  <xdr:twoCellAnchor editAs="oneCell">
    <xdr:from>
      <xdr:col>3</xdr:col>
      <xdr:colOff>438150</xdr:colOff>
      <xdr:row>37</xdr:row>
      <xdr:rowOff>0</xdr:rowOff>
    </xdr:from>
    <xdr:to>
      <xdr:col>3</xdr:col>
      <xdr:colOff>613410</xdr:colOff>
      <xdr:row>37</xdr:row>
      <xdr:rowOff>7493</xdr:rowOff>
    </xdr:to>
    <xdr:sp macro="" textlink="">
      <xdr:nvSpPr>
        <xdr:cNvPr id="387" name="Text Box 72"/>
        <xdr:cNvSpPr txBox="1">
          <a:spLocks noChangeArrowheads="1"/>
        </xdr:cNvSpPr>
      </xdr:nvSpPr>
      <xdr:spPr bwMode="auto">
        <a:xfrm>
          <a:off x="1866900" y="5233987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37</xdr:row>
      <xdr:rowOff>0</xdr:rowOff>
    </xdr:from>
    <xdr:ext cx="194454" cy="240740"/>
    <xdr:sp macro="" textlink="">
      <xdr:nvSpPr>
        <xdr:cNvPr id="388" name="TextBox 387"/>
        <xdr:cNvSpPr txBox="1"/>
      </xdr:nvSpPr>
      <xdr:spPr>
        <a:xfrm>
          <a:off x="933450" y="523398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66675</xdr:rowOff>
    </xdr:from>
    <xdr:ext cx="194454" cy="240740"/>
    <xdr:sp macro="" textlink="">
      <xdr:nvSpPr>
        <xdr:cNvPr id="389" name="TextBox 388"/>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37</xdr:row>
      <xdr:rowOff>304800</xdr:rowOff>
    </xdr:from>
    <xdr:to>
      <xdr:col>3</xdr:col>
      <xdr:colOff>609600</xdr:colOff>
      <xdr:row>38</xdr:row>
      <xdr:rowOff>96493</xdr:rowOff>
    </xdr:to>
    <xdr:sp macro="" textlink="">
      <xdr:nvSpPr>
        <xdr:cNvPr id="390"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96493</xdr:rowOff>
    </xdr:to>
    <xdr:sp macro="" textlink="">
      <xdr:nvSpPr>
        <xdr:cNvPr id="391"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2"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3"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4"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5"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6"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7"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8"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399"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00"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01"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02"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03"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04"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05"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06"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07"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08"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09"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10"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11"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12"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13"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14"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oneCellAnchor>
    <xdr:from>
      <xdr:col>6</xdr:col>
      <xdr:colOff>66675</xdr:colOff>
      <xdr:row>36</xdr:row>
      <xdr:rowOff>66675</xdr:rowOff>
    </xdr:from>
    <xdr:ext cx="194454" cy="240740"/>
    <xdr:sp macro="" textlink="">
      <xdr:nvSpPr>
        <xdr:cNvPr id="415" name="TextBox 414"/>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1019175</xdr:colOff>
      <xdr:row>37</xdr:row>
      <xdr:rowOff>0</xdr:rowOff>
    </xdr:from>
    <xdr:to>
      <xdr:col>3</xdr:col>
      <xdr:colOff>1020318</xdr:colOff>
      <xdr:row>37</xdr:row>
      <xdr:rowOff>29718</xdr:rowOff>
    </xdr:to>
    <xdr:sp macro="" textlink="">
      <xdr:nvSpPr>
        <xdr:cNvPr id="416" name="Text Box 44"/>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0.40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417" name="Text Box 50"/>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418" name="Text Box 52"/>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419" name="Text Box 55"/>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1020318</xdr:colOff>
      <xdr:row>37</xdr:row>
      <xdr:rowOff>29718</xdr:rowOff>
    </xdr:to>
    <xdr:sp macro="" textlink="">
      <xdr:nvSpPr>
        <xdr:cNvPr id="420" name="Text Box 39"/>
        <xdr:cNvSpPr txBox="1">
          <a:spLocks noChangeArrowheads="1"/>
        </xdr:cNvSpPr>
      </xdr:nvSpPr>
      <xdr:spPr bwMode="auto">
        <a:xfrm>
          <a:off x="2447925" y="52339875"/>
          <a:ext cx="1143" cy="29718"/>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0.150</a:t>
          </a:r>
        </a:p>
      </xdr:txBody>
    </xdr:sp>
    <xdr:clientData/>
  </xdr:twoCellAnchor>
  <xdr:twoCellAnchor editAs="oneCell">
    <xdr:from>
      <xdr:col>3</xdr:col>
      <xdr:colOff>523875</xdr:colOff>
      <xdr:row>37</xdr:row>
      <xdr:rowOff>0</xdr:rowOff>
    </xdr:from>
    <xdr:to>
      <xdr:col>3</xdr:col>
      <xdr:colOff>609600</xdr:colOff>
      <xdr:row>37</xdr:row>
      <xdr:rowOff>28575</xdr:rowOff>
    </xdr:to>
    <xdr:sp macro="" textlink="">
      <xdr:nvSpPr>
        <xdr:cNvPr id="421" name="Text Box 8"/>
        <xdr:cNvSpPr txBox="1">
          <a:spLocks noChangeArrowheads="1"/>
        </xdr:cNvSpPr>
      </xdr:nvSpPr>
      <xdr:spPr bwMode="auto">
        <a:xfrm>
          <a:off x="1952625" y="52339875"/>
          <a:ext cx="85725" cy="28575"/>
        </a:xfrm>
        <a:prstGeom prst="rect">
          <a:avLst/>
        </a:prstGeom>
        <a:noFill/>
        <a:ln w="9525">
          <a:noFill/>
          <a:miter lim="800000"/>
          <a:headEnd/>
          <a:tailEnd/>
        </a:ln>
      </xdr:spPr>
    </xdr:sp>
    <xdr:clientData/>
  </xdr:twoCellAnchor>
  <xdr:twoCellAnchor editAs="oneCell">
    <xdr:from>
      <xdr:col>3</xdr:col>
      <xdr:colOff>1019175</xdr:colOff>
      <xdr:row>37</xdr:row>
      <xdr:rowOff>0</xdr:rowOff>
    </xdr:from>
    <xdr:to>
      <xdr:col>3</xdr:col>
      <xdr:colOff>1019175</xdr:colOff>
      <xdr:row>37</xdr:row>
      <xdr:rowOff>28575</xdr:rowOff>
    </xdr:to>
    <xdr:sp macro="" textlink="">
      <xdr:nvSpPr>
        <xdr:cNvPr id="422" name="Text Box 11"/>
        <xdr:cNvSpPr txBox="1">
          <a:spLocks noChangeArrowheads="1"/>
        </xdr:cNvSpPr>
      </xdr:nvSpPr>
      <xdr:spPr bwMode="auto">
        <a:xfrm>
          <a:off x="2447925" y="52339875"/>
          <a:ext cx="0" cy="28575"/>
        </a:xfrm>
        <a:prstGeom prst="rect">
          <a:avLst/>
        </a:prstGeom>
        <a:noFill/>
        <a:ln w="9525">
          <a:noFill/>
          <a:miter lim="800000"/>
          <a:headEnd/>
          <a:tailEnd/>
        </a:ln>
      </xdr:spPr>
    </xdr:sp>
    <xdr:clientData/>
  </xdr:twoCellAnchor>
  <xdr:twoCellAnchor editAs="oneCell">
    <xdr:from>
      <xdr:col>3</xdr:col>
      <xdr:colOff>523875</xdr:colOff>
      <xdr:row>37</xdr:row>
      <xdr:rowOff>0</xdr:rowOff>
    </xdr:from>
    <xdr:to>
      <xdr:col>3</xdr:col>
      <xdr:colOff>609600</xdr:colOff>
      <xdr:row>37</xdr:row>
      <xdr:rowOff>9525</xdr:rowOff>
    </xdr:to>
    <xdr:sp macro="" textlink="">
      <xdr:nvSpPr>
        <xdr:cNvPr id="423" name="Text Box 63"/>
        <xdr:cNvSpPr txBox="1">
          <a:spLocks noChangeArrowheads="1"/>
        </xdr:cNvSpPr>
      </xdr:nvSpPr>
      <xdr:spPr bwMode="auto">
        <a:xfrm>
          <a:off x="1952625" y="52339875"/>
          <a:ext cx="85725" cy="9525"/>
        </a:xfrm>
        <a:prstGeom prst="rect">
          <a:avLst/>
        </a:prstGeom>
        <a:noFill/>
        <a:ln w="9525">
          <a:noFill/>
          <a:miter lim="800000"/>
          <a:headEnd/>
          <a:tailEnd/>
        </a:ln>
      </xdr:spPr>
    </xdr:sp>
    <xdr:clientData/>
  </xdr:twoCellAnchor>
  <xdr:twoCellAnchor editAs="oneCell">
    <xdr:from>
      <xdr:col>3</xdr:col>
      <xdr:colOff>714375</xdr:colOff>
      <xdr:row>37</xdr:row>
      <xdr:rowOff>0</xdr:rowOff>
    </xdr:from>
    <xdr:to>
      <xdr:col>3</xdr:col>
      <xdr:colOff>714375</xdr:colOff>
      <xdr:row>37</xdr:row>
      <xdr:rowOff>28575</xdr:rowOff>
    </xdr:to>
    <xdr:sp macro="" textlink="">
      <xdr:nvSpPr>
        <xdr:cNvPr id="424" name="Text Box 68"/>
        <xdr:cNvSpPr txBox="1">
          <a:spLocks noChangeArrowheads="1"/>
        </xdr:cNvSpPr>
      </xdr:nvSpPr>
      <xdr:spPr bwMode="auto">
        <a:xfrm>
          <a:off x="2143125" y="52339875"/>
          <a:ext cx="0" cy="28575"/>
        </a:xfrm>
        <a:prstGeom prst="rect">
          <a:avLst/>
        </a:prstGeom>
        <a:noFill/>
        <a:ln w="9525">
          <a:noFill/>
          <a:miter lim="800000"/>
          <a:headEnd/>
          <a:tailEnd/>
        </a:ln>
      </xdr:spPr>
    </xdr:sp>
    <xdr:clientData/>
  </xdr:twoCellAnchor>
  <xdr:twoCellAnchor editAs="oneCell">
    <xdr:from>
      <xdr:col>3</xdr:col>
      <xdr:colOff>123825</xdr:colOff>
      <xdr:row>37</xdr:row>
      <xdr:rowOff>0</xdr:rowOff>
    </xdr:from>
    <xdr:to>
      <xdr:col>3</xdr:col>
      <xdr:colOff>523875</xdr:colOff>
      <xdr:row>37</xdr:row>
      <xdr:rowOff>0</xdr:rowOff>
    </xdr:to>
    <xdr:sp macro="" textlink="">
      <xdr:nvSpPr>
        <xdr:cNvPr id="425" name="Text Box 71"/>
        <xdr:cNvSpPr txBox="1">
          <a:spLocks noChangeArrowheads="1"/>
        </xdr:cNvSpPr>
      </xdr:nvSpPr>
      <xdr:spPr bwMode="auto">
        <a:xfrm rot="313457">
          <a:off x="1552575" y="52339875"/>
          <a:ext cx="400050" cy="0"/>
        </a:xfrm>
        <a:prstGeom prst="rect">
          <a:avLst/>
        </a:prstGeom>
        <a:noFill/>
        <a:ln w="9525">
          <a:noFill/>
          <a:miter lim="800000"/>
          <a:headEnd/>
          <a:tailEnd/>
        </a:ln>
      </xdr:spPr>
    </xdr:sp>
    <xdr:clientData/>
  </xdr:twoCellAnchor>
  <xdr:twoCellAnchor editAs="oneCell">
    <xdr:from>
      <xdr:col>3</xdr:col>
      <xdr:colOff>438150</xdr:colOff>
      <xdr:row>37</xdr:row>
      <xdr:rowOff>0</xdr:rowOff>
    </xdr:from>
    <xdr:to>
      <xdr:col>3</xdr:col>
      <xdr:colOff>613410</xdr:colOff>
      <xdr:row>37</xdr:row>
      <xdr:rowOff>7493</xdr:rowOff>
    </xdr:to>
    <xdr:sp macro="" textlink="">
      <xdr:nvSpPr>
        <xdr:cNvPr id="426" name="Text Box 72"/>
        <xdr:cNvSpPr txBox="1">
          <a:spLocks noChangeArrowheads="1"/>
        </xdr:cNvSpPr>
      </xdr:nvSpPr>
      <xdr:spPr bwMode="auto">
        <a:xfrm>
          <a:off x="1866900" y="52339875"/>
          <a:ext cx="175260" cy="7493"/>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Arial"/>
              <a:cs typeface="Arial"/>
            </a:rPr>
            <a:t>0.15</a:t>
          </a:r>
        </a:p>
      </xdr:txBody>
    </xdr:sp>
    <xdr:clientData/>
  </xdr:twoCellAnchor>
  <xdr:oneCellAnchor>
    <xdr:from>
      <xdr:col>2</xdr:col>
      <xdr:colOff>476250</xdr:colOff>
      <xdr:row>37</xdr:row>
      <xdr:rowOff>0</xdr:rowOff>
    </xdr:from>
    <xdr:ext cx="194454" cy="240740"/>
    <xdr:sp macro="" textlink="">
      <xdr:nvSpPr>
        <xdr:cNvPr id="427" name="TextBox 426"/>
        <xdr:cNvSpPr txBox="1"/>
      </xdr:nvSpPr>
      <xdr:spPr>
        <a:xfrm>
          <a:off x="933450" y="5233987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oneCellAnchor>
    <xdr:from>
      <xdr:col>6</xdr:col>
      <xdr:colOff>66675</xdr:colOff>
      <xdr:row>36</xdr:row>
      <xdr:rowOff>66675</xdr:rowOff>
    </xdr:from>
    <xdr:ext cx="194454" cy="240740"/>
    <xdr:sp macro="" textlink="">
      <xdr:nvSpPr>
        <xdr:cNvPr id="428" name="TextBox 427"/>
        <xdr:cNvSpPr txBox="1"/>
      </xdr:nvSpPr>
      <xdr:spPr>
        <a:xfrm>
          <a:off x="3886200" y="52206525"/>
          <a:ext cx="194454" cy="2407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sz="1100"/>
        </a:p>
      </xdr:txBody>
    </xdr:sp>
    <xdr:clientData/>
  </xdr:oneCellAnchor>
  <xdr:twoCellAnchor editAs="oneCell">
    <xdr:from>
      <xdr:col>3</xdr:col>
      <xdr:colOff>447675</xdr:colOff>
      <xdr:row>37</xdr:row>
      <xdr:rowOff>304800</xdr:rowOff>
    </xdr:from>
    <xdr:to>
      <xdr:col>3</xdr:col>
      <xdr:colOff>609600</xdr:colOff>
      <xdr:row>38</xdr:row>
      <xdr:rowOff>96493</xdr:rowOff>
    </xdr:to>
    <xdr:sp macro="" textlink="">
      <xdr:nvSpPr>
        <xdr:cNvPr id="429"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96493</xdr:rowOff>
    </xdr:to>
    <xdr:sp macro="" textlink="">
      <xdr:nvSpPr>
        <xdr:cNvPr id="430" name="Text Box 68"/>
        <xdr:cNvSpPr txBox="1">
          <a:spLocks noChangeArrowheads="1"/>
        </xdr:cNvSpPr>
      </xdr:nvSpPr>
      <xdr:spPr bwMode="auto">
        <a:xfrm>
          <a:off x="1876425" y="52530375"/>
          <a:ext cx="161925"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1"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2"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3"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4"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5"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6"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7"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8"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609600</xdr:colOff>
      <xdr:row>38</xdr:row>
      <xdr:rowOff>106018</xdr:rowOff>
    </xdr:to>
    <xdr:sp macro="" textlink="">
      <xdr:nvSpPr>
        <xdr:cNvPr id="439" name="Text Box 68"/>
        <xdr:cNvSpPr txBox="1">
          <a:spLocks noChangeArrowheads="1"/>
        </xdr:cNvSpPr>
      </xdr:nvSpPr>
      <xdr:spPr bwMode="auto">
        <a:xfrm>
          <a:off x="1876425" y="52530375"/>
          <a:ext cx="161925"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40"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41"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42"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43"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44"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45"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46"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47"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48"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49"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96493</xdr:rowOff>
    </xdr:to>
    <xdr:sp macro="" textlink="">
      <xdr:nvSpPr>
        <xdr:cNvPr id="450" name="Text Box 68"/>
        <xdr:cNvSpPr txBox="1">
          <a:spLocks noChangeArrowheads="1"/>
        </xdr:cNvSpPr>
      </xdr:nvSpPr>
      <xdr:spPr bwMode="auto">
        <a:xfrm>
          <a:off x="1876425" y="52530375"/>
          <a:ext cx="152400" cy="95250"/>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51"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52"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twoCellAnchor editAs="oneCell">
    <xdr:from>
      <xdr:col>3</xdr:col>
      <xdr:colOff>447675</xdr:colOff>
      <xdr:row>37</xdr:row>
      <xdr:rowOff>304800</xdr:rowOff>
    </xdr:from>
    <xdr:to>
      <xdr:col>3</xdr:col>
      <xdr:colOff>600075</xdr:colOff>
      <xdr:row>38</xdr:row>
      <xdr:rowOff>106018</xdr:rowOff>
    </xdr:to>
    <xdr:sp macro="" textlink="">
      <xdr:nvSpPr>
        <xdr:cNvPr id="453" name="Text Box 68"/>
        <xdr:cNvSpPr txBox="1">
          <a:spLocks noChangeArrowheads="1"/>
        </xdr:cNvSpPr>
      </xdr:nvSpPr>
      <xdr:spPr bwMode="auto">
        <a:xfrm>
          <a:off x="1876425" y="52530375"/>
          <a:ext cx="152400" cy="104775"/>
        </a:xfrm>
        <a:prstGeom prst="rect">
          <a:avLst/>
        </a:prstGeom>
        <a:noFill/>
        <a:ln w="9525">
          <a:noFill/>
          <a:miter lim="800000"/>
          <a:headEnd/>
          <a:tailEnd/>
        </a:ln>
      </xdr:spPr>
    </xdr:sp>
    <xdr:clientData/>
  </xdr:twoCellAnchor>
  <xdr:oneCellAnchor>
    <xdr:from>
      <xdr:col>4</xdr:col>
      <xdr:colOff>3492500</xdr:colOff>
      <xdr:row>0</xdr:row>
      <xdr:rowOff>0</xdr:rowOff>
    </xdr:from>
    <xdr:ext cx="396875" cy="693185"/>
    <xdr:sp macro="" textlink="">
      <xdr:nvSpPr>
        <xdr:cNvPr id="468" name="TextBox 467"/>
        <xdr:cNvSpPr txBox="1"/>
      </xdr:nvSpPr>
      <xdr:spPr>
        <a:xfrm flipH="1">
          <a:off x="335915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3492500</xdr:colOff>
      <xdr:row>0</xdr:row>
      <xdr:rowOff>0</xdr:rowOff>
    </xdr:from>
    <xdr:ext cx="396875" cy="693185"/>
    <xdr:sp macro="" textlink="">
      <xdr:nvSpPr>
        <xdr:cNvPr id="469" name="TextBox 468"/>
        <xdr:cNvSpPr txBox="1"/>
      </xdr:nvSpPr>
      <xdr:spPr>
        <a:xfrm flipH="1">
          <a:off x="335915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3492500</xdr:colOff>
      <xdr:row>6</xdr:row>
      <xdr:rowOff>0</xdr:rowOff>
    </xdr:from>
    <xdr:ext cx="396875" cy="693185"/>
    <xdr:sp macro="" textlink="">
      <xdr:nvSpPr>
        <xdr:cNvPr id="4" name="TextBox 3"/>
        <xdr:cNvSpPr txBox="1"/>
      </xdr:nvSpPr>
      <xdr:spPr>
        <a:xfrm flipH="1">
          <a:off x="8007350" y="152400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6</xdr:row>
      <xdr:rowOff>0</xdr:rowOff>
    </xdr:from>
    <xdr:ext cx="396875" cy="693185"/>
    <xdr:sp macro="" textlink="">
      <xdr:nvSpPr>
        <xdr:cNvPr id="8" name="TextBox 7"/>
        <xdr:cNvSpPr txBox="1"/>
      </xdr:nvSpPr>
      <xdr:spPr>
        <a:xfrm flipH="1">
          <a:off x="8007350" y="152400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3</xdr:col>
      <xdr:colOff>3492500</xdr:colOff>
      <xdr:row>0</xdr:row>
      <xdr:rowOff>0</xdr:rowOff>
    </xdr:from>
    <xdr:ext cx="396875" cy="693185"/>
    <xdr:sp macro="" textlink="">
      <xdr:nvSpPr>
        <xdr:cNvPr id="2" name="TextBox 1"/>
        <xdr:cNvSpPr txBox="1"/>
      </xdr:nvSpPr>
      <xdr:spPr>
        <a:xfrm flipH="1">
          <a:off x="335915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3</xdr:col>
      <xdr:colOff>3492500</xdr:colOff>
      <xdr:row>0</xdr:row>
      <xdr:rowOff>0</xdr:rowOff>
    </xdr:from>
    <xdr:ext cx="396875" cy="693185"/>
    <xdr:sp macro="" textlink="">
      <xdr:nvSpPr>
        <xdr:cNvPr id="3" name="TextBox 2"/>
        <xdr:cNvSpPr txBox="1"/>
      </xdr:nvSpPr>
      <xdr:spPr>
        <a:xfrm flipH="1">
          <a:off x="3359150" y="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3492500</xdr:colOff>
      <xdr:row>6</xdr:row>
      <xdr:rowOff>0</xdr:rowOff>
    </xdr:from>
    <xdr:ext cx="396875" cy="693185"/>
    <xdr:sp macro="" textlink="">
      <xdr:nvSpPr>
        <xdr:cNvPr id="2" name="TextBox 1"/>
        <xdr:cNvSpPr txBox="1"/>
      </xdr:nvSpPr>
      <xdr:spPr>
        <a:xfrm flipH="1">
          <a:off x="9131300" y="12001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6</xdr:row>
      <xdr:rowOff>0</xdr:rowOff>
    </xdr:from>
    <xdr:ext cx="396875" cy="693185"/>
    <xdr:sp macro="" textlink="">
      <xdr:nvSpPr>
        <xdr:cNvPr id="3" name="TextBox 2"/>
        <xdr:cNvSpPr txBox="1"/>
      </xdr:nvSpPr>
      <xdr:spPr>
        <a:xfrm flipH="1">
          <a:off x="9131300" y="12001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741960</xdr:colOff>
      <xdr:row>44</xdr:row>
      <xdr:rowOff>0</xdr:rowOff>
    </xdr:from>
    <xdr:ext cx="194452" cy="333025"/>
    <xdr:sp macro="" textlink="">
      <xdr:nvSpPr>
        <xdr:cNvPr id="8" name="TextBox 7"/>
        <xdr:cNvSpPr txBox="1"/>
      </xdr:nvSpPr>
      <xdr:spPr>
        <a:xfrm>
          <a:off x="2989860" y="18754725"/>
          <a:ext cx="194452"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44</xdr:row>
      <xdr:rowOff>0</xdr:rowOff>
    </xdr:from>
    <xdr:ext cx="194453" cy="333025"/>
    <xdr:sp macro="" textlink="">
      <xdr:nvSpPr>
        <xdr:cNvPr id="9" name="TextBox 8"/>
        <xdr:cNvSpPr txBox="1"/>
      </xdr:nvSpPr>
      <xdr:spPr>
        <a:xfrm>
          <a:off x="3919723" y="18754725"/>
          <a:ext cx="194453"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3492500</xdr:colOff>
      <xdr:row>123</xdr:row>
      <xdr:rowOff>0</xdr:rowOff>
    </xdr:from>
    <xdr:ext cx="396875" cy="693185"/>
    <xdr:sp macro="" textlink="">
      <xdr:nvSpPr>
        <xdr:cNvPr id="10" name="TextBox 9"/>
        <xdr:cNvSpPr txBox="1"/>
      </xdr:nvSpPr>
      <xdr:spPr>
        <a:xfrm flipH="1">
          <a:off x="9131300" y="12001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123</xdr:row>
      <xdr:rowOff>0</xdr:rowOff>
    </xdr:from>
    <xdr:ext cx="396875" cy="693185"/>
    <xdr:sp macro="" textlink="">
      <xdr:nvSpPr>
        <xdr:cNvPr id="11" name="TextBox 10"/>
        <xdr:cNvSpPr txBox="1"/>
      </xdr:nvSpPr>
      <xdr:spPr>
        <a:xfrm flipH="1">
          <a:off x="9131300" y="12001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741960</xdr:colOff>
      <xdr:row>273</xdr:row>
      <xdr:rowOff>0</xdr:rowOff>
    </xdr:from>
    <xdr:ext cx="194452" cy="336204"/>
    <xdr:sp macro="" textlink="">
      <xdr:nvSpPr>
        <xdr:cNvPr id="14" name="TextBox 13"/>
        <xdr:cNvSpPr txBox="1"/>
      </xdr:nvSpPr>
      <xdr:spPr>
        <a:xfrm>
          <a:off x="2989860" y="39728775"/>
          <a:ext cx="194452" cy="3362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273</xdr:row>
      <xdr:rowOff>0</xdr:rowOff>
    </xdr:from>
    <xdr:ext cx="194453" cy="336204"/>
    <xdr:sp macro="" textlink="">
      <xdr:nvSpPr>
        <xdr:cNvPr id="15" name="TextBox 14"/>
        <xdr:cNvSpPr txBox="1"/>
      </xdr:nvSpPr>
      <xdr:spPr>
        <a:xfrm>
          <a:off x="3919723" y="39728775"/>
          <a:ext cx="194453" cy="3362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741960</xdr:colOff>
      <xdr:row>32</xdr:row>
      <xdr:rowOff>0</xdr:rowOff>
    </xdr:from>
    <xdr:ext cx="194452" cy="333025"/>
    <xdr:sp macro="" textlink="">
      <xdr:nvSpPr>
        <xdr:cNvPr id="16" name="TextBox 15"/>
        <xdr:cNvSpPr txBox="1"/>
      </xdr:nvSpPr>
      <xdr:spPr>
        <a:xfrm>
          <a:off x="2818410" y="15030450"/>
          <a:ext cx="194452"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1671823</xdr:colOff>
      <xdr:row>32</xdr:row>
      <xdr:rowOff>0</xdr:rowOff>
    </xdr:from>
    <xdr:ext cx="194453" cy="333025"/>
    <xdr:sp macro="" textlink="">
      <xdr:nvSpPr>
        <xdr:cNvPr id="17" name="TextBox 16"/>
        <xdr:cNvSpPr txBox="1"/>
      </xdr:nvSpPr>
      <xdr:spPr>
        <a:xfrm>
          <a:off x="3748273" y="15030450"/>
          <a:ext cx="194453"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3492500</xdr:colOff>
      <xdr:row>241</xdr:row>
      <xdr:rowOff>0</xdr:rowOff>
    </xdr:from>
    <xdr:ext cx="396875" cy="693185"/>
    <xdr:sp macro="" textlink="">
      <xdr:nvSpPr>
        <xdr:cNvPr id="18" name="TextBox 17"/>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241</xdr:row>
      <xdr:rowOff>0</xdr:rowOff>
    </xdr:from>
    <xdr:ext cx="396875" cy="693185"/>
    <xdr:sp macro="" textlink="">
      <xdr:nvSpPr>
        <xdr:cNvPr id="19" name="TextBox 18"/>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300</xdr:row>
      <xdr:rowOff>0</xdr:rowOff>
    </xdr:from>
    <xdr:ext cx="396875" cy="693185"/>
    <xdr:sp macro="" textlink="">
      <xdr:nvSpPr>
        <xdr:cNvPr id="20" name="TextBox 19"/>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300</xdr:row>
      <xdr:rowOff>0</xdr:rowOff>
    </xdr:from>
    <xdr:ext cx="396875" cy="693185"/>
    <xdr:sp macro="" textlink="">
      <xdr:nvSpPr>
        <xdr:cNvPr id="21" name="TextBox 20"/>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300</xdr:row>
      <xdr:rowOff>0</xdr:rowOff>
    </xdr:from>
    <xdr:ext cx="396875" cy="693185"/>
    <xdr:sp macro="" textlink="">
      <xdr:nvSpPr>
        <xdr:cNvPr id="22" name="TextBox 21"/>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300</xdr:row>
      <xdr:rowOff>0</xdr:rowOff>
    </xdr:from>
    <xdr:ext cx="396875" cy="693185"/>
    <xdr:sp macro="" textlink="">
      <xdr:nvSpPr>
        <xdr:cNvPr id="23" name="TextBox 22"/>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300</xdr:row>
      <xdr:rowOff>0</xdr:rowOff>
    </xdr:from>
    <xdr:ext cx="396875" cy="693185"/>
    <xdr:sp macro="" textlink="">
      <xdr:nvSpPr>
        <xdr:cNvPr id="24" name="TextBox 23"/>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300</xdr:row>
      <xdr:rowOff>0</xdr:rowOff>
    </xdr:from>
    <xdr:ext cx="396875" cy="693185"/>
    <xdr:sp macro="" textlink="">
      <xdr:nvSpPr>
        <xdr:cNvPr id="25" name="TextBox 24"/>
        <xdr:cNvSpPr txBox="1"/>
      </xdr:nvSpPr>
      <xdr:spPr>
        <a:xfrm flipH="1">
          <a:off x="9131300" y="249555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741960</xdr:colOff>
      <xdr:row>30</xdr:row>
      <xdr:rowOff>0</xdr:rowOff>
    </xdr:from>
    <xdr:ext cx="194452" cy="332753"/>
    <xdr:sp macro="" textlink="">
      <xdr:nvSpPr>
        <xdr:cNvPr id="28" name="TextBox 27"/>
        <xdr:cNvSpPr txBox="1"/>
      </xdr:nvSpPr>
      <xdr:spPr>
        <a:xfrm>
          <a:off x="2820895" y="5764696"/>
          <a:ext cx="194452"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30</xdr:row>
      <xdr:rowOff>0</xdr:rowOff>
    </xdr:from>
    <xdr:ext cx="194453" cy="332753"/>
    <xdr:sp macro="" textlink="">
      <xdr:nvSpPr>
        <xdr:cNvPr id="29" name="TextBox 28"/>
        <xdr:cNvSpPr txBox="1"/>
      </xdr:nvSpPr>
      <xdr:spPr>
        <a:xfrm>
          <a:off x="3750758" y="5764696"/>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741960</xdr:colOff>
      <xdr:row>34</xdr:row>
      <xdr:rowOff>0</xdr:rowOff>
    </xdr:from>
    <xdr:ext cx="194452" cy="332753"/>
    <xdr:sp macro="" textlink="">
      <xdr:nvSpPr>
        <xdr:cNvPr id="30" name="TextBox 29"/>
        <xdr:cNvSpPr txBox="1"/>
      </xdr:nvSpPr>
      <xdr:spPr>
        <a:xfrm>
          <a:off x="2820895" y="6758609"/>
          <a:ext cx="194452"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34</xdr:row>
      <xdr:rowOff>0</xdr:rowOff>
    </xdr:from>
    <xdr:ext cx="194453" cy="332753"/>
    <xdr:sp macro="" textlink="">
      <xdr:nvSpPr>
        <xdr:cNvPr id="31" name="TextBox 30"/>
        <xdr:cNvSpPr txBox="1"/>
      </xdr:nvSpPr>
      <xdr:spPr>
        <a:xfrm>
          <a:off x="3750758" y="6758609"/>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8</xdr:col>
      <xdr:colOff>3492500</xdr:colOff>
      <xdr:row>6</xdr:row>
      <xdr:rowOff>0</xdr:rowOff>
    </xdr:from>
    <xdr:ext cx="396875" cy="693185"/>
    <xdr:sp macro="" textlink="">
      <xdr:nvSpPr>
        <xdr:cNvPr id="2" name="TextBox 1"/>
        <xdr:cNvSpPr txBox="1"/>
      </xdr:nvSpPr>
      <xdr:spPr>
        <a:xfrm flipH="1">
          <a:off x="9131300" y="12001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6</xdr:row>
      <xdr:rowOff>0</xdr:rowOff>
    </xdr:from>
    <xdr:ext cx="396875" cy="693185"/>
    <xdr:sp macro="" textlink="">
      <xdr:nvSpPr>
        <xdr:cNvPr id="3" name="TextBox 2"/>
        <xdr:cNvSpPr txBox="1"/>
      </xdr:nvSpPr>
      <xdr:spPr>
        <a:xfrm flipH="1">
          <a:off x="9131300" y="12001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1671823</xdr:colOff>
      <xdr:row>21</xdr:row>
      <xdr:rowOff>0</xdr:rowOff>
    </xdr:from>
    <xdr:ext cx="194453" cy="335266"/>
    <xdr:sp macro="" textlink="">
      <xdr:nvSpPr>
        <xdr:cNvPr id="4" name="TextBox 3"/>
        <xdr:cNvSpPr txBox="1"/>
      </xdr:nvSpPr>
      <xdr:spPr>
        <a:xfrm>
          <a:off x="3748273" y="4200525"/>
          <a:ext cx="194453" cy="3352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22</xdr:row>
      <xdr:rowOff>0</xdr:rowOff>
    </xdr:from>
    <xdr:ext cx="194453" cy="335266"/>
    <xdr:sp macro="" textlink="">
      <xdr:nvSpPr>
        <xdr:cNvPr id="5" name="TextBox 4"/>
        <xdr:cNvSpPr txBox="1"/>
      </xdr:nvSpPr>
      <xdr:spPr>
        <a:xfrm>
          <a:off x="3748273" y="4400550"/>
          <a:ext cx="194453" cy="3352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741960</xdr:colOff>
      <xdr:row>51</xdr:row>
      <xdr:rowOff>0</xdr:rowOff>
    </xdr:from>
    <xdr:ext cx="194452" cy="333025"/>
    <xdr:sp macro="" textlink="">
      <xdr:nvSpPr>
        <xdr:cNvPr id="7" name="TextBox 6"/>
        <xdr:cNvSpPr txBox="1"/>
      </xdr:nvSpPr>
      <xdr:spPr>
        <a:xfrm>
          <a:off x="2818410" y="9401175"/>
          <a:ext cx="194452"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51</xdr:row>
      <xdr:rowOff>0</xdr:rowOff>
    </xdr:from>
    <xdr:ext cx="194453" cy="333025"/>
    <xdr:sp macro="" textlink="">
      <xdr:nvSpPr>
        <xdr:cNvPr id="8" name="TextBox 7"/>
        <xdr:cNvSpPr txBox="1"/>
      </xdr:nvSpPr>
      <xdr:spPr>
        <a:xfrm>
          <a:off x="3748273" y="9401175"/>
          <a:ext cx="194453"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3492500</xdr:colOff>
      <xdr:row>122</xdr:row>
      <xdr:rowOff>0</xdr:rowOff>
    </xdr:from>
    <xdr:ext cx="396875" cy="693185"/>
    <xdr:sp macro="" textlink="">
      <xdr:nvSpPr>
        <xdr:cNvPr id="9" name="TextBox 8"/>
        <xdr:cNvSpPr txBox="1"/>
      </xdr:nvSpPr>
      <xdr:spPr>
        <a:xfrm flipH="1">
          <a:off x="9131300" y="246316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10" name="TextBox 9"/>
        <xdr:cNvSpPr txBox="1"/>
      </xdr:nvSpPr>
      <xdr:spPr>
        <a:xfrm flipH="1">
          <a:off x="9131300" y="2463165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741960</xdr:colOff>
      <xdr:row>122</xdr:row>
      <xdr:rowOff>0</xdr:rowOff>
    </xdr:from>
    <xdr:ext cx="194452" cy="336204"/>
    <xdr:sp macro="" textlink="">
      <xdr:nvSpPr>
        <xdr:cNvPr id="11" name="TextBox 10"/>
        <xdr:cNvSpPr txBox="1"/>
      </xdr:nvSpPr>
      <xdr:spPr>
        <a:xfrm>
          <a:off x="2818410" y="54635400"/>
          <a:ext cx="194452" cy="3362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741960</xdr:colOff>
      <xdr:row>32</xdr:row>
      <xdr:rowOff>0</xdr:rowOff>
    </xdr:from>
    <xdr:ext cx="194452" cy="333025"/>
    <xdr:sp macro="" textlink="">
      <xdr:nvSpPr>
        <xdr:cNvPr id="13" name="TextBox 12"/>
        <xdr:cNvSpPr txBox="1"/>
      </xdr:nvSpPr>
      <xdr:spPr>
        <a:xfrm>
          <a:off x="7171335" y="6400800"/>
          <a:ext cx="194452"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1671823</xdr:colOff>
      <xdr:row>32</xdr:row>
      <xdr:rowOff>0</xdr:rowOff>
    </xdr:from>
    <xdr:ext cx="194453" cy="333025"/>
    <xdr:sp macro="" textlink="">
      <xdr:nvSpPr>
        <xdr:cNvPr id="14" name="TextBox 13"/>
        <xdr:cNvSpPr txBox="1"/>
      </xdr:nvSpPr>
      <xdr:spPr>
        <a:xfrm>
          <a:off x="8101198" y="6400800"/>
          <a:ext cx="194453" cy="333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3492500</xdr:colOff>
      <xdr:row>122</xdr:row>
      <xdr:rowOff>0</xdr:rowOff>
    </xdr:from>
    <xdr:ext cx="396875" cy="693185"/>
    <xdr:sp macro="" textlink="">
      <xdr:nvSpPr>
        <xdr:cNvPr id="15" name="TextBox 14"/>
        <xdr:cNvSpPr txBox="1"/>
      </xdr:nvSpPr>
      <xdr:spPr>
        <a:xfrm flipH="1">
          <a:off x="9131300" y="482346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16" name="TextBox 15"/>
        <xdr:cNvSpPr txBox="1"/>
      </xdr:nvSpPr>
      <xdr:spPr>
        <a:xfrm flipH="1">
          <a:off x="9131300" y="48234600"/>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17" name="TextBox 16"/>
        <xdr:cNvSpPr txBox="1"/>
      </xdr:nvSpPr>
      <xdr:spPr>
        <a:xfrm flipH="1">
          <a:off x="9131300" y="60036075"/>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18" name="TextBox 17"/>
        <xdr:cNvSpPr txBox="1"/>
      </xdr:nvSpPr>
      <xdr:spPr>
        <a:xfrm flipH="1">
          <a:off x="9131300" y="60036075"/>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19" name="TextBox 18"/>
        <xdr:cNvSpPr txBox="1"/>
      </xdr:nvSpPr>
      <xdr:spPr>
        <a:xfrm flipH="1">
          <a:off x="9131300" y="60036075"/>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20" name="TextBox 19"/>
        <xdr:cNvSpPr txBox="1"/>
      </xdr:nvSpPr>
      <xdr:spPr>
        <a:xfrm flipH="1">
          <a:off x="9131300" y="60036075"/>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21" name="TextBox 20"/>
        <xdr:cNvSpPr txBox="1"/>
      </xdr:nvSpPr>
      <xdr:spPr>
        <a:xfrm flipH="1">
          <a:off x="9131300" y="60036075"/>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8</xdr:col>
      <xdr:colOff>3492500</xdr:colOff>
      <xdr:row>122</xdr:row>
      <xdr:rowOff>0</xdr:rowOff>
    </xdr:from>
    <xdr:ext cx="396875" cy="693185"/>
    <xdr:sp macro="" textlink="">
      <xdr:nvSpPr>
        <xdr:cNvPr id="22" name="TextBox 21"/>
        <xdr:cNvSpPr txBox="1"/>
      </xdr:nvSpPr>
      <xdr:spPr>
        <a:xfrm flipH="1">
          <a:off x="9131300" y="60036075"/>
          <a:ext cx="396875" cy="693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n-US" sz="1100"/>
        </a:p>
      </xdr:txBody>
    </xdr:sp>
    <xdr:clientData/>
  </xdr:oneCellAnchor>
  <xdr:oneCellAnchor>
    <xdr:from>
      <xdr:col>4</xdr:col>
      <xdr:colOff>1671823</xdr:colOff>
      <xdr:row>30</xdr:row>
      <xdr:rowOff>0</xdr:rowOff>
    </xdr:from>
    <xdr:ext cx="194453" cy="332753"/>
    <xdr:sp macro="" textlink="">
      <xdr:nvSpPr>
        <xdr:cNvPr id="24" name="TextBox 23"/>
        <xdr:cNvSpPr txBox="1"/>
      </xdr:nvSpPr>
      <xdr:spPr>
        <a:xfrm>
          <a:off x="3748273" y="5800725"/>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741960</xdr:colOff>
      <xdr:row>35</xdr:row>
      <xdr:rowOff>0</xdr:rowOff>
    </xdr:from>
    <xdr:ext cx="194452" cy="332753"/>
    <xdr:sp macro="" textlink="">
      <xdr:nvSpPr>
        <xdr:cNvPr id="25" name="TextBox 24"/>
        <xdr:cNvSpPr txBox="1"/>
      </xdr:nvSpPr>
      <xdr:spPr>
        <a:xfrm>
          <a:off x="2818410" y="6800850"/>
          <a:ext cx="194452"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741960</xdr:colOff>
      <xdr:row>39</xdr:row>
      <xdr:rowOff>0</xdr:rowOff>
    </xdr:from>
    <xdr:ext cx="194452" cy="332753"/>
    <xdr:sp macro="" textlink="">
      <xdr:nvSpPr>
        <xdr:cNvPr id="27" name="TextBox 26"/>
        <xdr:cNvSpPr txBox="1"/>
      </xdr:nvSpPr>
      <xdr:spPr>
        <a:xfrm>
          <a:off x="2818410" y="7600950"/>
          <a:ext cx="194452"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39</xdr:row>
      <xdr:rowOff>0</xdr:rowOff>
    </xdr:from>
    <xdr:ext cx="194453" cy="332753"/>
    <xdr:sp macro="" textlink="">
      <xdr:nvSpPr>
        <xdr:cNvPr id="28" name="TextBox 27"/>
        <xdr:cNvSpPr txBox="1"/>
      </xdr:nvSpPr>
      <xdr:spPr>
        <a:xfrm>
          <a:off x="3748273" y="7600950"/>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1671823</xdr:colOff>
      <xdr:row>64</xdr:row>
      <xdr:rowOff>0</xdr:rowOff>
    </xdr:from>
    <xdr:ext cx="194453" cy="335266"/>
    <xdr:sp macro="" textlink="">
      <xdr:nvSpPr>
        <xdr:cNvPr id="29" name="TextBox 28"/>
        <xdr:cNvSpPr txBox="1"/>
      </xdr:nvSpPr>
      <xdr:spPr>
        <a:xfrm>
          <a:off x="3748273" y="4400550"/>
          <a:ext cx="194453" cy="3352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1671823</xdr:colOff>
      <xdr:row>71</xdr:row>
      <xdr:rowOff>0</xdr:rowOff>
    </xdr:from>
    <xdr:ext cx="194453" cy="332753"/>
    <xdr:sp macro="" textlink="">
      <xdr:nvSpPr>
        <xdr:cNvPr id="30" name="TextBox 29"/>
        <xdr:cNvSpPr txBox="1"/>
      </xdr:nvSpPr>
      <xdr:spPr>
        <a:xfrm>
          <a:off x="3748273" y="5400675"/>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741960</xdr:colOff>
      <xdr:row>75</xdr:row>
      <xdr:rowOff>0</xdr:rowOff>
    </xdr:from>
    <xdr:ext cx="194452" cy="332753"/>
    <xdr:sp macro="" textlink="">
      <xdr:nvSpPr>
        <xdr:cNvPr id="31" name="TextBox 30"/>
        <xdr:cNvSpPr txBox="1"/>
      </xdr:nvSpPr>
      <xdr:spPr>
        <a:xfrm>
          <a:off x="2818410" y="5800725"/>
          <a:ext cx="194452"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1671823</xdr:colOff>
      <xdr:row>75</xdr:row>
      <xdr:rowOff>0</xdr:rowOff>
    </xdr:from>
    <xdr:ext cx="194453" cy="332753"/>
    <xdr:sp macro="" textlink="">
      <xdr:nvSpPr>
        <xdr:cNvPr id="32" name="TextBox 31"/>
        <xdr:cNvSpPr txBox="1"/>
      </xdr:nvSpPr>
      <xdr:spPr>
        <a:xfrm>
          <a:off x="3748273" y="5800725"/>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741960</xdr:colOff>
      <xdr:row>45</xdr:row>
      <xdr:rowOff>0</xdr:rowOff>
    </xdr:from>
    <xdr:ext cx="194452" cy="332753"/>
    <xdr:sp macro="" textlink="">
      <xdr:nvSpPr>
        <xdr:cNvPr id="33" name="TextBox 32"/>
        <xdr:cNvSpPr txBox="1"/>
      </xdr:nvSpPr>
      <xdr:spPr>
        <a:xfrm>
          <a:off x="2820895" y="7951304"/>
          <a:ext cx="194452"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741960</xdr:colOff>
      <xdr:row>48</xdr:row>
      <xdr:rowOff>0</xdr:rowOff>
    </xdr:from>
    <xdr:ext cx="194452" cy="332753"/>
    <xdr:sp macro="" textlink="">
      <xdr:nvSpPr>
        <xdr:cNvPr id="35" name="TextBox 34"/>
        <xdr:cNvSpPr txBox="1"/>
      </xdr:nvSpPr>
      <xdr:spPr>
        <a:xfrm>
          <a:off x="2820895" y="9144000"/>
          <a:ext cx="194452"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48</xdr:row>
      <xdr:rowOff>0</xdr:rowOff>
    </xdr:from>
    <xdr:ext cx="194453" cy="332753"/>
    <xdr:sp macro="" textlink="">
      <xdr:nvSpPr>
        <xdr:cNvPr id="36" name="TextBox 35"/>
        <xdr:cNvSpPr txBox="1"/>
      </xdr:nvSpPr>
      <xdr:spPr>
        <a:xfrm>
          <a:off x="3750758" y="9144000"/>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1671823</xdr:colOff>
      <xdr:row>61</xdr:row>
      <xdr:rowOff>0</xdr:rowOff>
    </xdr:from>
    <xdr:ext cx="194453" cy="332753"/>
    <xdr:sp macro="" textlink="">
      <xdr:nvSpPr>
        <xdr:cNvPr id="37" name="TextBox 36"/>
        <xdr:cNvSpPr txBox="1"/>
      </xdr:nvSpPr>
      <xdr:spPr>
        <a:xfrm>
          <a:off x="3750758" y="6361043"/>
          <a:ext cx="194453" cy="3327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Documents%20and%20Settings\Tesfaye\My%20Documents\Other%20Documents\Building%20Documents\unit%20cost%20Analysi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Tesfaye\My%20Documents\Other%20Documents\Building%20Documents\unit%20cost%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mail.ethionet.et/~projects/ayat/inprocess/308m2/BLOCK3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Weekly%20Report\Week%205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Weekly%20Report\Week%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Weekly%20Report\Forma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Weekly%20Report\Forma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Weekly%20Report\Week4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Weekly%20Report\Week4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Weekly%20Report\new%20exp.%204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Weekly%20Report\new%20exp.%204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Monthly%20Report\Meskerem.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Monthly%20Report\Meskerem.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Monthly%20Report\Tir.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Monthly%20Report\Ti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Monthly%20Report\Nehas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Monthly%20Report\Nehas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Weekly%20Report\Week%204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Weekly%20Report\Week%2047.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MASTER%20MODEL%20and%20trafo%20reports\Users\FITCHE\HALIMAKW.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Abayineh\Abayineh\Abayineh\Schedule%201998\Micheta%20Direct%20cost\Reports\Master%20schedule\Annual%20report(rev.).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Documents%20and%20Settings\Administrator\My%20Documents\Abayineh\Abayineh\Abayineh\Schedule%201998\Micheta%20Direct%20cost\Reports\Master%20schedule\Annual%20report(rev.).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nal%20Payment%20Wogeda%20Syida%2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nal%20Payment%20Wogeda%20Selam.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Design1/AppData/Local/Temp/summary%20and%20Boq%20payment%2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Trust%20Construction/Contract%20%20Adminstration%20for%20All%20Projects/Trust-003%20Feres%20bet%20Hospital%20(003)/Payment%20&amp;%20Related%20Fer/Final%20Payments/tos&amp;meas/FINAL%20feresbet%20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Analysis form (2)"/>
      <sheetName val="Basic Price"/>
      <sheetName val="Sheet1"/>
      <sheetName val="Break Down  "/>
      <sheetName val="Summary"/>
      <sheetName val="Cost Analysis form"/>
      <sheetName val="concrete &amp; Mortar"/>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Analysis form (2)"/>
      <sheetName val="Basic Price"/>
      <sheetName val="Sheet1"/>
      <sheetName val="Break Down  "/>
      <sheetName val="Summary"/>
      <sheetName val="Cost Analysis form"/>
      <sheetName val="concrete &amp; Mortar"/>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308"/>
      <sheetName val="308m2"/>
      <sheetName val="price"/>
    </sheetNames>
    <sheetDataSet>
      <sheetData sheetId="0"/>
      <sheetData sheetId="1"/>
      <sheetData sheetId="2" refreshError="1">
        <row r="51">
          <cell r="G51">
            <v>11.8125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Plan Summary"/>
      <sheetName val="Exp Eva"/>
      <sheetName val="Prog Eva."/>
      <sheetName val="MTL"/>
      <sheetName val="man p sum."/>
      <sheetName val="fuel "/>
      <sheetName val="spare"/>
      <sheetName val="eq't "/>
      <sheetName val="Summary"/>
      <sheetName val="Fuel Eva."/>
      <sheetName val="Eqt Eva."/>
      <sheetName val="Eqt Eva.m"/>
      <sheetName val="Mat Eva."/>
      <sheetName val="Lab Eva."/>
      <sheetName val="Claim"/>
      <sheetName val="Prob."/>
      <sheetName val="Sheet1"/>
      <sheetName val="Sheet1 (2)"/>
    </sheetNames>
    <sheetDataSet>
      <sheetData sheetId="0" refreshError="1">
        <row r="2">
          <cell r="B2" t="str">
            <v>Reporting:Date Tikemet 5</v>
          </cell>
        </row>
        <row r="3">
          <cell r="B3" t="str">
            <v>Week No. 50</v>
          </cell>
        </row>
        <row r="4">
          <cell r="B4" t="str">
            <v>Duration: Tikemet 28 to Hidar 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Plan Summary"/>
      <sheetName val="Exp Eva"/>
      <sheetName val="Prog Eva."/>
      <sheetName val="MTL"/>
      <sheetName val="man p sum."/>
      <sheetName val="fuel "/>
      <sheetName val="spare"/>
      <sheetName val="eq't "/>
      <sheetName val="Summary"/>
      <sheetName val="Fuel Eva."/>
      <sheetName val="Eqt Eva."/>
      <sheetName val="Eqt Eva.m"/>
      <sheetName val="Mat Eva."/>
      <sheetName val="Lab Eva."/>
      <sheetName val="Claim"/>
      <sheetName val="Prob."/>
      <sheetName val="Sheet1"/>
      <sheetName val="Sheet1 (2)"/>
    </sheetNames>
    <sheetDataSet>
      <sheetData sheetId="0">
        <row r="2">
          <cell r="B2" t="str">
            <v>Reporting:Date Tikemet 5</v>
          </cell>
        </row>
        <row r="3">
          <cell r="B3" t="str">
            <v>Week No. 50</v>
          </cell>
        </row>
        <row r="4">
          <cell r="B4" t="str">
            <v>Duration: Tikemet 28 to Hidar 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Prog Eva."/>
      <sheetName val="MTL"/>
      <sheetName val="Man p."/>
      <sheetName val="fuel "/>
      <sheetName val="spare"/>
      <sheetName val="eq't "/>
      <sheetName val="Exp Eva."/>
      <sheetName val="Claim"/>
      <sheetName val="Prob."/>
      <sheetName val="Fuel Eva."/>
      <sheetName val="Eqt Eva."/>
      <sheetName val="Mat Eva."/>
      <sheetName val="Lab Eva."/>
      <sheetName val="Equ sta."/>
      <sheetName val="eq't plan"/>
      <sheetName val="Exp. plan"/>
      <sheetName val="Summary"/>
      <sheetName val="Work plan"/>
      <sheetName val="Plan 1"/>
      <sheetName val="Sheet3"/>
    </sheetNames>
    <sheetDataSet>
      <sheetData sheetId="0">
        <row r="2">
          <cell r="B2" t="str">
            <v>Week No. :Week 47</v>
          </cell>
        </row>
        <row r="3">
          <cell r="B3" t="str">
            <v>Duration:Tikemet 7 to Tikemet 13</v>
          </cell>
        </row>
        <row r="4">
          <cell r="B4" t="str">
            <v>Reporting:Date Tikemet 14</v>
          </cell>
        </row>
        <row r="6">
          <cell r="B6" t="str">
            <v>Week No. :Week 48</v>
          </cell>
        </row>
        <row r="7">
          <cell r="B7" t="str">
            <v>Duration:Tikemet 14 to Tikemet 20</v>
          </cell>
        </row>
        <row r="8">
          <cell r="B8" t="str">
            <v>Reporting:Date Tikemet 16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Prog Eva."/>
      <sheetName val="MTL"/>
      <sheetName val="Man p."/>
      <sheetName val="fuel "/>
      <sheetName val="spare"/>
      <sheetName val="eq't "/>
      <sheetName val="Exp Eva."/>
      <sheetName val="Claim"/>
      <sheetName val="Prob."/>
      <sheetName val="Fuel Eva."/>
      <sheetName val="Eqt Eva."/>
      <sheetName val="Mat Eva."/>
      <sheetName val="Lab Eva."/>
      <sheetName val="Equ sta."/>
      <sheetName val="eq't plan"/>
      <sheetName val="Exp. plan"/>
      <sheetName val="Summary"/>
      <sheetName val="Work plan"/>
      <sheetName val="Plan 1"/>
      <sheetName val="Sheet3"/>
    </sheetNames>
    <sheetDataSet>
      <sheetData sheetId="0">
        <row r="2">
          <cell r="B2" t="str">
            <v>Week No. :Week 47</v>
          </cell>
        </row>
        <row r="3">
          <cell r="B3" t="str">
            <v>Duration:Tikemet 7 to Tikemet 13</v>
          </cell>
        </row>
        <row r="4">
          <cell r="B4" t="str">
            <v>Reporting:Date Tikemet 14</v>
          </cell>
        </row>
        <row r="6">
          <cell r="B6" t="str">
            <v>Week No. :Week 48</v>
          </cell>
        </row>
        <row r="7">
          <cell r="B7" t="str">
            <v>Duration:Tikemet 14 to Tikemet 20</v>
          </cell>
        </row>
        <row r="8">
          <cell r="B8" t="str">
            <v>Reporting:Date Tikemet 16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Other Expen. "/>
      <sheetName val="IS"/>
      <sheetName val="Summary"/>
      <sheetName val="Claim"/>
      <sheetName val="Man p. "/>
      <sheetName val="MTL"/>
      <sheetName val="fuel "/>
      <sheetName val="spare"/>
      <sheetName val="eq't"/>
      <sheetName val="CPVSA "/>
      <sheetName val="Sheet4"/>
      <sheetName val="Fuel Eva "/>
      <sheetName val="Eqt Eva."/>
      <sheetName val="Map Eva."/>
      <sheetName val="Plan"/>
    </sheetNames>
    <sheetDataSet>
      <sheetData sheetId="0">
        <row r="2">
          <cell r="B2" t="str">
            <v>Reporting week : Sept.30-October.5, 1996 Week46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Other Expen. "/>
      <sheetName val="IS"/>
      <sheetName val="Summary"/>
      <sheetName val="Claim"/>
      <sheetName val="Man p. "/>
      <sheetName val="MTL"/>
      <sheetName val="fuel "/>
      <sheetName val="spare"/>
      <sheetName val="eq't"/>
      <sheetName val="CPVSA "/>
      <sheetName val="Sheet4"/>
      <sheetName val="Fuel Eva "/>
      <sheetName val="Eqt Eva."/>
      <sheetName val="Map Eva."/>
      <sheetName val="Plan"/>
    </sheetNames>
    <sheetDataSet>
      <sheetData sheetId="0">
        <row r="2">
          <cell r="B2" t="str">
            <v>Reporting week : Sept.30-October.5, 1996 Week46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q't plan"/>
      <sheetName val="Work plan"/>
      <sheetName val="cost plan"/>
      <sheetName val="OT work"/>
      <sheetName val="OT cost"/>
      <sheetName val="Summary"/>
    </sheetNames>
    <sheetDataSet>
      <sheetData sheetId="0">
        <row r="2">
          <cell r="B2" t="str">
            <v>Reporting:Date Tikemet 23</v>
          </cell>
        </row>
        <row r="3">
          <cell r="B3" t="str">
            <v>Reporting Week:Tekemt 21-Tekemt 27,1996(Week No. 49)</v>
          </cell>
        </row>
      </sheetData>
      <sheetData sheetId="1"/>
      <sheetData sheetId="2"/>
      <sheetData sheetId="3"/>
      <sheetData sheetId="4"/>
      <sheetData sheetId="5"/>
      <sheetData sheetId="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q't plan"/>
      <sheetName val="Work plan"/>
      <sheetName val="cost plan"/>
      <sheetName val="OT work"/>
      <sheetName val="OT cost"/>
      <sheetName val="Summary"/>
    </sheetNames>
    <sheetDataSet>
      <sheetData sheetId="0">
        <row r="2">
          <cell r="B2" t="str">
            <v>Reporting:Date Tikemet 23</v>
          </cell>
        </row>
        <row r="3">
          <cell r="B3" t="str">
            <v>Reporting Week:Tekemt 21-Tekemt 27,1996(Week No. 49)</v>
          </cell>
        </row>
      </sheetData>
      <sheetData sheetId="1"/>
      <sheetData sheetId="2"/>
      <sheetData sheetId="3"/>
      <sheetData sheetId="4"/>
      <sheetData sheetId="5"/>
      <sheetData sheetId="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
      <sheetName val="IS  "/>
      <sheetName val="I&amp;ES"/>
      <sheetName val="PvsAC "/>
      <sheetName val="mtl"/>
      <sheetName val="man"/>
      <sheetName val="sum eq't "/>
      <sheetName val="spare"/>
      <sheetName val="fuel"/>
      <sheetName val="m.status"/>
      <sheetName val="fuel Eva. (2)"/>
      <sheetName val="Eqt Eva."/>
      <sheetName val="man (sh.)"/>
      <sheetName val="eq't (sh.)"/>
      <sheetName val="O.STANDING PRO."/>
    </sheetNames>
    <sheetDataSet>
      <sheetData sheetId="0">
        <row r="2">
          <cell r="B2" t="str">
            <v>Reporting month :Meskerem 1996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
      <sheetName val="IS  "/>
      <sheetName val="I&amp;ES"/>
      <sheetName val="PvsAC "/>
      <sheetName val="mtl"/>
      <sheetName val="man"/>
      <sheetName val="sum eq't "/>
      <sheetName val="spare"/>
      <sheetName val="fuel"/>
      <sheetName val="m.status"/>
      <sheetName val="fuel Eva. (2)"/>
      <sheetName val="Eqt Eva."/>
      <sheetName val="man (sh.)"/>
      <sheetName val="eq't (sh.)"/>
      <sheetName val="O.STANDING PRO."/>
    </sheetNames>
    <sheetDataSet>
      <sheetData sheetId="0">
        <row r="2">
          <cell r="B2" t="str">
            <v>Reporting month :Meskerem 1996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ES"/>
      <sheetName val="I&amp;ES"/>
      <sheetName val="PvsAC "/>
      <sheetName val="man"/>
      <sheetName val="mtl"/>
      <sheetName val="eq't "/>
      <sheetName val="spare"/>
      <sheetName val="fuel"/>
      <sheetName val="m.status"/>
      <sheetName val="Fuel Eva  (2)"/>
      <sheetName val="Eqt Eva."/>
      <sheetName val="man (sh.)"/>
      <sheetName val="eq't (sh.)"/>
      <sheetName val="Prob."/>
      <sheetName val="O.STANDING PRO."/>
    </sheetNames>
    <sheetDataSet>
      <sheetData sheetId="0"/>
      <sheetData sheetId="1"/>
      <sheetData sheetId="2">
        <row r="3">
          <cell r="B3" t="str">
            <v>Reporting Month:Tir, 1996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ES"/>
      <sheetName val="I&amp;ES"/>
      <sheetName val="PvsAC "/>
      <sheetName val="man"/>
      <sheetName val="mtl"/>
      <sheetName val="eq't "/>
      <sheetName val="spare"/>
      <sheetName val="fuel"/>
      <sheetName val="m.status"/>
      <sheetName val="Fuel Eva  (2)"/>
      <sheetName val="Eqt Eva."/>
      <sheetName val="man (sh.)"/>
      <sheetName val="eq't (sh.)"/>
      <sheetName val="Prob."/>
      <sheetName val="O.STANDING PRO."/>
    </sheetNames>
    <sheetDataSet>
      <sheetData sheetId="0"/>
      <sheetData sheetId="1"/>
      <sheetData sheetId="2">
        <row r="3">
          <cell r="B3" t="str">
            <v>Reporting Month:Tir, 1996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
      <sheetName val="IS  "/>
      <sheetName val="I&amp;ES"/>
      <sheetName val="PvsAC "/>
      <sheetName val="mtl"/>
      <sheetName val="man "/>
      <sheetName val="sum eq't "/>
      <sheetName val="Equ Uti"/>
      <sheetName val="spare"/>
      <sheetName val="fuel"/>
      <sheetName val="fuel Eva. (2)"/>
      <sheetName val="fuel Eva."/>
      <sheetName val="man (sh.)"/>
      <sheetName val="eq't (sh.)"/>
      <sheetName val="O.STANDING P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
      <sheetName val="IS  "/>
      <sheetName val="I&amp;ES"/>
      <sheetName val="PvsAC "/>
      <sheetName val="mtl"/>
      <sheetName val="man "/>
      <sheetName val="sum eq't "/>
      <sheetName val="Equ Uti"/>
      <sheetName val="spare"/>
      <sheetName val="fuel"/>
      <sheetName val="fuel Eva. (2)"/>
      <sheetName val="fuel Eva."/>
      <sheetName val="man (sh.)"/>
      <sheetName val="eq't (sh.)"/>
      <sheetName val="O.STANDING P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Other Expen. "/>
      <sheetName val="IS"/>
      <sheetName val="Summary"/>
      <sheetName val="Claim"/>
      <sheetName val="MTL"/>
      <sheetName val="Man p."/>
      <sheetName val="fuel "/>
      <sheetName val="spare"/>
      <sheetName val="eq't "/>
      <sheetName val="CPVSA "/>
      <sheetName val="Fuel Eva"/>
      <sheetName val="Eqt Eva."/>
      <sheetName val="Map Eva."/>
      <sheetName val="Plan"/>
      <sheetName val="Plan 1"/>
      <sheetName val="Sheet3"/>
    </sheetNames>
    <sheetDataSet>
      <sheetData sheetId="0">
        <row r="3">
          <cell r="B3" t="str">
            <v>Reporting Week:Tekemt 7-Tekemt 13,1996(Week No. 47)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Other Expen. "/>
      <sheetName val="IS"/>
      <sheetName val="Summary"/>
      <sheetName val="Claim"/>
      <sheetName val="MTL"/>
      <sheetName val="Man p."/>
      <sheetName val="fuel "/>
      <sheetName val="spare"/>
      <sheetName val="eq't "/>
      <sheetName val="CPVSA "/>
      <sheetName val="Fuel Eva"/>
      <sheetName val="Eqt Eva."/>
      <sheetName val="Map Eva."/>
      <sheetName val="Plan"/>
      <sheetName val="Plan 1"/>
      <sheetName val="Sheet3"/>
    </sheetNames>
    <sheetDataSet>
      <sheetData sheetId="0">
        <row r="3">
          <cell r="B3" t="str">
            <v>Reporting Week:Tekemt 7-Tekemt 13,1996(Week No. 47)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
    </sheetNames>
    <sheetDataSet>
      <sheetData sheetId="0">
        <row r="16">
          <cell r="C16" t="str">
            <v>Netstation Erection and 400mts H.T line Ext.</v>
          </cell>
          <cell r="D16" t="str">
            <v>1x300/5 A(A/R) KWHM connection.</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 val="Workexc."/>
      <sheetName val="Phy"/>
      <sheetName val="Mat."/>
      <sheetName val="Equ"/>
      <sheetName val="Eqt sta."/>
      <sheetName val="man"/>
      <sheetName val="PRO.LOS"/>
      <sheetName val="Claim"/>
      <sheetName val="Fuel eva."/>
    </sheetNames>
    <sheetDataSet>
      <sheetData sheetId="0"/>
      <sheetData sheetId="1"/>
      <sheetData sheetId="2">
        <row r="2">
          <cell r="B2" t="str">
            <v>Reporting Year:1995</v>
          </cell>
        </row>
      </sheetData>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 val="Workexc."/>
      <sheetName val="Phy"/>
      <sheetName val="Mat."/>
      <sheetName val="Equ"/>
      <sheetName val="Eqt sta."/>
      <sheetName val="man"/>
      <sheetName val="PRO.LOS"/>
      <sheetName val="Claim"/>
      <sheetName val="Fuel eva."/>
    </sheetNames>
    <sheetDataSet>
      <sheetData sheetId="0"/>
      <sheetData sheetId="1"/>
      <sheetData sheetId="2">
        <row r="2">
          <cell r="B2" t="str">
            <v>Reporting Year:1995</v>
          </cell>
        </row>
      </sheetData>
      <sheetData sheetId="3"/>
      <sheetData sheetId="4"/>
      <sheetData sheetId="5"/>
      <sheetData sheetId="6"/>
      <sheetData sheetId="7"/>
      <sheetData sheetId="8"/>
      <sheetData sheetId="9"/>
      <sheetData sheetId="10"/>
      <sheetData sheetId="1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summary"/>
      <sheetName val="IPD Sum"/>
      <sheetName val="IPD Meas."/>
      <sheetName val="IPD Sub TOS"/>
      <sheetName val="IPD Super TOS"/>
      <sheetName val="IPD Bar"/>
      <sheetName val="OPD Sum"/>
      <sheetName val="OPD Meas."/>
      <sheetName val="OPD TOS"/>
      <sheetName val="OPD Bar"/>
      <sheetName val="Staff + SQ  Sum"/>
      <sheetName val="Staff + SQ Measu."/>
      <sheetName val="Staff TOS"/>
      <sheetName val="SQ TOS "/>
      <sheetName val="Staff &amp; SQ Reinf"/>
      <sheetName val="OR Sum"/>
      <sheetName val="OR Meas."/>
      <sheetName val="OR Sub TOS"/>
      <sheetName val="OR Super TOS "/>
      <sheetName val="OR-Reinf"/>
      <sheetName val="Emer. Sum"/>
      <sheetName val="Emer. &amp; Wait. Meas."/>
      <sheetName val="Emer. Sub TOS"/>
      <sheetName val="Emer. Super TOS"/>
      <sheetName val="Wait. Sub TOS"/>
      <sheetName val="Wait Super TOS"/>
      <sheetName val="EMG &amp;Waitng Reinf"/>
      <sheetName val="Admin. Sum"/>
      <sheetName val="Admin. Meas."/>
      <sheetName val="Admin. Sub TOS"/>
      <sheetName val="Admin Super TOS "/>
      <sheetName val="Admin. Reinf"/>
      <sheetName val="Diagno. Sum"/>
      <sheetName val="Diagno. Meas"/>
      <sheetName val="Diagno. Sub TOS"/>
      <sheetName val="Diagno Super TOS"/>
      <sheetName val="Daigon Reinf"/>
      <sheetName val="Gen + Pump Summary"/>
      <sheetName val="Generator+Pump house"/>
      <sheetName val="Gen Sub TOS"/>
      <sheetName val="Genera Super TOS"/>
      <sheetName val="Gen Reinf"/>
      <sheetName val="Trans Super TOS"/>
      <sheetName val="Re-bar pump house"/>
      <sheetName val="Kitchen Summary  "/>
      <sheetName val="KITCHEN"/>
      <sheetName val="Kit. Sub TOS"/>
      <sheetName val="Kit Super TOS"/>
      <sheetName val="Kitchen Reinf"/>
      <sheetName val="Guard Summary"/>
      <sheetName val="Guard house"/>
      <sheetName val="Meas Guard"/>
      <sheetName val="Guard Super TOS"/>
      <sheetName val="Guard Reinf"/>
      <sheetName val="Mourge Summary"/>
      <sheetName val="mourge"/>
      <sheetName val="Morgue takeoff"/>
      <sheetName val="Morgue Super TOS"/>
      <sheetName val="Morgue Reinf"/>
      <sheetName val="G Su Site"/>
      <sheetName val="Meas Site"/>
      <sheetName val="TOS Site"/>
      <sheetName val="Ramp &amp; Covered Way"/>
      <sheetName val="Sheet5"/>
      <sheetName val="staff residence+SQ"/>
      <sheetName val="OR &amp; Delivery Sum"/>
      <sheetName val="OR and Delivery"/>
      <sheetName val="Kitchen takeoff"/>
    </sheetNames>
    <sheetDataSet>
      <sheetData sheetId="0" refreshError="1"/>
      <sheetData sheetId="1" refreshError="1"/>
      <sheetData sheetId="2" refreshError="1"/>
      <sheetData sheetId="3" refreshError="1"/>
      <sheetData sheetId="4" refreshError="1"/>
      <sheetData sheetId="5" refreshError="1">
        <row r="34">
          <cell r="K34">
            <v>3200.6850000000004</v>
          </cell>
          <cell r="N34">
            <v>2630.5884000000001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35">
          <cell r="K35">
            <v>3252.9780625000003</v>
          </cell>
          <cell r="N35">
            <v>2494.8263999999999</v>
          </cell>
        </row>
      </sheetData>
      <sheetData sheetId="20" refreshError="1"/>
      <sheetData sheetId="21" refreshError="1"/>
      <sheetData sheetId="22" refreshError="1"/>
      <sheetData sheetId="23" refreshError="1"/>
      <sheetData sheetId="24" refreshError="1"/>
      <sheetData sheetId="25" refreshError="1"/>
      <sheetData sheetId="26" refreshError="1">
        <row r="30">
          <cell r="K30">
            <v>390.57600000000002</v>
          </cell>
          <cell r="N30">
            <v>1263.4578000000001</v>
          </cell>
        </row>
        <row r="70">
          <cell r="K70">
            <v>898.53415000000007</v>
          </cell>
          <cell r="N70">
            <v>0</v>
          </cell>
        </row>
        <row r="182">
          <cell r="K182">
            <v>793.12049999999999</v>
          </cell>
          <cell r="N182">
            <v>799.03560000000004</v>
          </cell>
        </row>
      </sheetData>
      <sheetData sheetId="27" refreshError="1"/>
      <sheetData sheetId="28" refreshError="1"/>
      <sheetData sheetId="29" refreshError="1"/>
      <sheetData sheetId="30" refreshError="1"/>
      <sheetData sheetId="31" refreshError="1">
        <row r="34">
          <cell r="K34">
            <v>372.09000000000003</v>
          </cell>
          <cell r="N34">
            <v>1213.146</v>
          </cell>
        </row>
        <row r="60">
          <cell r="K60">
            <v>1042.1442999999997</v>
          </cell>
          <cell r="N60">
            <v>0</v>
          </cell>
        </row>
      </sheetData>
      <sheetData sheetId="32" refreshError="1"/>
      <sheetData sheetId="33" refreshError="1"/>
      <sheetData sheetId="34" refreshError="1"/>
      <sheetData sheetId="35" refreshError="1"/>
      <sheetData sheetId="36" refreshError="1">
        <row r="30">
          <cell r="K30">
            <v>337.01400000000001</v>
          </cell>
          <cell r="N30">
            <v>1054.2609</v>
          </cell>
        </row>
        <row r="60">
          <cell r="K60">
            <v>923.83785</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summary"/>
      <sheetName val="IPD Sum"/>
      <sheetName val="IPD Meas."/>
      <sheetName val="IPD Super TOS"/>
      <sheetName val="IP BAR"/>
      <sheetName val="OPD Sum"/>
      <sheetName val="OPD Meas."/>
      <sheetName val="OPD TOS"/>
      <sheetName val="OPD Bar"/>
      <sheetName val="Staff + SQ  Sum"/>
      <sheetName val="staff residence+SQ"/>
      <sheetName val="Staff TOS"/>
      <sheetName val="SQ TOS "/>
      <sheetName val="Staff &amp; SQ Reinf"/>
      <sheetName val="OR &amp; Delivery Sum"/>
      <sheetName val="OR and Delivery"/>
      <sheetName val="OR Sub TOS"/>
      <sheetName val="OR Super TOS "/>
      <sheetName val="OR-Reinf"/>
      <sheetName val="Emergency Summary"/>
      <sheetName val="EMERGENCY WAITING"/>
      <sheetName val="Eme Sub TOS"/>
      <sheetName val="Emer Super TOS"/>
      <sheetName val="Waiting Sub TOS"/>
      <sheetName val="Wait Super TOS"/>
      <sheetName val="EMG &amp;Waitng Reinf"/>
      <sheetName val="Administration Summary "/>
      <sheetName val="ADMINISTRATION"/>
      <sheetName val="Admin Sub TOS"/>
      <sheetName val="Admin Super TOS "/>
      <sheetName val="Admin Reinf"/>
      <sheetName val="Diagnostic Summary "/>
      <sheetName val="DIAGNOSTIC SERVICE"/>
      <sheetName val="Daigos Sub TOS"/>
      <sheetName val="Diagno Super TOS"/>
      <sheetName val="Daigon Reinf"/>
      <sheetName val="Gen + Pump Summary"/>
      <sheetName val="Generator+Pump house"/>
      <sheetName val="Gen Sub TOS"/>
      <sheetName val="Genera Super TOS"/>
      <sheetName val="Gen Reinf"/>
      <sheetName val="pump takeoff"/>
      <sheetName val="Trans Super TOS"/>
      <sheetName val="Re-bar pump house"/>
      <sheetName val="Kitchen Summary  "/>
      <sheetName val="KITCHEN"/>
      <sheetName val="Kitchen takeoff"/>
      <sheetName val="Kit Super TOS"/>
      <sheetName val="Kitchen Reinf"/>
      <sheetName val="Guard Summary"/>
      <sheetName val="Guard house"/>
      <sheetName val="Meas Guard"/>
      <sheetName val="Guard Super TOS"/>
      <sheetName val="Guard Reinf"/>
      <sheetName val="Mourge Summary"/>
      <sheetName val="mourge"/>
      <sheetName val="Morgue takeoff"/>
      <sheetName val="Morgue Super TOS"/>
      <sheetName val="Morgue Reinf"/>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ow r="25">
          <cell r="K25">
            <v>628.524</v>
          </cell>
          <cell r="N25">
            <v>536.65920000000006</v>
          </cell>
        </row>
        <row r="59">
          <cell r="K59">
            <v>189.60000000000002</v>
          </cell>
          <cell r="M59">
            <v>584.23296000000005</v>
          </cell>
        </row>
        <row r="85">
          <cell r="K85">
            <v>285.15840000000003</v>
          </cell>
          <cell r="N85">
            <v>384.19920000000002</v>
          </cell>
        </row>
        <row r="117">
          <cell r="K117">
            <v>127.86150000000002</v>
          </cell>
          <cell r="M117">
            <v>412.67136000000005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ow r="149">
          <cell r="K149">
            <v>388.83800000000002</v>
          </cell>
          <cell r="M149">
            <v>1224.4632000000004</v>
          </cell>
        </row>
        <row r="278">
          <cell r="K278">
            <v>227.28299999999999</v>
          </cell>
          <cell r="M278">
            <v>711.30575999999996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rte.Sum"/>
      <sheetName val="pc cocer"/>
      <sheetName val="Grand summary"/>
      <sheetName val="IPD SUMMARY (2)"/>
      <sheetName val="IPD"/>
      <sheetName val="OPD SUMMARY "/>
      <sheetName val="OPD"/>
      <sheetName val="Staff +SQ  SUMMARY  "/>
      <sheetName val="staff residence+SQ"/>
      <sheetName val="OR &amp; Delivery SUMMARY  "/>
      <sheetName val="OR and Delivery"/>
      <sheetName val="Emergency Summary"/>
      <sheetName val="EMERGENCY WAITING"/>
      <sheetName val="RECEPTION"/>
      <sheetName val="Administration Summary "/>
      <sheetName val="ADMINISTRATION"/>
      <sheetName val="Diagnostic Summary "/>
      <sheetName val="DIAGNOSTIC SERVICE"/>
      <sheetName val="Gen + Pump Summary"/>
      <sheetName val="Generator+Pump house"/>
      <sheetName val="Kitchen Summary  "/>
      <sheetName val="KITCHEN"/>
      <sheetName val="Guard Summary"/>
      <sheetName val="Guard house"/>
      <sheetName val="Mourge Summary"/>
      <sheetName val="Site Work Summary"/>
      <sheetName val="site san el"/>
      <sheetName val="mourge"/>
      <sheetName val="Sheet1"/>
      <sheetName val="Sheet2"/>
      <sheetName val="Sheet3"/>
    </sheetNames>
    <sheetDataSet>
      <sheetData sheetId="0"/>
      <sheetData sheetId="1"/>
      <sheetData sheetId="2"/>
      <sheetData sheetId="3"/>
      <sheetData sheetId="4"/>
      <sheetData sheetId="5"/>
      <sheetData sheetId="6">
        <row r="11">
          <cell r="I11">
            <v>142401.65999999997</v>
          </cell>
        </row>
      </sheetData>
      <sheetData sheetId="7"/>
      <sheetData sheetId="8">
        <row r="12">
          <cell r="H12">
            <v>42579.67</v>
          </cell>
        </row>
      </sheetData>
      <sheetData sheetId="9"/>
      <sheetData sheetId="10">
        <row r="12">
          <cell r="I12">
            <v>237463.40000000002</v>
          </cell>
        </row>
      </sheetData>
      <sheetData sheetId="11"/>
      <sheetData sheetId="12">
        <row r="12">
          <cell r="I12">
            <v>100754.04999999999</v>
          </cell>
        </row>
      </sheetData>
      <sheetData sheetId="13">
        <row r="12">
          <cell r="I12">
            <v>59568.549999999996</v>
          </cell>
        </row>
      </sheetData>
      <sheetData sheetId="14"/>
      <sheetData sheetId="15">
        <row r="12">
          <cell r="H12">
            <v>113087.9</v>
          </cell>
        </row>
      </sheetData>
      <sheetData sheetId="16"/>
      <sheetData sheetId="17">
        <row r="12">
          <cell r="H12">
            <v>101656.9</v>
          </cell>
        </row>
      </sheetData>
      <sheetData sheetId="18"/>
      <sheetData sheetId="19">
        <row r="12">
          <cell r="H12">
            <v>7708.5999999999995</v>
          </cell>
        </row>
        <row r="98">
          <cell r="H98">
            <v>6550</v>
          </cell>
        </row>
        <row r="182">
          <cell r="H182">
            <v>1140</v>
          </cell>
        </row>
      </sheetData>
      <sheetData sheetId="20"/>
      <sheetData sheetId="21">
        <row r="12">
          <cell r="H12">
            <v>125324.26000000001</v>
          </cell>
        </row>
      </sheetData>
      <sheetData sheetId="22"/>
      <sheetData sheetId="23">
        <row r="12">
          <cell r="H12">
            <v>8774</v>
          </cell>
        </row>
      </sheetData>
      <sheetData sheetId="24"/>
      <sheetData sheetId="25"/>
      <sheetData sheetId="26"/>
      <sheetData sheetId="27">
        <row r="12">
          <cell r="H12">
            <v>4608.5499999999993</v>
          </cell>
        </row>
      </sheetData>
      <sheetData sheetId="28"/>
      <sheetData sheetId="29"/>
      <sheetData sheetId="3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D"/>
      <sheetName val="IPD RENI."/>
      <sheetName val="or delivery"/>
      <sheetName val="ORDELIVERY RENI."/>
      <sheetName val="OPD"/>
      <sheetName val="OPD RENI."/>
      <sheetName val="EMERG.waiting"/>
      <sheetName val="EMERG.waiting reni."/>
      <sheetName val="ADMINSTRATION"/>
      <sheetName val="ADMINSTRATION RENI."/>
      <sheetName val="DIAGNOSTIC"/>
      <sheetName val="DIAGNOSTIC RENI."/>
      <sheetName val="STAFF RESI."/>
      <sheetName val="SQ +STAFF RESI. RENI."/>
      <sheetName val="SQ"/>
      <sheetName val="KITCHEN"/>
      <sheetName val="KITCHEN REIN."/>
      <sheetName val="GUARD HOUSE"/>
      <sheetName val="GUARD HOUSE REIN."/>
      <sheetName val="time exten."/>
      <sheetName val="MOURGUE"/>
      <sheetName val="GENERATOR HOUSE"/>
      <sheetName val="site work"/>
      <sheetName val="ash &amp; needle pit"/>
      <sheetName val="transformer house"/>
      <sheetName val="site rein."/>
      <sheetName val="varation 1"/>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P33"/>
  <sheetViews>
    <sheetView view="pageBreakPreview" zoomScaleSheetLayoutView="100" workbookViewId="0">
      <selection activeCell="J7" sqref="J7"/>
    </sheetView>
  </sheetViews>
  <sheetFormatPr defaultRowHeight="18"/>
  <cols>
    <col min="1" max="1" width="9.140625" style="276"/>
    <col min="2" max="2" width="8.140625" style="284" customWidth="1"/>
    <col min="3" max="3" width="42.5703125" style="284" customWidth="1"/>
    <col min="4" max="4" width="30.85546875" style="285" customWidth="1"/>
    <col min="5" max="5" width="9.140625" style="276"/>
    <col min="6" max="6" width="12.85546875" style="276" customWidth="1"/>
    <col min="7" max="15" width="9.140625" style="276"/>
    <col min="16" max="16" width="12.7109375" style="276" customWidth="1"/>
    <col min="17" max="16384" width="9.140625" style="276"/>
  </cols>
  <sheetData>
    <row r="1" spans="2:10">
      <c r="B1" s="2029" t="s">
        <v>3158</v>
      </c>
      <c r="C1" s="2029"/>
      <c r="D1" s="2029"/>
      <c r="E1" s="277"/>
      <c r="F1" s="277"/>
      <c r="G1" s="277"/>
      <c r="H1" s="277"/>
      <c r="I1" s="277"/>
      <c r="J1" s="277"/>
    </row>
    <row r="2" spans="2:10">
      <c r="B2" s="2029"/>
      <c r="C2" s="2029"/>
      <c r="D2" s="2029"/>
      <c r="E2" s="277"/>
      <c r="F2" s="277"/>
      <c r="G2" s="277"/>
      <c r="H2" s="277"/>
      <c r="I2" s="277"/>
      <c r="J2" s="278"/>
    </row>
    <row r="3" spans="2:10">
      <c r="B3" s="2030" t="s">
        <v>1521</v>
      </c>
      <c r="C3" s="2030"/>
      <c r="D3" s="279"/>
      <c r="E3" s="279"/>
      <c r="F3" s="279"/>
      <c r="G3" s="277"/>
      <c r="H3" s="277"/>
      <c r="I3" s="280"/>
      <c r="J3" s="281"/>
    </row>
    <row r="4" spans="2:10">
      <c r="B4" s="2030" t="s">
        <v>1299</v>
      </c>
      <c r="C4" s="2030"/>
      <c r="D4" s="279"/>
      <c r="E4" s="279"/>
      <c r="F4" s="279"/>
      <c r="G4" s="277"/>
      <c r="H4" s="277"/>
      <c r="I4" s="282"/>
      <c r="J4" s="282"/>
    </row>
    <row r="5" spans="2:10">
      <c r="B5" s="2030" t="s">
        <v>1522</v>
      </c>
      <c r="C5" s="2030"/>
      <c r="D5" s="279"/>
      <c r="E5" s="279"/>
      <c r="F5" s="279"/>
      <c r="G5" s="277"/>
      <c r="H5" s="277"/>
      <c r="I5" s="280"/>
      <c r="J5" s="282"/>
    </row>
    <row r="6" spans="2:10">
      <c r="B6" s="2030" t="s">
        <v>1523</v>
      </c>
      <c r="C6" s="2030"/>
      <c r="D6" s="279"/>
      <c r="E6" s="279"/>
      <c r="F6" s="279"/>
      <c r="G6" s="277"/>
      <c r="H6" s="277"/>
      <c r="I6" s="277"/>
      <c r="J6" s="277"/>
    </row>
    <row r="7" spans="2:10">
      <c r="B7" s="279"/>
      <c r="C7" s="279"/>
      <c r="D7" s="279"/>
      <c r="E7" s="279"/>
      <c r="F7" s="279"/>
      <c r="G7" s="277"/>
      <c r="H7" s="277"/>
      <c r="I7" s="277"/>
      <c r="J7" s="277"/>
    </row>
    <row r="8" spans="2:10" ht="18" customHeight="1">
      <c r="B8" s="283"/>
      <c r="C8" s="2027" t="s">
        <v>1297</v>
      </c>
      <c r="D8" s="2027"/>
      <c r="E8" s="286"/>
      <c r="F8" s="286"/>
      <c r="G8" s="286"/>
    </row>
    <row r="9" spans="2:10" ht="18" customHeight="1">
      <c r="B9" s="283"/>
      <c r="C9" s="2027"/>
      <c r="D9" s="2027"/>
      <c r="E9" s="286"/>
      <c r="F9" s="286"/>
      <c r="G9" s="286"/>
    </row>
    <row r="10" spans="2:10" ht="18" customHeight="1">
      <c r="B10" s="287" t="s">
        <v>4</v>
      </c>
      <c r="C10" s="287" t="s">
        <v>1296</v>
      </c>
      <c r="D10" s="287" t="s">
        <v>3404</v>
      </c>
      <c r="E10" s="286"/>
      <c r="F10" s="288"/>
      <c r="G10" s="286"/>
    </row>
    <row r="11" spans="2:10" ht="18" customHeight="1">
      <c r="B11" s="287">
        <v>1</v>
      </c>
      <c r="C11" s="1772" t="s">
        <v>1295</v>
      </c>
      <c r="D11" s="289">
        <f>'IPD Sum'!I31</f>
        <v>3288999.9290634166</v>
      </c>
      <c r="E11" s="286"/>
      <c r="F11" s="290"/>
      <c r="G11" s="286"/>
    </row>
    <row r="12" spans="2:10" ht="18" customHeight="1">
      <c r="B12" s="287">
        <v>2</v>
      </c>
      <c r="C12" s="1772" t="s">
        <v>1294</v>
      </c>
      <c r="D12" s="289">
        <f>'OPD Sum'!I33</f>
        <v>2200274.4216368003</v>
      </c>
      <c r="E12" s="286"/>
      <c r="F12" s="291"/>
      <c r="G12" s="286"/>
    </row>
    <row r="13" spans="2:10" ht="18" customHeight="1">
      <c r="B13" s="287">
        <v>3</v>
      </c>
      <c r="C13" s="1772" t="s">
        <v>1293</v>
      </c>
      <c r="D13" s="289">
        <f>'Staff + SQ  Sum'!I33</f>
        <v>979705.35152000003</v>
      </c>
      <c r="E13" s="286"/>
      <c r="F13" s="291"/>
      <c r="G13" s="286"/>
    </row>
    <row r="14" spans="2:10" ht="18" customHeight="1">
      <c r="B14" s="287">
        <v>4</v>
      </c>
      <c r="C14" s="1772" t="s">
        <v>1292</v>
      </c>
      <c r="D14" s="289">
        <f>'OR &amp; Delivery Sum'!I33</f>
        <v>3138317.4965033331</v>
      </c>
      <c r="E14" s="286"/>
      <c r="F14" s="291"/>
      <c r="G14" s="286"/>
    </row>
    <row r="15" spans="2:10" ht="18" customHeight="1">
      <c r="B15" s="287">
        <v>5</v>
      </c>
      <c r="C15" s="1772" t="s">
        <v>1291</v>
      </c>
      <c r="D15" s="289">
        <f>'Emer. Sum'!G35</f>
        <v>1982728.4440266669</v>
      </c>
      <c r="E15" s="286"/>
      <c r="F15" s="291"/>
      <c r="G15" s="286"/>
    </row>
    <row r="16" spans="2:10" ht="18" customHeight="1">
      <c r="B16" s="287">
        <v>6</v>
      </c>
      <c r="C16" s="1772" t="s">
        <v>1290</v>
      </c>
      <c r="D16" s="289">
        <f>'Admin. Sum'!G35</f>
        <v>1414606.5380600002</v>
      </c>
      <c r="E16" s="286"/>
      <c r="F16" s="291"/>
      <c r="G16" s="286"/>
    </row>
    <row r="17" spans="2:16" ht="18" customHeight="1">
      <c r="B17" s="287">
        <v>7</v>
      </c>
      <c r="C17" s="1772" t="s">
        <v>1289</v>
      </c>
      <c r="D17" s="289">
        <f>'Diagno. Sum'!G34</f>
        <v>1251408.5222999998</v>
      </c>
      <c r="E17" s="286"/>
      <c r="F17" s="291"/>
      <c r="G17" s="286"/>
    </row>
    <row r="18" spans="2:16" ht="18" customHeight="1">
      <c r="B18" s="287">
        <v>8</v>
      </c>
      <c r="C18" s="1772" t="s">
        <v>1288</v>
      </c>
      <c r="D18" s="289">
        <f>'Gen + Pump Summary'!H34</f>
        <v>249100.47796000002</v>
      </c>
      <c r="E18" s="286"/>
      <c r="F18" s="286"/>
      <c r="G18" s="286"/>
    </row>
    <row r="19" spans="2:16" ht="18" customHeight="1">
      <c r="B19" s="287">
        <v>9</v>
      </c>
      <c r="C19" s="1772" t="s">
        <v>20</v>
      </c>
      <c r="D19" s="289">
        <f>'Kitchen Summary  '!G34</f>
        <v>1701012.2634699999</v>
      </c>
      <c r="E19" s="286"/>
      <c r="F19" s="291"/>
      <c r="G19" s="286"/>
    </row>
    <row r="20" spans="2:16" ht="18" customHeight="1">
      <c r="B20" s="287">
        <v>10</v>
      </c>
      <c r="C20" s="1772" t="s">
        <v>1287</v>
      </c>
      <c r="D20" s="292">
        <f>'Gua. Sum.'!J29</f>
        <v>112901.3504</v>
      </c>
      <c r="E20" s="286"/>
      <c r="F20" s="286"/>
      <c r="G20" s="286"/>
    </row>
    <row r="21" spans="2:16" ht="18" customHeight="1">
      <c r="B21" s="287">
        <v>11</v>
      </c>
      <c r="C21" s="1772" t="s">
        <v>1286</v>
      </c>
      <c r="D21" s="292">
        <f>'Mor. Sum.'!F29</f>
        <v>110891.594</v>
      </c>
      <c r="E21" s="286"/>
      <c r="F21" s="286"/>
      <c r="G21" s="286"/>
    </row>
    <row r="22" spans="2:16" ht="18" customHeight="1">
      <c r="B22" s="287">
        <v>12</v>
      </c>
      <c r="C22" s="1772" t="s">
        <v>1285</v>
      </c>
      <c r="D22" s="292">
        <f>'G Su Site'!G26</f>
        <v>5254274.5470551997</v>
      </c>
      <c r="E22" s="286"/>
      <c r="F22" s="286"/>
      <c r="G22" s="286"/>
    </row>
    <row r="23" spans="2:16" ht="18" customHeight="1">
      <c r="B23" s="287"/>
      <c r="C23" s="287" t="s">
        <v>1284</v>
      </c>
      <c r="D23" s="292">
        <f>SUM(D11:D22)</f>
        <v>21684220.935995415</v>
      </c>
      <c r="E23" s="286"/>
      <c r="F23" s="286"/>
      <c r="G23" s="286"/>
    </row>
    <row r="24" spans="2:16" ht="18" customHeight="1">
      <c r="B24" s="287"/>
      <c r="C24" s="287" t="s">
        <v>1283</v>
      </c>
      <c r="D24" s="293"/>
      <c r="E24" s="286"/>
      <c r="F24" s="288"/>
      <c r="G24" s="286"/>
    </row>
    <row r="25" spans="2:16" ht="18" customHeight="1">
      <c r="B25" s="287"/>
      <c r="C25" s="299" t="s">
        <v>1282</v>
      </c>
      <c r="D25" s="289">
        <f>SUM(D23:D24)</f>
        <v>21684220.935995415</v>
      </c>
      <c r="E25" s="286"/>
      <c r="F25" s="286"/>
      <c r="G25" s="286"/>
    </row>
    <row r="26" spans="2:16" ht="18.75">
      <c r="B26" s="283"/>
      <c r="C26" s="283"/>
      <c r="D26" s="294"/>
      <c r="G26" s="284"/>
      <c r="P26" s="295"/>
    </row>
    <row r="27" spans="2:16" ht="18.75">
      <c r="C27" s="296"/>
      <c r="D27" s="297"/>
      <c r="G27" s="284"/>
    </row>
    <row r="28" spans="2:16" ht="18.75">
      <c r="C28" s="298"/>
      <c r="D28" s="297" t="s">
        <v>1281</v>
      </c>
    </row>
    <row r="30" spans="2:16">
      <c r="D30" s="297"/>
    </row>
    <row r="33" spans="2:4" ht="18.75">
      <c r="B33" s="2028"/>
      <c r="C33" s="2028"/>
      <c r="D33" s="2028"/>
    </row>
  </sheetData>
  <mergeCells count="9">
    <mergeCell ref="C9:D9"/>
    <mergeCell ref="B33:D33"/>
    <mergeCell ref="B1:D1"/>
    <mergeCell ref="B3:C3"/>
    <mergeCell ref="B4:C4"/>
    <mergeCell ref="B5:C5"/>
    <mergeCell ref="B6:C6"/>
    <mergeCell ref="C8:D8"/>
    <mergeCell ref="B2:D2"/>
  </mergeCells>
  <printOptions horizontalCentered="1"/>
  <pageMargins left="0.5" right="0.25" top="1" bottom="0.75" header="0.3" footer="0.3"/>
  <pageSetup paperSize="9" scale="95" orientation="portrait" horizontalDpi="300" verticalDpi="300" r:id="rId1"/>
  <headerFooter>
    <oddFooter>&amp;LContractor-----------------------------&amp;RSupervisor----------------------------</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I46"/>
  <sheetViews>
    <sheetView view="pageBreakPreview" zoomScaleSheetLayoutView="100" workbookViewId="0">
      <selection activeCell="G32" sqref="G32"/>
    </sheetView>
  </sheetViews>
  <sheetFormatPr defaultRowHeight="15"/>
  <cols>
    <col min="1" max="1" width="5.28515625" style="301" customWidth="1"/>
    <col min="2" max="2" width="7.5703125" style="301" customWidth="1"/>
    <col min="3" max="4" width="9.140625" style="301"/>
    <col min="5" max="5" width="13.140625" style="301" customWidth="1"/>
    <col min="6" max="6" width="16.85546875" style="301" customWidth="1"/>
    <col min="7" max="7" width="17.140625" style="301" customWidth="1"/>
    <col min="8" max="8" width="18.85546875" style="301" customWidth="1"/>
    <col min="9" max="9" width="16.42578125" style="301" customWidth="1"/>
    <col min="10" max="10" width="5.42578125" style="301" customWidth="1"/>
    <col min="11" max="11" width="4.42578125" style="301" customWidth="1"/>
    <col min="12" max="256" width="9.140625" style="301"/>
    <col min="257" max="257" width="7.5703125" style="301" customWidth="1"/>
    <col min="258" max="259" width="9.140625" style="301"/>
    <col min="260" max="260" width="5.85546875" style="301" customWidth="1"/>
    <col min="261" max="261" width="1.42578125" style="301" customWidth="1"/>
    <col min="262" max="262" width="16.85546875" style="301" customWidth="1"/>
    <col min="263" max="263" width="17.140625" style="301" customWidth="1"/>
    <col min="264" max="264" width="18.85546875" style="301" customWidth="1"/>
    <col min="265" max="265" width="16.42578125" style="301" customWidth="1"/>
    <col min="266" max="512" width="9.140625" style="301"/>
    <col min="513" max="513" width="7.5703125" style="301" customWidth="1"/>
    <col min="514" max="515" width="9.140625" style="301"/>
    <col min="516" max="516" width="5.85546875" style="301" customWidth="1"/>
    <col min="517" max="517" width="1.42578125" style="301" customWidth="1"/>
    <col min="518" max="518" width="16.85546875" style="301" customWidth="1"/>
    <col min="519" max="519" width="17.140625" style="301" customWidth="1"/>
    <col min="520" max="520" width="18.85546875" style="301" customWidth="1"/>
    <col min="521" max="521" width="16.42578125" style="301" customWidth="1"/>
    <col min="522" max="768" width="9.140625" style="301"/>
    <col min="769" max="769" width="7.5703125" style="301" customWidth="1"/>
    <col min="770" max="771" width="9.140625" style="301"/>
    <col min="772" max="772" width="5.85546875" style="301" customWidth="1"/>
    <col min="773" max="773" width="1.42578125" style="301" customWidth="1"/>
    <col min="774" max="774" width="16.85546875" style="301" customWidth="1"/>
    <col min="775" max="775" width="17.140625" style="301" customWidth="1"/>
    <col min="776" max="776" width="18.85546875" style="301" customWidth="1"/>
    <col min="777" max="777" width="16.42578125" style="301" customWidth="1"/>
    <col min="778" max="1024" width="9.140625" style="301"/>
    <col min="1025" max="1025" width="7.5703125" style="301" customWidth="1"/>
    <col min="1026" max="1027" width="9.140625" style="301"/>
    <col min="1028" max="1028" width="5.85546875" style="301" customWidth="1"/>
    <col min="1029" max="1029" width="1.42578125" style="301" customWidth="1"/>
    <col min="1030" max="1030" width="16.85546875" style="301" customWidth="1"/>
    <col min="1031" max="1031" width="17.140625" style="301" customWidth="1"/>
    <col min="1032" max="1032" width="18.85546875" style="301" customWidth="1"/>
    <col min="1033" max="1033" width="16.42578125" style="301" customWidth="1"/>
    <col min="1034" max="1280" width="9.140625" style="301"/>
    <col min="1281" max="1281" width="7.5703125" style="301" customWidth="1"/>
    <col min="1282" max="1283" width="9.140625" style="301"/>
    <col min="1284" max="1284" width="5.85546875" style="301" customWidth="1"/>
    <col min="1285" max="1285" width="1.42578125" style="301" customWidth="1"/>
    <col min="1286" max="1286" width="16.85546875" style="301" customWidth="1"/>
    <col min="1287" max="1287" width="17.140625" style="301" customWidth="1"/>
    <col min="1288" max="1288" width="18.85546875" style="301" customWidth="1"/>
    <col min="1289" max="1289" width="16.42578125" style="301" customWidth="1"/>
    <col min="1290" max="1536" width="9.140625" style="301"/>
    <col min="1537" max="1537" width="7.5703125" style="301" customWidth="1"/>
    <col min="1538" max="1539" width="9.140625" style="301"/>
    <col min="1540" max="1540" width="5.85546875" style="301" customWidth="1"/>
    <col min="1541" max="1541" width="1.42578125" style="301" customWidth="1"/>
    <col min="1542" max="1542" width="16.85546875" style="301" customWidth="1"/>
    <col min="1543" max="1543" width="17.140625" style="301" customWidth="1"/>
    <col min="1544" max="1544" width="18.85546875" style="301" customWidth="1"/>
    <col min="1545" max="1545" width="16.42578125" style="301" customWidth="1"/>
    <col min="1546" max="1792" width="9.140625" style="301"/>
    <col min="1793" max="1793" width="7.5703125" style="301" customWidth="1"/>
    <col min="1794" max="1795" width="9.140625" style="301"/>
    <col min="1796" max="1796" width="5.85546875" style="301" customWidth="1"/>
    <col min="1797" max="1797" width="1.42578125" style="301" customWidth="1"/>
    <col min="1798" max="1798" width="16.85546875" style="301" customWidth="1"/>
    <col min="1799" max="1799" width="17.140625" style="301" customWidth="1"/>
    <col min="1800" max="1800" width="18.85546875" style="301" customWidth="1"/>
    <col min="1801" max="1801" width="16.42578125" style="301" customWidth="1"/>
    <col min="1802" max="2048" width="9.140625" style="301"/>
    <col min="2049" max="2049" width="7.5703125" style="301" customWidth="1"/>
    <col min="2050" max="2051" width="9.140625" style="301"/>
    <col min="2052" max="2052" width="5.85546875" style="301" customWidth="1"/>
    <col min="2053" max="2053" width="1.42578125" style="301" customWidth="1"/>
    <col min="2054" max="2054" width="16.85546875" style="301" customWidth="1"/>
    <col min="2055" max="2055" width="17.140625" style="301" customWidth="1"/>
    <col min="2056" max="2056" width="18.85546875" style="301" customWidth="1"/>
    <col min="2057" max="2057" width="16.42578125" style="301" customWidth="1"/>
    <col min="2058" max="2304" width="9.140625" style="301"/>
    <col min="2305" max="2305" width="7.5703125" style="301" customWidth="1"/>
    <col min="2306" max="2307" width="9.140625" style="301"/>
    <col min="2308" max="2308" width="5.85546875" style="301" customWidth="1"/>
    <col min="2309" max="2309" width="1.42578125" style="301" customWidth="1"/>
    <col min="2310" max="2310" width="16.85546875" style="301" customWidth="1"/>
    <col min="2311" max="2311" width="17.140625" style="301" customWidth="1"/>
    <col min="2312" max="2312" width="18.85546875" style="301" customWidth="1"/>
    <col min="2313" max="2313" width="16.42578125" style="301" customWidth="1"/>
    <col min="2314" max="2560" width="9.140625" style="301"/>
    <col min="2561" max="2561" width="7.5703125" style="301" customWidth="1"/>
    <col min="2562" max="2563" width="9.140625" style="301"/>
    <col min="2564" max="2564" width="5.85546875" style="301" customWidth="1"/>
    <col min="2565" max="2565" width="1.42578125" style="301" customWidth="1"/>
    <col min="2566" max="2566" width="16.85546875" style="301" customWidth="1"/>
    <col min="2567" max="2567" width="17.140625" style="301" customWidth="1"/>
    <col min="2568" max="2568" width="18.85546875" style="301" customWidth="1"/>
    <col min="2569" max="2569" width="16.42578125" style="301" customWidth="1"/>
    <col min="2570" max="2816" width="9.140625" style="301"/>
    <col min="2817" max="2817" width="7.5703125" style="301" customWidth="1"/>
    <col min="2818" max="2819" width="9.140625" style="301"/>
    <col min="2820" max="2820" width="5.85546875" style="301" customWidth="1"/>
    <col min="2821" max="2821" width="1.42578125" style="301" customWidth="1"/>
    <col min="2822" max="2822" width="16.85546875" style="301" customWidth="1"/>
    <col min="2823" max="2823" width="17.140625" style="301" customWidth="1"/>
    <col min="2824" max="2824" width="18.85546875" style="301" customWidth="1"/>
    <col min="2825" max="2825" width="16.42578125" style="301" customWidth="1"/>
    <col min="2826" max="3072" width="9.140625" style="301"/>
    <col min="3073" max="3073" width="7.5703125" style="301" customWidth="1"/>
    <col min="3074" max="3075" width="9.140625" style="301"/>
    <col min="3076" max="3076" width="5.85546875" style="301" customWidth="1"/>
    <col min="3077" max="3077" width="1.42578125" style="301" customWidth="1"/>
    <col min="3078" max="3078" width="16.85546875" style="301" customWidth="1"/>
    <col min="3079" max="3079" width="17.140625" style="301" customWidth="1"/>
    <col min="3080" max="3080" width="18.85546875" style="301" customWidth="1"/>
    <col min="3081" max="3081" width="16.42578125" style="301" customWidth="1"/>
    <col min="3082" max="3328" width="9.140625" style="301"/>
    <col min="3329" max="3329" width="7.5703125" style="301" customWidth="1"/>
    <col min="3330" max="3331" width="9.140625" style="301"/>
    <col min="3332" max="3332" width="5.85546875" style="301" customWidth="1"/>
    <col min="3333" max="3333" width="1.42578125" style="301" customWidth="1"/>
    <col min="3334" max="3334" width="16.85546875" style="301" customWidth="1"/>
    <col min="3335" max="3335" width="17.140625" style="301" customWidth="1"/>
    <col min="3336" max="3336" width="18.85546875" style="301" customWidth="1"/>
    <col min="3337" max="3337" width="16.42578125" style="301" customWidth="1"/>
    <col min="3338" max="3584" width="9.140625" style="301"/>
    <col min="3585" max="3585" width="7.5703125" style="301" customWidth="1"/>
    <col min="3586" max="3587" width="9.140625" style="301"/>
    <col min="3588" max="3588" width="5.85546875" style="301" customWidth="1"/>
    <col min="3589" max="3589" width="1.42578125" style="301" customWidth="1"/>
    <col min="3590" max="3590" width="16.85546875" style="301" customWidth="1"/>
    <col min="3591" max="3591" width="17.140625" style="301" customWidth="1"/>
    <col min="3592" max="3592" width="18.85546875" style="301" customWidth="1"/>
    <col min="3593" max="3593" width="16.42578125" style="301" customWidth="1"/>
    <col min="3594" max="3840" width="9.140625" style="301"/>
    <col min="3841" max="3841" width="7.5703125" style="301" customWidth="1"/>
    <col min="3842" max="3843" width="9.140625" style="301"/>
    <col min="3844" max="3844" width="5.85546875" style="301" customWidth="1"/>
    <col min="3845" max="3845" width="1.42578125" style="301" customWidth="1"/>
    <col min="3846" max="3846" width="16.85546875" style="301" customWidth="1"/>
    <col min="3847" max="3847" width="17.140625" style="301" customWidth="1"/>
    <col min="3848" max="3848" width="18.85546875" style="301" customWidth="1"/>
    <col min="3849" max="3849" width="16.42578125" style="301" customWidth="1"/>
    <col min="3850" max="4096" width="9.140625" style="301"/>
    <col min="4097" max="4097" width="7.5703125" style="301" customWidth="1"/>
    <col min="4098" max="4099" width="9.140625" style="301"/>
    <col min="4100" max="4100" width="5.85546875" style="301" customWidth="1"/>
    <col min="4101" max="4101" width="1.42578125" style="301" customWidth="1"/>
    <col min="4102" max="4102" width="16.85546875" style="301" customWidth="1"/>
    <col min="4103" max="4103" width="17.140625" style="301" customWidth="1"/>
    <col min="4104" max="4104" width="18.85546875" style="301" customWidth="1"/>
    <col min="4105" max="4105" width="16.42578125" style="301" customWidth="1"/>
    <col min="4106" max="4352" width="9.140625" style="301"/>
    <col min="4353" max="4353" width="7.5703125" style="301" customWidth="1"/>
    <col min="4354" max="4355" width="9.140625" style="301"/>
    <col min="4356" max="4356" width="5.85546875" style="301" customWidth="1"/>
    <col min="4357" max="4357" width="1.42578125" style="301" customWidth="1"/>
    <col min="4358" max="4358" width="16.85546875" style="301" customWidth="1"/>
    <col min="4359" max="4359" width="17.140625" style="301" customWidth="1"/>
    <col min="4360" max="4360" width="18.85546875" style="301" customWidth="1"/>
    <col min="4361" max="4361" width="16.42578125" style="301" customWidth="1"/>
    <col min="4362" max="4608" width="9.140625" style="301"/>
    <col min="4609" max="4609" width="7.5703125" style="301" customWidth="1"/>
    <col min="4610" max="4611" width="9.140625" style="301"/>
    <col min="4612" max="4612" width="5.85546875" style="301" customWidth="1"/>
    <col min="4613" max="4613" width="1.42578125" style="301" customWidth="1"/>
    <col min="4614" max="4614" width="16.85546875" style="301" customWidth="1"/>
    <col min="4615" max="4615" width="17.140625" style="301" customWidth="1"/>
    <col min="4616" max="4616" width="18.85546875" style="301" customWidth="1"/>
    <col min="4617" max="4617" width="16.42578125" style="301" customWidth="1"/>
    <col min="4618" max="4864" width="9.140625" style="301"/>
    <col min="4865" max="4865" width="7.5703125" style="301" customWidth="1"/>
    <col min="4866" max="4867" width="9.140625" style="301"/>
    <col min="4868" max="4868" width="5.85546875" style="301" customWidth="1"/>
    <col min="4869" max="4869" width="1.42578125" style="301" customWidth="1"/>
    <col min="4870" max="4870" width="16.85546875" style="301" customWidth="1"/>
    <col min="4871" max="4871" width="17.140625" style="301" customWidth="1"/>
    <col min="4872" max="4872" width="18.85546875" style="301" customWidth="1"/>
    <col min="4873" max="4873" width="16.42578125" style="301" customWidth="1"/>
    <col min="4874" max="5120" width="9.140625" style="301"/>
    <col min="5121" max="5121" width="7.5703125" style="301" customWidth="1"/>
    <col min="5122" max="5123" width="9.140625" style="301"/>
    <col min="5124" max="5124" width="5.85546875" style="301" customWidth="1"/>
    <col min="5125" max="5125" width="1.42578125" style="301" customWidth="1"/>
    <col min="5126" max="5126" width="16.85546875" style="301" customWidth="1"/>
    <col min="5127" max="5127" width="17.140625" style="301" customWidth="1"/>
    <col min="5128" max="5128" width="18.85546875" style="301" customWidth="1"/>
    <col min="5129" max="5129" width="16.42578125" style="301" customWidth="1"/>
    <col min="5130" max="5376" width="9.140625" style="301"/>
    <col min="5377" max="5377" width="7.5703125" style="301" customWidth="1"/>
    <col min="5378" max="5379" width="9.140625" style="301"/>
    <col min="5380" max="5380" width="5.85546875" style="301" customWidth="1"/>
    <col min="5381" max="5381" width="1.42578125" style="301" customWidth="1"/>
    <col min="5382" max="5382" width="16.85546875" style="301" customWidth="1"/>
    <col min="5383" max="5383" width="17.140625" style="301" customWidth="1"/>
    <col min="5384" max="5384" width="18.85546875" style="301" customWidth="1"/>
    <col min="5385" max="5385" width="16.42578125" style="301" customWidth="1"/>
    <col min="5386" max="5632" width="9.140625" style="301"/>
    <col min="5633" max="5633" width="7.5703125" style="301" customWidth="1"/>
    <col min="5634" max="5635" width="9.140625" style="301"/>
    <col min="5636" max="5636" width="5.85546875" style="301" customWidth="1"/>
    <col min="5637" max="5637" width="1.42578125" style="301" customWidth="1"/>
    <col min="5638" max="5638" width="16.85546875" style="301" customWidth="1"/>
    <col min="5639" max="5639" width="17.140625" style="301" customWidth="1"/>
    <col min="5640" max="5640" width="18.85546875" style="301" customWidth="1"/>
    <col min="5641" max="5641" width="16.42578125" style="301" customWidth="1"/>
    <col min="5642" max="5888" width="9.140625" style="301"/>
    <col min="5889" max="5889" width="7.5703125" style="301" customWidth="1"/>
    <col min="5890" max="5891" width="9.140625" style="301"/>
    <col min="5892" max="5892" width="5.85546875" style="301" customWidth="1"/>
    <col min="5893" max="5893" width="1.42578125" style="301" customWidth="1"/>
    <col min="5894" max="5894" width="16.85546875" style="301" customWidth="1"/>
    <col min="5895" max="5895" width="17.140625" style="301" customWidth="1"/>
    <col min="5896" max="5896" width="18.85546875" style="301" customWidth="1"/>
    <col min="5897" max="5897" width="16.42578125" style="301" customWidth="1"/>
    <col min="5898" max="6144" width="9.140625" style="301"/>
    <col min="6145" max="6145" width="7.5703125" style="301" customWidth="1"/>
    <col min="6146" max="6147" width="9.140625" style="301"/>
    <col min="6148" max="6148" width="5.85546875" style="301" customWidth="1"/>
    <col min="6149" max="6149" width="1.42578125" style="301" customWidth="1"/>
    <col min="6150" max="6150" width="16.85546875" style="301" customWidth="1"/>
    <col min="6151" max="6151" width="17.140625" style="301" customWidth="1"/>
    <col min="6152" max="6152" width="18.85546875" style="301" customWidth="1"/>
    <col min="6153" max="6153" width="16.42578125" style="301" customWidth="1"/>
    <col min="6154" max="6400" width="9.140625" style="301"/>
    <col min="6401" max="6401" width="7.5703125" style="301" customWidth="1"/>
    <col min="6402" max="6403" width="9.140625" style="301"/>
    <col min="6404" max="6404" width="5.85546875" style="301" customWidth="1"/>
    <col min="6405" max="6405" width="1.42578125" style="301" customWidth="1"/>
    <col min="6406" max="6406" width="16.85546875" style="301" customWidth="1"/>
    <col min="6407" max="6407" width="17.140625" style="301" customWidth="1"/>
    <col min="6408" max="6408" width="18.85546875" style="301" customWidth="1"/>
    <col min="6409" max="6409" width="16.42578125" style="301" customWidth="1"/>
    <col min="6410" max="6656" width="9.140625" style="301"/>
    <col min="6657" max="6657" width="7.5703125" style="301" customWidth="1"/>
    <col min="6658" max="6659" width="9.140625" style="301"/>
    <col min="6660" max="6660" width="5.85546875" style="301" customWidth="1"/>
    <col min="6661" max="6661" width="1.42578125" style="301" customWidth="1"/>
    <col min="6662" max="6662" width="16.85546875" style="301" customWidth="1"/>
    <col min="6663" max="6663" width="17.140625" style="301" customWidth="1"/>
    <col min="6664" max="6664" width="18.85546875" style="301" customWidth="1"/>
    <col min="6665" max="6665" width="16.42578125" style="301" customWidth="1"/>
    <col min="6666" max="6912" width="9.140625" style="301"/>
    <col min="6913" max="6913" width="7.5703125" style="301" customWidth="1"/>
    <col min="6914" max="6915" width="9.140625" style="301"/>
    <col min="6916" max="6916" width="5.85546875" style="301" customWidth="1"/>
    <col min="6917" max="6917" width="1.42578125" style="301" customWidth="1"/>
    <col min="6918" max="6918" width="16.85546875" style="301" customWidth="1"/>
    <col min="6919" max="6919" width="17.140625" style="301" customWidth="1"/>
    <col min="6920" max="6920" width="18.85546875" style="301" customWidth="1"/>
    <col min="6921" max="6921" width="16.42578125" style="301" customWidth="1"/>
    <col min="6922" max="7168" width="9.140625" style="301"/>
    <col min="7169" max="7169" width="7.5703125" style="301" customWidth="1"/>
    <col min="7170" max="7171" width="9.140625" style="301"/>
    <col min="7172" max="7172" width="5.85546875" style="301" customWidth="1"/>
    <col min="7173" max="7173" width="1.42578125" style="301" customWidth="1"/>
    <col min="7174" max="7174" width="16.85546875" style="301" customWidth="1"/>
    <col min="7175" max="7175" width="17.140625" style="301" customWidth="1"/>
    <col min="7176" max="7176" width="18.85546875" style="301" customWidth="1"/>
    <col min="7177" max="7177" width="16.42578125" style="301" customWidth="1"/>
    <col min="7178" max="7424" width="9.140625" style="301"/>
    <col min="7425" max="7425" width="7.5703125" style="301" customWidth="1"/>
    <col min="7426" max="7427" width="9.140625" style="301"/>
    <col min="7428" max="7428" width="5.85546875" style="301" customWidth="1"/>
    <col min="7429" max="7429" width="1.42578125" style="301" customWidth="1"/>
    <col min="7430" max="7430" width="16.85546875" style="301" customWidth="1"/>
    <col min="7431" max="7431" width="17.140625" style="301" customWidth="1"/>
    <col min="7432" max="7432" width="18.85546875" style="301" customWidth="1"/>
    <col min="7433" max="7433" width="16.42578125" style="301" customWidth="1"/>
    <col min="7434" max="7680" width="9.140625" style="301"/>
    <col min="7681" max="7681" width="7.5703125" style="301" customWidth="1"/>
    <col min="7682" max="7683" width="9.140625" style="301"/>
    <col min="7684" max="7684" width="5.85546875" style="301" customWidth="1"/>
    <col min="7685" max="7685" width="1.42578125" style="301" customWidth="1"/>
    <col min="7686" max="7686" width="16.85546875" style="301" customWidth="1"/>
    <col min="7687" max="7687" width="17.140625" style="301" customWidth="1"/>
    <col min="7688" max="7688" width="18.85546875" style="301" customWidth="1"/>
    <col min="7689" max="7689" width="16.42578125" style="301" customWidth="1"/>
    <col min="7690" max="7936" width="9.140625" style="301"/>
    <col min="7937" max="7937" width="7.5703125" style="301" customWidth="1"/>
    <col min="7938" max="7939" width="9.140625" style="301"/>
    <col min="7940" max="7940" width="5.85546875" style="301" customWidth="1"/>
    <col min="7941" max="7941" width="1.42578125" style="301" customWidth="1"/>
    <col min="7942" max="7942" width="16.85546875" style="301" customWidth="1"/>
    <col min="7943" max="7943" width="17.140625" style="301" customWidth="1"/>
    <col min="7944" max="7944" width="18.85546875" style="301" customWidth="1"/>
    <col min="7945" max="7945" width="16.42578125" style="301" customWidth="1"/>
    <col min="7946" max="8192" width="9.140625" style="301"/>
    <col min="8193" max="8193" width="7.5703125" style="301" customWidth="1"/>
    <col min="8194" max="8195" width="9.140625" style="301"/>
    <col min="8196" max="8196" width="5.85546875" style="301" customWidth="1"/>
    <col min="8197" max="8197" width="1.42578125" style="301" customWidth="1"/>
    <col min="8198" max="8198" width="16.85546875" style="301" customWidth="1"/>
    <col min="8199" max="8199" width="17.140625" style="301" customWidth="1"/>
    <col min="8200" max="8200" width="18.85546875" style="301" customWidth="1"/>
    <col min="8201" max="8201" width="16.42578125" style="301" customWidth="1"/>
    <col min="8202" max="8448" width="9.140625" style="301"/>
    <col min="8449" max="8449" width="7.5703125" style="301" customWidth="1"/>
    <col min="8450" max="8451" width="9.140625" style="301"/>
    <col min="8452" max="8452" width="5.85546875" style="301" customWidth="1"/>
    <col min="8453" max="8453" width="1.42578125" style="301" customWidth="1"/>
    <col min="8454" max="8454" width="16.85546875" style="301" customWidth="1"/>
    <col min="8455" max="8455" width="17.140625" style="301" customWidth="1"/>
    <col min="8456" max="8456" width="18.85546875" style="301" customWidth="1"/>
    <col min="8457" max="8457" width="16.42578125" style="301" customWidth="1"/>
    <col min="8458" max="8704" width="9.140625" style="301"/>
    <col min="8705" max="8705" width="7.5703125" style="301" customWidth="1"/>
    <col min="8706" max="8707" width="9.140625" style="301"/>
    <col min="8708" max="8708" width="5.85546875" style="301" customWidth="1"/>
    <col min="8709" max="8709" width="1.42578125" style="301" customWidth="1"/>
    <col min="8710" max="8710" width="16.85546875" style="301" customWidth="1"/>
    <col min="8711" max="8711" width="17.140625" style="301" customWidth="1"/>
    <col min="8712" max="8712" width="18.85546875" style="301" customWidth="1"/>
    <col min="8713" max="8713" width="16.42578125" style="301" customWidth="1"/>
    <col min="8714" max="8960" width="9.140625" style="301"/>
    <col min="8961" max="8961" width="7.5703125" style="301" customWidth="1"/>
    <col min="8962" max="8963" width="9.140625" style="301"/>
    <col min="8964" max="8964" width="5.85546875" style="301" customWidth="1"/>
    <col min="8965" max="8965" width="1.42578125" style="301" customWidth="1"/>
    <col min="8966" max="8966" width="16.85546875" style="301" customWidth="1"/>
    <col min="8967" max="8967" width="17.140625" style="301" customWidth="1"/>
    <col min="8968" max="8968" width="18.85546875" style="301" customWidth="1"/>
    <col min="8969" max="8969" width="16.42578125" style="301" customWidth="1"/>
    <col min="8970" max="9216" width="9.140625" style="301"/>
    <col min="9217" max="9217" width="7.5703125" style="301" customWidth="1"/>
    <col min="9218" max="9219" width="9.140625" style="301"/>
    <col min="9220" max="9220" width="5.85546875" style="301" customWidth="1"/>
    <col min="9221" max="9221" width="1.42578125" style="301" customWidth="1"/>
    <col min="9222" max="9222" width="16.85546875" style="301" customWidth="1"/>
    <col min="9223" max="9223" width="17.140625" style="301" customWidth="1"/>
    <col min="9224" max="9224" width="18.85546875" style="301" customWidth="1"/>
    <col min="9225" max="9225" width="16.42578125" style="301" customWidth="1"/>
    <col min="9226" max="9472" width="9.140625" style="301"/>
    <col min="9473" max="9473" width="7.5703125" style="301" customWidth="1"/>
    <col min="9474" max="9475" width="9.140625" style="301"/>
    <col min="9476" max="9476" width="5.85546875" style="301" customWidth="1"/>
    <col min="9477" max="9477" width="1.42578125" style="301" customWidth="1"/>
    <col min="9478" max="9478" width="16.85546875" style="301" customWidth="1"/>
    <col min="9479" max="9479" width="17.140625" style="301" customWidth="1"/>
    <col min="9480" max="9480" width="18.85546875" style="301" customWidth="1"/>
    <col min="9481" max="9481" width="16.42578125" style="301" customWidth="1"/>
    <col min="9482" max="9728" width="9.140625" style="301"/>
    <col min="9729" max="9729" width="7.5703125" style="301" customWidth="1"/>
    <col min="9730" max="9731" width="9.140625" style="301"/>
    <col min="9732" max="9732" width="5.85546875" style="301" customWidth="1"/>
    <col min="9733" max="9733" width="1.42578125" style="301" customWidth="1"/>
    <col min="9734" max="9734" width="16.85546875" style="301" customWidth="1"/>
    <col min="9735" max="9735" width="17.140625" style="301" customWidth="1"/>
    <col min="9736" max="9736" width="18.85546875" style="301" customWidth="1"/>
    <col min="9737" max="9737" width="16.42578125" style="301" customWidth="1"/>
    <col min="9738" max="9984" width="9.140625" style="301"/>
    <col min="9985" max="9985" width="7.5703125" style="301" customWidth="1"/>
    <col min="9986" max="9987" width="9.140625" style="301"/>
    <col min="9988" max="9988" width="5.85546875" style="301" customWidth="1"/>
    <col min="9989" max="9989" width="1.42578125" style="301" customWidth="1"/>
    <col min="9990" max="9990" width="16.85546875" style="301" customWidth="1"/>
    <col min="9991" max="9991" width="17.140625" style="301" customWidth="1"/>
    <col min="9992" max="9992" width="18.85546875" style="301" customWidth="1"/>
    <col min="9993" max="9993" width="16.42578125" style="301" customWidth="1"/>
    <col min="9994" max="10240" width="9.140625" style="301"/>
    <col min="10241" max="10241" width="7.5703125" style="301" customWidth="1"/>
    <col min="10242" max="10243" width="9.140625" style="301"/>
    <col min="10244" max="10244" width="5.85546875" style="301" customWidth="1"/>
    <col min="10245" max="10245" width="1.42578125" style="301" customWidth="1"/>
    <col min="10246" max="10246" width="16.85546875" style="301" customWidth="1"/>
    <col min="10247" max="10247" width="17.140625" style="301" customWidth="1"/>
    <col min="10248" max="10248" width="18.85546875" style="301" customWidth="1"/>
    <col min="10249" max="10249" width="16.42578125" style="301" customWidth="1"/>
    <col min="10250" max="10496" width="9.140625" style="301"/>
    <col min="10497" max="10497" width="7.5703125" style="301" customWidth="1"/>
    <col min="10498" max="10499" width="9.140625" style="301"/>
    <col min="10500" max="10500" width="5.85546875" style="301" customWidth="1"/>
    <col min="10501" max="10501" width="1.42578125" style="301" customWidth="1"/>
    <col min="10502" max="10502" width="16.85546875" style="301" customWidth="1"/>
    <col min="10503" max="10503" width="17.140625" style="301" customWidth="1"/>
    <col min="10504" max="10504" width="18.85546875" style="301" customWidth="1"/>
    <col min="10505" max="10505" width="16.42578125" style="301" customWidth="1"/>
    <col min="10506" max="10752" width="9.140625" style="301"/>
    <col min="10753" max="10753" width="7.5703125" style="301" customWidth="1"/>
    <col min="10754" max="10755" width="9.140625" style="301"/>
    <col min="10756" max="10756" width="5.85546875" style="301" customWidth="1"/>
    <col min="10757" max="10757" width="1.42578125" style="301" customWidth="1"/>
    <col min="10758" max="10758" width="16.85546875" style="301" customWidth="1"/>
    <col min="10759" max="10759" width="17.140625" style="301" customWidth="1"/>
    <col min="10760" max="10760" width="18.85546875" style="301" customWidth="1"/>
    <col min="10761" max="10761" width="16.42578125" style="301" customWidth="1"/>
    <col min="10762" max="11008" width="9.140625" style="301"/>
    <col min="11009" max="11009" width="7.5703125" style="301" customWidth="1"/>
    <col min="11010" max="11011" width="9.140625" style="301"/>
    <col min="11012" max="11012" width="5.85546875" style="301" customWidth="1"/>
    <col min="11013" max="11013" width="1.42578125" style="301" customWidth="1"/>
    <col min="11014" max="11014" width="16.85546875" style="301" customWidth="1"/>
    <col min="11015" max="11015" width="17.140625" style="301" customWidth="1"/>
    <col min="11016" max="11016" width="18.85546875" style="301" customWidth="1"/>
    <col min="11017" max="11017" width="16.42578125" style="301" customWidth="1"/>
    <col min="11018" max="11264" width="9.140625" style="301"/>
    <col min="11265" max="11265" width="7.5703125" style="301" customWidth="1"/>
    <col min="11266" max="11267" width="9.140625" style="301"/>
    <col min="11268" max="11268" width="5.85546875" style="301" customWidth="1"/>
    <col min="11269" max="11269" width="1.42578125" style="301" customWidth="1"/>
    <col min="11270" max="11270" width="16.85546875" style="301" customWidth="1"/>
    <col min="11271" max="11271" width="17.140625" style="301" customWidth="1"/>
    <col min="11272" max="11272" width="18.85546875" style="301" customWidth="1"/>
    <col min="11273" max="11273" width="16.42578125" style="301" customWidth="1"/>
    <col min="11274" max="11520" width="9.140625" style="301"/>
    <col min="11521" max="11521" width="7.5703125" style="301" customWidth="1"/>
    <col min="11522" max="11523" width="9.140625" style="301"/>
    <col min="11524" max="11524" width="5.85546875" style="301" customWidth="1"/>
    <col min="11525" max="11525" width="1.42578125" style="301" customWidth="1"/>
    <col min="11526" max="11526" width="16.85546875" style="301" customWidth="1"/>
    <col min="11527" max="11527" width="17.140625" style="301" customWidth="1"/>
    <col min="11528" max="11528" width="18.85546875" style="301" customWidth="1"/>
    <col min="11529" max="11529" width="16.42578125" style="301" customWidth="1"/>
    <col min="11530" max="11776" width="9.140625" style="301"/>
    <col min="11777" max="11777" width="7.5703125" style="301" customWidth="1"/>
    <col min="11778" max="11779" width="9.140625" style="301"/>
    <col min="11780" max="11780" width="5.85546875" style="301" customWidth="1"/>
    <col min="11781" max="11781" width="1.42578125" style="301" customWidth="1"/>
    <col min="11782" max="11782" width="16.85546875" style="301" customWidth="1"/>
    <col min="11783" max="11783" width="17.140625" style="301" customWidth="1"/>
    <col min="11784" max="11784" width="18.85546875" style="301" customWidth="1"/>
    <col min="11785" max="11785" width="16.42578125" style="301" customWidth="1"/>
    <col min="11786" max="12032" width="9.140625" style="301"/>
    <col min="12033" max="12033" width="7.5703125" style="301" customWidth="1"/>
    <col min="12034" max="12035" width="9.140625" style="301"/>
    <col min="12036" max="12036" width="5.85546875" style="301" customWidth="1"/>
    <col min="12037" max="12037" width="1.42578125" style="301" customWidth="1"/>
    <col min="12038" max="12038" width="16.85546875" style="301" customWidth="1"/>
    <col min="12039" max="12039" width="17.140625" style="301" customWidth="1"/>
    <col min="12040" max="12040" width="18.85546875" style="301" customWidth="1"/>
    <col min="12041" max="12041" width="16.42578125" style="301" customWidth="1"/>
    <col min="12042" max="12288" width="9.140625" style="301"/>
    <col min="12289" max="12289" width="7.5703125" style="301" customWidth="1"/>
    <col min="12290" max="12291" width="9.140625" style="301"/>
    <col min="12292" max="12292" width="5.85546875" style="301" customWidth="1"/>
    <col min="12293" max="12293" width="1.42578125" style="301" customWidth="1"/>
    <col min="12294" max="12294" width="16.85546875" style="301" customWidth="1"/>
    <col min="12295" max="12295" width="17.140625" style="301" customWidth="1"/>
    <col min="12296" max="12296" width="18.85546875" style="301" customWidth="1"/>
    <col min="12297" max="12297" width="16.42578125" style="301" customWidth="1"/>
    <col min="12298" max="12544" width="9.140625" style="301"/>
    <col min="12545" max="12545" width="7.5703125" style="301" customWidth="1"/>
    <col min="12546" max="12547" width="9.140625" style="301"/>
    <col min="12548" max="12548" width="5.85546875" style="301" customWidth="1"/>
    <col min="12549" max="12549" width="1.42578125" style="301" customWidth="1"/>
    <col min="12550" max="12550" width="16.85546875" style="301" customWidth="1"/>
    <col min="12551" max="12551" width="17.140625" style="301" customWidth="1"/>
    <col min="12552" max="12552" width="18.85546875" style="301" customWidth="1"/>
    <col min="12553" max="12553" width="16.42578125" style="301" customWidth="1"/>
    <col min="12554" max="12800" width="9.140625" style="301"/>
    <col min="12801" max="12801" width="7.5703125" style="301" customWidth="1"/>
    <col min="12802" max="12803" width="9.140625" style="301"/>
    <col min="12804" max="12804" width="5.85546875" style="301" customWidth="1"/>
    <col min="12805" max="12805" width="1.42578125" style="301" customWidth="1"/>
    <col min="12806" max="12806" width="16.85546875" style="301" customWidth="1"/>
    <col min="12807" max="12807" width="17.140625" style="301" customWidth="1"/>
    <col min="12808" max="12808" width="18.85546875" style="301" customWidth="1"/>
    <col min="12809" max="12809" width="16.42578125" style="301" customWidth="1"/>
    <col min="12810" max="13056" width="9.140625" style="301"/>
    <col min="13057" max="13057" width="7.5703125" style="301" customWidth="1"/>
    <col min="13058" max="13059" width="9.140625" style="301"/>
    <col min="13060" max="13060" width="5.85546875" style="301" customWidth="1"/>
    <col min="13061" max="13061" width="1.42578125" style="301" customWidth="1"/>
    <col min="13062" max="13062" width="16.85546875" style="301" customWidth="1"/>
    <col min="13063" max="13063" width="17.140625" style="301" customWidth="1"/>
    <col min="13064" max="13064" width="18.85546875" style="301" customWidth="1"/>
    <col min="13065" max="13065" width="16.42578125" style="301" customWidth="1"/>
    <col min="13066" max="13312" width="9.140625" style="301"/>
    <col min="13313" max="13313" width="7.5703125" style="301" customWidth="1"/>
    <col min="13314" max="13315" width="9.140625" style="301"/>
    <col min="13316" max="13316" width="5.85546875" style="301" customWidth="1"/>
    <col min="13317" max="13317" width="1.42578125" style="301" customWidth="1"/>
    <col min="13318" max="13318" width="16.85546875" style="301" customWidth="1"/>
    <col min="13319" max="13319" width="17.140625" style="301" customWidth="1"/>
    <col min="13320" max="13320" width="18.85546875" style="301" customWidth="1"/>
    <col min="13321" max="13321" width="16.42578125" style="301" customWidth="1"/>
    <col min="13322" max="13568" width="9.140625" style="301"/>
    <col min="13569" max="13569" width="7.5703125" style="301" customWidth="1"/>
    <col min="13570" max="13571" width="9.140625" style="301"/>
    <col min="13572" max="13572" width="5.85546875" style="301" customWidth="1"/>
    <col min="13573" max="13573" width="1.42578125" style="301" customWidth="1"/>
    <col min="13574" max="13574" width="16.85546875" style="301" customWidth="1"/>
    <col min="13575" max="13575" width="17.140625" style="301" customWidth="1"/>
    <col min="13576" max="13576" width="18.85546875" style="301" customWidth="1"/>
    <col min="13577" max="13577" width="16.42578125" style="301" customWidth="1"/>
    <col min="13578" max="13824" width="9.140625" style="301"/>
    <col min="13825" max="13825" width="7.5703125" style="301" customWidth="1"/>
    <col min="13826" max="13827" width="9.140625" style="301"/>
    <col min="13828" max="13828" width="5.85546875" style="301" customWidth="1"/>
    <col min="13829" max="13829" width="1.42578125" style="301" customWidth="1"/>
    <col min="13830" max="13830" width="16.85546875" style="301" customWidth="1"/>
    <col min="13831" max="13831" width="17.140625" style="301" customWidth="1"/>
    <col min="13832" max="13832" width="18.85546875" style="301" customWidth="1"/>
    <col min="13833" max="13833" width="16.42578125" style="301" customWidth="1"/>
    <col min="13834" max="14080" width="9.140625" style="301"/>
    <col min="14081" max="14081" width="7.5703125" style="301" customWidth="1"/>
    <col min="14082" max="14083" width="9.140625" style="301"/>
    <col min="14084" max="14084" width="5.85546875" style="301" customWidth="1"/>
    <col min="14085" max="14085" width="1.42578125" style="301" customWidth="1"/>
    <col min="14086" max="14086" width="16.85546875" style="301" customWidth="1"/>
    <col min="14087" max="14087" width="17.140625" style="301" customWidth="1"/>
    <col min="14088" max="14088" width="18.85546875" style="301" customWidth="1"/>
    <col min="14089" max="14089" width="16.42578125" style="301" customWidth="1"/>
    <col min="14090" max="14336" width="9.140625" style="301"/>
    <col min="14337" max="14337" width="7.5703125" style="301" customWidth="1"/>
    <col min="14338" max="14339" width="9.140625" style="301"/>
    <col min="14340" max="14340" width="5.85546875" style="301" customWidth="1"/>
    <col min="14341" max="14341" width="1.42578125" style="301" customWidth="1"/>
    <col min="14342" max="14342" width="16.85546875" style="301" customWidth="1"/>
    <col min="14343" max="14343" width="17.140625" style="301" customWidth="1"/>
    <col min="14344" max="14344" width="18.85546875" style="301" customWidth="1"/>
    <col min="14345" max="14345" width="16.42578125" style="301" customWidth="1"/>
    <col min="14346" max="14592" width="9.140625" style="301"/>
    <col min="14593" max="14593" width="7.5703125" style="301" customWidth="1"/>
    <col min="14594" max="14595" width="9.140625" style="301"/>
    <col min="14596" max="14596" width="5.85546875" style="301" customWidth="1"/>
    <col min="14597" max="14597" width="1.42578125" style="301" customWidth="1"/>
    <col min="14598" max="14598" width="16.85546875" style="301" customWidth="1"/>
    <col min="14599" max="14599" width="17.140625" style="301" customWidth="1"/>
    <col min="14600" max="14600" width="18.85546875" style="301" customWidth="1"/>
    <col min="14601" max="14601" width="16.42578125" style="301" customWidth="1"/>
    <col min="14602" max="14848" width="9.140625" style="301"/>
    <col min="14849" max="14849" width="7.5703125" style="301" customWidth="1"/>
    <col min="14850" max="14851" width="9.140625" style="301"/>
    <col min="14852" max="14852" width="5.85546875" style="301" customWidth="1"/>
    <col min="14853" max="14853" width="1.42578125" style="301" customWidth="1"/>
    <col min="14854" max="14854" width="16.85546875" style="301" customWidth="1"/>
    <col min="14855" max="14855" width="17.140625" style="301" customWidth="1"/>
    <col min="14856" max="14856" width="18.85546875" style="301" customWidth="1"/>
    <col min="14857" max="14857" width="16.42578125" style="301" customWidth="1"/>
    <col min="14858" max="15104" width="9.140625" style="301"/>
    <col min="15105" max="15105" width="7.5703125" style="301" customWidth="1"/>
    <col min="15106" max="15107" width="9.140625" style="301"/>
    <col min="15108" max="15108" width="5.85546875" style="301" customWidth="1"/>
    <col min="15109" max="15109" width="1.42578125" style="301" customWidth="1"/>
    <col min="15110" max="15110" width="16.85546875" style="301" customWidth="1"/>
    <col min="15111" max="15111" width="17.140625" style="301" customWidth="1"/>
    <col min="15112" max="15112" width="18.85546875" style="301" customWidth="1"/>
    <col min="15113" max="15113" width="16.42578125" style="301" customWidth="1"/>
    <col min="15114" max="15360" width="9.140625" style="301"/>
    <col min="15361" max="15361" width="7.5703125" style="301" customWidth="1"/>
    <col min="15362" max="15363" width="9.140625" style="301"/>
    <col min="15364" max="15364" width="5.85546875" style="301" customWidth="1"/>
    <col min="15365" max="15365" width="1.42578125" style="301" customWidth="1"/>
    <col min="15366" max="15366" width="16.85546875" style="301" customWidth="1"/>
    <col min="15367" max="15367" width="17.140625" style="301" customWidth="1"/>
    <col min="15368" max="15368" width="18.85546875" style="301" customWidth="1"/>
    <col min="15369" max="15369" width="16.42578125" style="301" customWidth="1"/>
    <col min="15370" max="15616" width="9.140625" style="301"/>
    <col min="15617" max="15617" width="7.5703125" style="301" customWidth="1"/>
    <col min="15618" max="15619" width="9.140625" style="301"/>
    <col min="15620" max="15620" width="5.85546875" style="301" customWidth="1"/>
    <col min="15621" max="15621" width="1.42578125" style="301" customWidth="1"/>
    <col min="15622" max="15622" width="16.85546875" style="301" customWidth="1"/>
    <col min="15623" max="15623" width="17.140625" style="301" customWidth="1"/>
    <col min="15624" max="15624" width="18.85546875" style="301" customWidth="1"/>
    <col min="15625" max="15625" width="16.42578125" style="301" customWidth="1"/>
    <col min="15626" max="15872" width="9.140625" style="301"/>
    <col min="15873" max="15873" width="7.5703125" style="301" customWidth="1"/>
    <col min="15874" max="15875" width="9.140625" style="301"/>
    <col min="15876" max="15876" width="5.85546875" style="301" customWidth="1"/>
    <col min="15877" max="15877" width="1.42578125" style="301" customWidth="1"/>
    <col min="15878" max="15878" width="16.85546875" style="301" customWidth="1"/>
    <col min="15879" max="15879" width="17.140625" style="301" customWidth="1"/>
    <col min="15880" max="15880" width="18.85546875" style="301" customWidth="1"/>
    <col min="15881" max="15881" width="16.42578125" style="301" customWidth="1"/>
    <col min="15882" max="16128" width="9.140625" style="301"/>
    <col min="16129" max="16129" width="7.5703125" style="301" customWidth="1"/>
    <col min="16130" max="16131" width="9.140625" style="301"/>
    <col min="16132" max="16132" width="5.85546875" style="301" customWidth="1"/>
    <col min="16133" max="16133" width="1.42578125" style="301" customWidth="1"/>
    <col min="16134" max="16134" width="16.85546875" style="301" customWidth="1"/>
    <col min="16135" max="16135" width="17.140625" style="301" customWidth="1"/>
    <col min="16136" max="16136" width="18.85546875" style="301" customWidth="1"/>
    <col min="16137" max="16137" width="16.42578125" style="301" customWidth="1"/>
    <col min="16138" max="16384" width="9.140625" style="301"/>
  </cols>
  <sheetData>
    <row r="1" spans="2:9" s="331" customFormat="1" ht="18">
      <c r="B1" s="2042" t="s">
        <v>1781</v>
      </c>
      <c r="C1" s="2042"/>
      <c r="D1" s="2042"/>
      <c r="E1" s="2042"/>
      <c r="F1" s="2042"/>
      <c r="G1" s="2042"/>
      <c r="H1" s="2042"/>
      <c r="I1" s="2042"/>
    </row>
    <row r="2" spans="2:9" s="331" customFormat="1" ht="18">
      <c r="B2" s="332"/>
      <c r="C2" s="332"/>
      <c r="D2" s="332"/>
      <c r="E2" s="332"/>
      <c r="F2" s="332"/>
      <c r="G2" s="332"/>
      <c r="H2" s="332"/>
      <c r="I2" s="333"/>
    </row>
    <row r="3" spans="2:9" s="331" customFormat="1" ht="20.25">
      <c r="B3" s="2052" t="s">
        <v>1521</v>
      </c>
      <c r="C3" s="2052"/>
      <c r="D3" s="2052"/>
      <c r="E3" s="2052"/>
      <c r="F3" s="2052"/>
      <c r="G3" s="332"/>
      <c r="H3" s="334"/>
      <c r="I3" s="335"/>
    </row>
    <row r="4" spans="2:9" s="331" customFormat="1" ht="20.25">
      <c r="B4" s="2052" t="s">
        <v>1299</v>
      </c>
      <c r="C4" s="2052"/>
      <c r="D4" s="2052"/>
      <c r="E4" s="2052"/>
      <c r="F4" s="2052"/>
      <c r="G4" s="332"/>
      <c r="H4" s="336"/>
      <c r="I4" s="336"/>
    </row>
    <row r="5" spans="2:9" s="331" customFormat="1" ht="20.25">
      <c r="B5" s="2052" t="s">
        <v>1522</v>
      </c>
      <c r="C5" s="2052"/>
      <c r="D5" s="2052"/>
      <c r="E5" s="2052"/>
      <c r="F5" s="2052"/>
      <c r="G5" s="332"/>
      <c r="H5" s="334"/>
      <c r="I5" s="336"/>
    </row>
    <row r="6" spans="2:9" s="331" customFormat="1" ht="20.25">
      <c r="B6" s="2052" t="s">
        <v>1523</v>
      </c>
      <c r="C6" s="2052"/>
      <c r="D6" s="2052"/>
      <c r="E6" s="2052"/>
      <c r="F6" s="2052"/>
      <c r="G6" s="332"/>
      <c r="H6" s="332"/>
      <c r="I6" s="332"/>
    </row>
    <row r="7" spans="2:9" s="331" customFormat="1" ht="20.25">
      <c r="B7" s="2052" t="s">
        <v>1300</v>
      </c>
      <c r="C7" s="2052"/>
      <c r="D7" s="2052"/>
      <c r="E7" s="2052"/>
      <c r="F7" s="2052"/>
      <c r="G7" s="332"/>
      <c r="H7" s="332"/>
      <c r="I7" s="332"/>
    </row>
    <row r="8" spans="2:9" s="331" customFormat="1" ht="18">
      <c r="B8" s="337"/>
      <c r="C8" s="337"/>
      <c r="D8" s="337"/>
      <c r="E8" s="337"/>
      <c r="F8" s="332"/>
      <c r="G8" s="332"/>
      <c r="H8" s="332"/>
      <c r="I8" s="332"/>
    </row>
    <row r="9" spans="2:9" s="331" customFormat="1" ht="18">
      <c r="B9" s="332"/>
      <c r="C9" s="2043" t="s">
        <v>1301</v>
      </c>
      <c r="D9" s="2043"/>
      <c r="E9" s="2043"/>
      <c r="F9" s="2043"/>
      <c r="G9" s="2043"/>
      <c r="H9" s="2043"/>
      <c r="I9" s="332"/>
    </row>
    <row r="10" spans="2:9" ht="16.5" thickBot="1">
      <c r="B10" s="302"/>
      <c r="C10" s="304"/>
      <c r="D10" s="304"/>
      <c r="E10" s="304"/>
      <c r="F10" s="304"/>
      <c r="G10" s="304"/>
      <c r="H10" s="304"/>
      <c r="I10" s="302"/>
    </row>
    <row r="11" spans="2:9" ht="16.5" thickTop="1">
      <c r="B11" s="2044" t="s">
        <v>1302</v>
      </c>
      <c r="C11" s="2047" t="s">
        <v>0</v>
      </c>
      <c r="D11" s="2047"/>
      <c r="E11" s="2047"/>
      <c r="F11" s="2050" t="s">
        <v>1303</v>
      </c>
      <c r="G11" s="2050"/>
      <c r="H11" s="2050" t="s">
        <v>1304</v>
      </c>
      <c r="I11" s="2051"/>
    </row>
    <row r="12" spans="2:9" ht="15.75">
      <c r="B12" s="2045"/>
      <c r="C12" s="2048"/>
      <c r="D12" s="2048"/>
      <c r="E12" s="2048"/>
      <c r="F12" s="305" t="s">
        <v>1305</v>
      </c>
      <c r="G12" s="305" t="s">
        <v>1306</v>
      </c>
      <c r="H12" s="305" t="s">
        <v>1305</v>
      </c>
      <c r="I12" s="306" t="s">
        <v>1306</v>
      </c>
    </row>
    <row r="13" spans="2:9" ht="16.5" thickBot="1">
      <c r="B13" s="2046"/>
      <c r="C13" s="2049"/>
      <c r="D13" s="2049"/>
      <c r="E13" s="2049"/>
      <c r="F13" s="307" t="s">
        <v>1307</v>
      </c>
      <c r="G13" s="307" t="s">
        <v>1308</v>
      </c>
      <c r="H13" s="307" t="s">
        <v>1307</v>
      </c>
      <c r="I13" s="308" t="s">
        <v>1308</v>
      </c>
    </row>
    <row r="14" spans="2:9" ht="16.5" thickTop="1">
      <c r="B14" s="309"/>
      <c r="C14" s="2032" t="s">
        <v>1309</v>
      </c>
      <c r="D14" s="2033"/>
      <c r="E14" s="2033"/>
      <c r="F14" s="310"/>
      <c r="G14" s="311"/>
      <c r="H14" s="312"/>
      <c r="I14" s="313"/>
    </row>
    <row r="15" spans="2:9" ht="15.75">
      <c r="B15" s="314">
        <v>1</v>
      </c>
      <c r="C15" s="2034" t="s">
        <v>1310</v>
      </c>
      <c r="D15" s="2034"/>
      <c r="E15" s="2034"/>
      <c r="F15" s="315">
        <v>576659.69999999995</v>
      </c>
      <c r="G15" s="315">
        <f>'IPD Meas.'!J16</f>
        <v>719720.38675675006</v>
      </c>
      <c r="H15" s="316">
        <f t="shared" ref="H15:I17" si="0">F15</f>
        <v>576659.69999999995</v>
      </c>
      <c r="I15" s="317">
        <f t="shared" si="0"/>
        <v>719720.38675675006</v>
      </c>
    </row>
    <row r="16" spans="2:9" ht="15.75">
      <c r="B16" s="314">
        <v>2</v>
      </c>
      <c r="C16" s="2034" t="s">
        <v>1311</v>
      </c>
      <c r="D16" s="2034"/>
      <c r="E16" s="2034"/>
      <c r="F16" s="315">
        <v>779929</v>
      </c>
      <c r="G16" s="315">
        <f>'IPD Meas.'!J33</f>
        <v>651787.92239999992</v>
      </c>
      <c r="H16" s="316">
        <f t="shared" si="0"/>
        <v>779929</v>
      </c>
      <c r="I16" s="317">
        <f t="shared" si="0"/>
        <v>651787.92239999992</v>
      </c>
    </row>
    <row r="17" spans="2:9" ht="15.75">
      <c r="B17" s="314">
        <v>3</v>
      </c>
      <c r="C17" s="2034" t="s">
        <v>1312</v>
      </c>
      <c r="D17" s="2034"/>
      <c r="E17" s="2034"/>
      <c r="F17" s="315">
        <v>397600</v>
      </c>
      <c r="G17" s="315">
        <f>'IPD Meas.'!J37</f>
        <v>51010.889999999992</v>
      </c>
      <c r="H17" s="316">
        <f t="shared" si="0"/>
        <v>397600</v>
      </c>
      <c r="I17" s="317">
        <f t="shared" si="0"/>
        <v>51010.889999999992</v>
      </c>
    </row>
    <row r="18" spans="2:9" ht="15.75">
      <c r="B18" s="314"/>
      <c r="C18" s="2035" t="s">
        <v>1313</v>
      </c>
      <c r="D18" s="2036"/>
      <c r="E18" s="2037"/>
      <c r="F18" s="315">
        <f>SUM(F15:F17)</f>
        <v>1754188.7</v>
      </c>
      <c r="G18" s="315">
        <f>SUM(G15:G17)</f>
        <v>1422519.1991567498</v>
      </c>
      <c r="H18" s="315">
        <f>SUM(H15:H17)</f>
        <v>1754188.7</v>
      </c>
      <c r="I18" s="318">
        <f>SUM(I15:I17)</f>
        <v>1422519.1991567498</v>
      </c>
    </row>
    <row r="19" spans="2:9" ht="15.75">
      <c r="B19" s="314"/>
      <c r="C19" s="2031" t="s">
        <v>1314</v>
      </c>
      <c r="D19" s="2031"/>
      <c r="E19" s="2031"/>
      <c r="F19" s="315"/>
      <c r="G19" s="315"/>
      <c r="H19" s="316"/>
      <c r="I19" s="317"/>
    </row>
    <row r="20" spans="2:9" ht="15.75">
      <c r="B20" s="314">
        <v>1</v>
      </c>
      <c r="C20" s="2034" t="s">
        <v>1311</v>
      </c>
      <c r="D20" s="2034"/>
      <c r="E20" s="2034"/>
      <c r="F20" s="315">
        <v>267667</v>
      </c>
      <c r="G20" s="315">
        <f>'IPD Meas.'!J52</f>
        <v>258437.43384000001</v>
      </c>
      <c r="H20" s="316">
        <f>F20</f>
        <v>267667</v>
      </c>
      <c r="I20" s="317">
        <f>G20</f>
        <v>258437.43384000001</v>
      </c>
    </row>
    <row r="21" spans="2:9" ht="15.75">
      <c r="B21" s="314">
        <v>2</v>
      </c>
      <c r="C21" s="2040" t="s">
        <v>1315</v>
      </c>
      <c r="D21" s="2041"/>
      <c r="E21" s="2041"/>
      <c r="F21" s="315">
        <v>297700</v>
      </c>
      <c r="G21" s="315">
        <f>'IPD Meas.'!J57</f>
        <v>308625.00699999998</v>
      </c>
      <c r="H21" s="315">
        <f>F21</f>
        <v>297700</v>
      </c>
      <c r="I21" s="317">
        <f t="shared" ref="I21:I29" si="1">G21</f>
        <v>308625.00699999998</v>
      </c>
    </row>
    <row r="22" spans="2:9" ht="15.75">
      <c r="B22" s="314">
        <v>3</v>
      </c>
      <c r="C22" s="2034" t="s">
        <v>1316</v>
      </c>
      <c r="D22" s="2034"/>
      <c r="E22" s="2034"/>
      <c r="F22" s="315">
        <v>282846.40000000002</v>
      </c>
      <c r="G22" s="315">
        <f>'IPD Meas.'!J63</f>
        <v>309876.60000000003</v>
      </c>
      <c r="H22" s="315">
        <f>F22</f>
        <v>282846.40000000002</v>
      </c>
      <c r="I22" s="317">
        <f t="shared" si="1"/>
        <v>309876.60000000003</v>
      </c>
    </row>
    <row r="23" spans="2:9" ht="15.75">
      <c r="B23" s="314">
        <v>4</v>
      </c>
      <c r="C23" s="2034" t="s">
        <v>1317</v>
      </c>
      <c r="D23" s="2034"/>
      <c r="E23" s="2034"/>
      <c r="F23" s="315">
        <v>166993.75</v>
      </c>
      <c r="G23" s="315">
        <f>'IPD Meas.'!J75</f>
        <v>182297.98</v>
      </c>
      <c r="H23" s="315">
        <f>F23</f>
        <v>166993.75</v>
      </c>
      <c r="I23" s="317">
        <f t="shared" si="1"/>
        <v>182297.98</v>
      </c>
    </row>
    <row r="24" spans="2:9" ht="15.75">
      <c r="B24" s="314">
        <v>5</v>
      </c>
      <c r="C24" s="2034" t="s">
        <v>1318</v>
      </c>
      <c r="D24" s="2034"/>
      <c r="E24" s="2034"/>
      <c r="F24" s="315">
        <v>268423.40000000002</v>
      </c>
      <c r="G24" s="315">
        <f>'IPD Meas.'!J89</f>
        <v>89319.75</v>
      </c>
      <c r="H24" s="315">
        <v>143800</v>
      </c>
      <c r="I24" s="317">
        <f>G24</f>
        <v>89319.75</v>
      </c>
    </row>
    <row r="25" spans="2:9" ht="15.75">
      <c r="B25" s="314">
        <v>6</v>
      </c>
      <c r="C25" s="2034" t="s">
        <v>1319</v>
      </c>
      <c r="D25" s="2034"/>
      <c r="E25" s="2034"/>
      <c r="F25" s="315">
        <v>844620</v>
      </c>
      <c r="G25" s="315">
        <f>'IPD Meas.'!J102</f>
        <v>517404.9</v>
      </c>
      <c r="H25" s="315">
        <f>F25</f>
        <v>844620</v>
      </c>
      <c r="I25" s="317">
        <f t="shared" si="1"/>
        <v>517404.9</v>
      </c>
    </row>
    <row r="26" spans="2:9" ht="15.75">
      <c r="B26" s="314">
        <v>7</v>
      </c>
      <c r="C26" s="319" t="s">
        <v>1320</v>
      </c>
      <c r="D26" s="320"/>
      <c r="E26" s="320"/>
      <c r="F26" s="315">
        <v>55160</v>
      </c>
      <c r="G26" s="315">
        <f>'IPD Meas.'!J107</f>
        <v>44824.709066666677</v>
      </c>
      <c r="H26" s="315">
        <f>F26</f>
        <v>55160</v>
      </c>
      <c r="I26" s="317">
        <f t="shared" si="1"/>
        <v>44824.709066666677</v>
      </c>
    </row>
    <row r="27" spans="2:9" ht="15.75">
      <c r="B27" s="314">
        <v>8</v>
      </c>
      <c r="C27" s="319" t="s">
        <v>1321</v>
      </c>
      <c r="D27" s="320"/>
      <c r="E27" s="320"/>
      <c r="F27" s="315">
        <v>14745</v>
      </c>
      <c r="G27" s="315">
        <v>0</v>
      </c>
      <c r="H27" s="315">
        <f>F27</f>
        <v>14745</v>
      </c>
      <c r="I27" s="317">
        <v>0</v>
      </c>
    </row>
    <row r="28" spans="2:9" ht="15.75">
      <c r="B28" s="314">
        <v>9</v>
      </c>
      <c r="C28" s="319" t="s">
        <v>1322</v>
      </c>
      <c r="D28" s="320"/>
      <c r="E28" s="320"/>
      <c r="F28" s="315">
        <v>109510</v>
      </c>
      <c r="G28" s="315">
        <f>'IPD Meas.'!J129</f>
        <v>48724.95</v>
      </c>
      <c r="H28" s="315">
        <f>F28</f>
        <v>109510</v>
      </c>
      <c r="I28" s="317">
        <f t="shared" si="1"/>
        <v>48724.95</v>
      </c>
    </row>
    <row r="29" spans="2:9" ht="15.75">
      <c r="B29" s="314">
        <v>10</v>
      </c>
      <c r="C29" s="319" t="s">
        <v>1323</v>
      </c>
      <c r="D29" s="320"/>
      <c r="E29" s="320"/>
      <c r="F29" s="315">
        <v>138842.68</v>
      </c>
      <c r="G29" s="315">
        <f>'IPD Meas.'!J159</f>
        <v>106969.4</v>
      </c>
      <c r="H29" s="315">
        <f>F29</f>
        <v>138842.68</v>
      </c>
      <c r="I29" s="317">
        <f t="shared" si="1"/>
        <v>106969.4</v>
      </c>
    </row>
    <row r="30" spans="2:9" ht="15.75">
      <c r="B30" s="314"/>
      <c r="C30" s="2035" t="s">
        <v>1324</v>
      </c>
      <c r="D30" s="2036"/>
      <c r="E30" s="2036"/>
      <c r="F30" s="315">
        <f>SUM(F20:F29)</f>
        <v>2446508.23</v>
      </c>
      <c r="G30" s="315">
        <f>SUM(G20:G29)</f>
        <v>1866480.7299066668</v>
      </c>
      <c r="H30" s="316">
        <f>SUM(H19:H29)</f>
        <v>2321884.83</v>
      </c>
      <c r="I30" s="317">
        <f>SUM(I20:I29)</f>
        <v>1866480.7299066668</v>
      </c>
    </row>
    <row r="31" spans="2:9" ht="16.5" thickBot="1">
      <c r="B31" s="321"/>
      <c r="C31" s="322" t="s">
        <v>1325</v>
      </c>
      <c r="D31" s="323"/>
      <c r="E31" s="323"/>
      <c r="F31" s="324">
        <f>F18+F30</f>
        <v>4200696.93</v>
      </c>
      <c r="G31" s="324">
        <f>G18+G30</f>
        <v>3288999.9290634166</v>
      </c>
      <c r="H31" s="325">
        <f>H18+H30</f>
        <v>4076073.5300000003</v>
      </c>
      <c r="I31" s="326">
        <f>I18+I30</f>
        <v>3288999.9290634166</v>
      </c>
    </row>
    <row r="32" spans="2:9" ht="16.5" thickTop="1">
      <c r="B32" s="302"/>
      <c r="C32" s="302"/>
      <c r="D32" s="302"/>
      <c r="E32" s="302"/>
      <c r="F32" s="302"/>
      <c r="G32" s="302"/>
      <c r="H32" s="302"/>
      <c r="I32" s="302"/>
    </row>
    <row r="33" spans="2:9" ht="15.75">
      <c r="B33" s="303"/>
      <c r="C33" s="303"/>
      <c r="D33" s="303"/>
      <c r="E33" s="303"/>
      <c r="F33" s="303"/>
      <c r="G33" s="303"/>
      <c r="H33" s="303"/>
      <c r="I33" s="302"/>
    </row>
    <row r="34" spans="2:9" ht="15.75">
      <c r="B34" s="2038"/>
      <c r="C34" s="2038"/>
      <c r="D34" s="2038"/>
      <c r="E34" s="2038"/>
      <c r="F34" s="2038"/>
      <c r="G34" s="2038"/>
      <c r="H34" s="2038"/>
      <c r="I34" s="2038"/>
    </row>
    <row r="35" spans="2:9" ht="15.75">
      <c r="B35" s="303" t="s">
        <v>1326</v>
      </c>
      <c r="C35" s="303"/>
      <c r="D35" s="303"/>
      <c r="E35" s="303"/>
      <c r="F35" s="303"/>
      <c r="G35" s="303"/>
      <c r="H35" s="303"/>
      <c r="I35" s="302"/>
    </row>
    <row r="36" spans="2:9" ht="15.75">
      <c r="B36" s="303" t="s">
        <v>1782</v>
      </c>
      <c r="C36" s="303"/>
      <c r="D36" s="303"/>
      <c r="E36" s="303"/>
      <c r="F36" s="303"/>
      <c r="G36" s="327"/>
      <c r="H36" s="303"/>
      <c r="I36" s="302"/>
    </row>
    <row r="37" spans="2:9" ht="15.75">
      <c r="B37" s="328"/>
      <c r="C37" s="329"/>
      <c r="D37" s="329"/>
      <c r="E37" s="329"/>
      <c r="F37" s="329"/>
      <c r="G37" s="300"/>
      <c r="H37" s="329"/>
    </row>
    <row r="38" spans="2:9" ht="15.75">
      <c r="B38" s="328"/>
      <c r="C38" s="329"/>
      <c r="D38" s="329"/>
      <c r="E38" s="329"/>
      <c r="F38" s="329"/>
      <c r="G38" s="300"/>
      <c r="H38" s="329"/>
    </row>
    <row r="39" spans="2:9" ht="15.75">
      <c r="B39" s="328"/>
      <c r="C39" s="329"/>
      <c r="D39" s="329"/>
      <c r="E39" s="329"/>
      <c r="F39" s="329"/>
      <c r="G39" s="300"/>
      <c r="H39" s="329"/>
    </row>
    <row r="40" spans="2:9" ht="15.75">
      <c r="B40" s="328"/>
      <c r="C40" s="329"/>
      <c r="D40" s="329"/>
      <c r="E40" s="329"/>
      <c r="F40" s="329"/>
      <c r="G40" s="300"/>
      <c r="H40" s="329"/>
    </row>
    <row r="41" spans="2:9" ht="15.75">
      <c r="B41" s="328"/>
      <c r="C41" s="329"/>
      <c r="D41" s="329"/>
      <c r="E41" s="329"/>
      <c r="F41" s="329"/>
      <c r="G41" s="300"/>
      <c r="H41" s="329"/>
    </row>
    <row r="42" spans="2:9" ht="15.75">
      <c r="B42" s="328"/>
      <c r="C42" s="329"/>
      <c r="D42" s="329"/>
      <c r="E42" s="329"/>
      <c r="F42" s="329"/>
      <c r="G42" s="300"/>
      <c r="H42" s="329"/>
    </row>
    <row r="43" spans="2:9" ht="15.75">
      <c r="B43" s="330"/>
    </row>
    <row r="46" spans="2:9">
      <c r="B46" s="301" t="s">
        <v>1327</v>
      </c>
      <c r="E46" s="2039" t="s">
        <v>1328</v>
      </c>
      <c r="F46" s="2039"/>
      <c r="G46" s="2039"/>
      <c r="H46" s="2039" t="s">
        <v>1329</v>
      </c>
      <c r="I46" s="2039"/>
    </row>
  </sheetData>
  <mergeCells count="27">
    <mergeCell ref="B1:I1"/>
    <mergeCell ref="C9:H9"/>
    <mergeCell ref="B11:B13"/>
    <mergeCell ref="C11:E13"/>
    <mergeCell ref="F11:G11"/>
    <mergeCell ref="H11:I11"/>
    <mergeCell ref="B6:F6"/>
    <mergeCell ref="B7:F7"/>
    <mergeCell ref="B3:F3"/>
    <mergeCell ref="B4:F4"/>
    <mergeCell ref="B5:F5"/>
    <mergeCell ref="B34:I34"/>
    <mergeCell ref="E46:G46"/>
    <mergeCell ref="H46:I46"/>
    <mergeCell ref="C20:E20"/>
    <mergeCell ref="C21:E21"/>
    <mergeCell ref="C22:E22"/>
    <mergeCell ref="C23:E23"/>
    <mergeCell ref="C24:E24"/>
    <mergeCell ref="C25:E25"/>
    <mergeCell ref="C19:E19"/>
    <mergeCell ref="C14:E14"/>
    <mergeCell ref="C15:E15"/>
    <mergeCell ref="C16:E16"/>
    <mergeCell ref="C30:E30"/>
    <mergeCell ref="C17:E17"/>
    <mergeCell ref="C18:E18"/>
  </mergeCells>
  <pageMargins left="0.7" right="0.2" top="1" bottom="0.75" header="0.3" footer="0.3"/>
  <pageSetup scale="8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B1:K1170"/>
  <sheetViews>
    <sheetView view="pageBreakPreview" zoomScaleSheetLayoutView="100" zoomScalePageLayoutView="85" workbookViewId="0">
      <selection activeCell="G13" sqref="G13"/>
    </sheetView>
  </sheetViews>
  <sheetFormatPr defaultRowHeight="15.75" customHeight="1"/>
  <cols>
    <col min="1" max="1" width="4.85546875" style="1307" customWidth="1"/>
    <col min="2" max="2" width="6.7109375" style="1308" customWidth="1"/>
    <col min="3" max="3" width="47" style="1307" customWidth="1"/>
    <col min="4" max="4" width="9.5703125" style="1308" customWidth="1"/>
    <col min="5" max="5" width="9.42578125" style="1308" hidden="1" customWidth="1"/>
    <col min="6" max="6" width="9" style="1308" bestFit="1" customWidth="1"/>
    <col min="7" max="7" width="9" style="1303" bestFit="1" customWidth="1"/>
    <col min="8" max="8" width="13.140625" style="1303" bestFit="1" customWidth="1"/>
    <col min="9" max="9" width="9" style="1303" bestFit="1" customWidth="1"/>
    <col min="10" max="10" width="11.28515625" style="1308" bestFit="1" customWidth="1"/>
    <col min="11" max="11" width="2.85546875" style="103" customWidth="1"/>
    <col min="12" max="16384" width="9.140625" style="1307"/>
  </cols>
  <sheetData>
    <row r="1" spans="2:10" s="341" customFormat="1">
      <c r="B1" s="1286" t="s">
        <v>1257</v>
      </c>
      <c r="D1" s="1286"/>
      <c r="E1" s="1286"/>
      <c r="F1" s="1286"/>
      <c r="G1" s="1286"/>
      <c r="H1" s="1286"/>
      <c r="I1" s="2053"/>
      <c r="J1" s="2053"/>
    </row>
    <row r="2" spans="2:10" s="341" customFormat="1">
      <c r="B2" s="1286" t="s">
        <v>1208</v>
      </c>
      <c r="D2" s="1286"/>
      <c r="E2" s="1286"/>
      <c r="F2" s="1286"/>
      <c r="G2" s="1286"/>
      <c r="H2" s="1286"/>
      <c r="I2" s="2054"/>
      <c r="J2" s="2054"/>
    </row>
    <row r="3" spans="2:10" s="341" customFormat="1">
      <c r="B3" s="1286" t="s">
        <v>1258</v>
      </c>
      <c r="D3" s="1286"/>
      <c r="E3" s="1286"/>
      <c r="F3" s="1286"/>
      <c r="G3" s="1286"/>
      <c r="H3" s="1286"/>
      <c r="I3" s="2054" t="s">
        <v>1259</v>
      </c>
      <c r="J3" s="2054"/>
    </row>
    <row r="4" spans="2:10" s="341" customFormat="1">
      <c r="B4" s="1286" t="s">
        <v>1209</v>
      </c>
      <c r="D4" s="1286"/>
      <c r="E4" s="1286"/>
      <c r="F4" s="1286"/>
      <c r="G4" s="1286"/>
      <c r="H4" s="1286"/>
      <c r="I4" s="1286"/>
      <c r="J4" s="1286"/>
    </row>
    <row r="5" spans="2:10" s="341" customFormat="1">
      <c r="B5" s="1286"/>
      <c r="D5" s="1286"/>
      <c r="E5" s="1286"/>
      <c r="F5" s="1286"/>
      <c r="G5" s="1286"/>
      <c r="H5" s="1286"/>
      <c r="I5" s="1286"/>
      <c r="J5" s="1286"/>
    </row>
    <row r="6" spans="2:10" ht="15.75" customHeight="1">
      <c r="B6" s="2055" t="s">
        <v>1492</v>
      </c>
      <c r="C6" s="2055" t="s">
        <v>0</v>
      </c>
      <c r="D6" s="2055" t="s">
        <v>1491</v>
      </c>
      <c r="E6" s="1418" t="s">
        <v>1490</v>
      </c>
      <c r="F6" s="2055" t="s">
        <v>1489</v>
      </c>
      <c r="G6" s="2055"/>
      <c r="H6" s="2055"/>
      <c r="I6" s="2057" t="s">
        <v>1308</v>
      </c>
      <c r="J6" s="2057"/>
    </row>
    <row r="7" spans="2:10" ht="15.75" customHeight="1">
      <c r="B7" s="2056"/>
      <c r="C7" s="2056"/>
      <c r="D7" s="2056"/>
      <c r="E7" s="1418"/>
      <c r="F7" s="1419" t="s">
        <v>1487</v>
      </c>
      <c r="G7" s="1420" t="s">
        <v>1488</v>
      </c>
      <c r="H7" s="1420" t="s">
        <v>1486</v>
      </c>
      <c r="I7" s="1420" t="s">
        <v>1487</v>
      </c>
      <c r="J7" s="1419" t="s">
        <v>1486</v>
      </c>
    </row>
    <row r="8" spans="2:10" ht="15.75" customHeight="1">
      <c r="B8" s="1496"/>
      <c r="C8" s="1494" t="s">
        <v>1485</v>
      </c>
      <c r="D8" s="1493"/>
      <c r="E8" s="1495"/>
      <c r="F8" s="1493"/>
      <c r="G8" s="1484"/>
      <c r="H8" s="1416"/>
      <c r="I8" s="1416"/>
      <c r="J8" s="1417"/>
    </row>
    <row r="9" spans="2:10" ht="15.75" customHeight="1">
      <c r="B9" s="1497"/>
      <c r="C9" s="1449" t="s">
        <v>1484</v>
      </c>
      <c r="D9" s="1448"/>
      <c r="E9" s="1450"/>
      <c r="F9" s="1448"/>
      <c r="G9" s="1451"/>
      <c r="H9" s="1394"/>
      <c r="I9" s="1394"/>
      <c r="J9" s="1407"/>
    </row>
    <row r="10" spans="2:10" ht="15.75" customHeight="1">
      <c r="B10" s="1498">
        <v>1.1000000000000001</v>
      </c>
      <c r="C10" s="1453" t="s">
        <v>1483</v>
      </c>
      <c r="D10" s="1451" t="s">
        <v>1445</v>
      </c>
      <c r="E10" s="1451"/>
      <c r="F10" s="1451">
        <v>826</v>
      </c>
      <c r="G10" s="1451">
        <v>8</v>
      </c>
      <c r="H10" s="1394">
        <f t="shared" ref="H10:H15" si="0">F10*G10</f>
        <v>6608</v>
      </c>
      <c r="I10" s="1394">
        <f>'IPD Sub TOS'!D14</f>
        <v>827.21999999999991</v>
      </c>
      <c r="J10" s="1409">
        <f t="shared" ref="J10:J15" si="1">G10*I10</f>
        <v>6617.7599999999993</v>
      </c>
    </row>
    <row r="11" spans="2:10" ht="15.75" customHeight="1">
      <c r="B11" s="1498">
        <v>1.2</v>
      </c>
      <c r="C11" s="1453" t="s">
        <v>1482</v>
      </c>
      <c r="D11" s="1451" t="s">
        <v>3200</v>
      </c>
      <c r="E11" s="1451">
        <v>708</v>
      </c>
      <c r="F11" s="1451">
        <v>1072</v>
      </c>
      <c r="G11" s="1451">
        <v>645.83000000000004</v>
      </c>
      <c r="H11" s="1394">
        <f t="shared" si="0"/>
        <v>692329.76</v>
      </c>
      <c r="I11" s="1394">
        <f>'IPD Sub TOS'!H67</f>
        <v>542.16672500000004</v>
      </c>
      <c r="J11" s="1409">
        <f t="shared" si="1"/>
        <v>350147.53600675007</v>
      </c>
    </row>
    <row r="12" spans="2:10" ht="15.75" customHeight="1">
      <c r="B12" s="1498">
        <v>1.3</v>
      </c>
      <c r="C12" s="1453" t="s">
        <v>1481</v>
      </c>
      <c r="D12" s="1451" t="s">
        <v>3200</v>
      </c>
      <c r="E12" s="1451"/>
      <c r="F12" s="1451">
        <f>F11/3</f>
        <v>357.33333333333331</v>
      </c>
      <c r="G12" s="1451">
        <v>669.75</v>
      </c>
      <c r="H12" s="1394">
        <f t="shared" si="0"/>
        <v>239324</v>
      </c>
      <c r="I12" s="1394">
        <f>'IPD Sub TOS'!D80</f>
        <v>223.20000000000002</v>
      </c>
      <c r="J12" s="1409">
        <f t="shared" si="1"/>
        <v>149488.20000000001</v>
      </c>
    </row>
    <row r="13" spans="2:10" ht="15.75" customHeight="1">
      <c r="B13" s="1498">
        <v>1.4</v>
      </c>
      <c r="C13" s="1453" t="s">
        <v>1480</v>
      </c>
      <c r="D13" s="1451" t="s">
        <v>3200</v>
      </c>
      <c r="E13" s="1451">
        <v>708</v>
      </c>
      <c r="F13" s="1451">
        <f>F12+F11</f>
        <v>1429.3333333333333</v>
      </c>
      <c r="G13" s="1451">
        <v>150</v>
      </c>
      <c r="H13" s="1394">
        <f t="shared" si="0"/>
        <v>214400</v>
      </c>
      <c r="I13" s="1394">
        <f>'IPD Sub TOS'!H83</f>
        <v>114.35400000000001</v>
      </c>
      <c r="J13" s="1409">
        <f t="shared" si="1"/>
        <v>17153.100000000002</v>
      </c>
    </row>
    <row r="14" spans="2:10" ht="15.75" customHeight="1">
      <c r="B14" s="1498">
        <v>1.5</v>
      </c>
      <c r="C14" s="1453" t="s">
        <v>1479</v>
      </c>
      <c r="D14" s="1451" t="s">
        <v>3200</v>
      </c>
      <c r="E14" s="1451">
        <v>708</v>
      </c>
      <c r="F14" s="1451">
        <f>F13+(0.3*F10)</f>
        <v>1677.1333333333332</v>
      </c>
      <c r="G14" s="1451">
        <v>70</v>
      </c>
      <c r="H14" s="1394">
        <f t="shared" si="0"/>
        <v>117399.33333333333</v>
      </c>
      <c r="I14" s="1394">
        <f>'IPD Sub TOS'!H94</f>
        <v>1013.532725</v>
      </c>
      <c r="J14" s="1409">
        <f t="shared" si="1"/>
        <v>70947.29075</v>
      </c>
    </row>
    <row r="15" spans="2:10" ht="15.75" customHeight="1">
      <c r="B15" s="1499">
        <v>1.6</v>
      </c>
      <c r="C15" s="1483" t="s">
        <v>1478</v>
      </c>
      <c r="D15" s="1479" t="s">
        <v>3201</v>
      </c>
      <c r="E15" s="1479">
        <v>557</v>
      </c>
      <c r="F15" s="1479">
        <v>691</v>
      </c>
      <c r="G15" s="1479">
        <v>200</v>
      </c>
      <c r="H15" s="1423">
        <f t="shared" si="0"/>
        <v>138200</v>
      </c>
      <c r="I15" s="1423">
        <f>'IPD Sub TOS'!H106</f>
        <v>626.83249999999987</v>
      </c>
      <c r="J15" s="1424">
        <f t="shared" si="1"/>
        <v>125366.49999999997</v>
      </c>
    </row>
    <row r="16" spans="2:10" ht="15.75" customHeight="1">
      <c r="B16" s="2058" t="s">
        <v>1330</v>
      </c>
      <c r="C16" s="2058"/>
      <c r="D16" s="2058"/>
      <c r="E16" s="1481"/>
      <c r="F16" s="1481"/>
      <c r="G16" s="1481"/>
      <c r="H16" s="1428">
        <f>SUM(H10:H15)</f>
        <v>1408261.0933333333</v>
      </c>
      <c r="I16" s="1428"/>
      <c r="J16" s="1428">
        <f>SUM(J10:J15)</f>
        <v>719720.38675675006</v>
      </c>
    </row>
    <row r="17" spans="2:10" ht="15.75" customHeight="1">
      <c r="B17" s="1500"/>
      <c r="C17" s="1485" t="s">
        <v>1477</v>
      </c>
      <c r="D17" s="1484"/>
      <c r="E17" s="1484"/>
      <c r="F17" s="1484"/>
      <c r="G17" s="1484"/>
      <c r="H17" s="1416"/>
      <c r="I17" s="1416"/>
      <c r="J17" s="1427"/>
    </row>
    <row r="18" spans="2:10" ht="15.75" customHeight="1">
      <c r="B18" s="1498">
        <v>2.1</v>
      </c>
      <c r="C18" s="1453" t="s">
        <v>1476</v>
      </c>
      <c r="D18" s="1451" t="s">
        <v>3201</v>
      </c>
      <c r="E18" s="1451">
        <v>188</v>
      </c>
      <c r="F18" s="1451">
        <v>188</v>
      </c>
      <c r="G18" s="1451">
        <v>150</v>
      </c>
      <c r="H18" s="1394">
        <f t="shared" ref="H18:H23" si="2">F18*G18</f>
        <v>28200</v>
      </c>
      <c r="I18" s="1394">
        <f>'IPD Sub TOS'!H115</f>
        <v>129.57999999999998</v>
      </c>
      <c r="J18" s="1409">
        <f t="shared" ref="J18:J23" si="3">G18*I18</f>
        <v>19436.999999999996</v>
      </c>
    </row>
    <row r="19" spans="2:10" ht="15.75" customHeight="1">
      <c r="B19" s="1498">
        <v>2.2000000000000002</v>
      </c>
      <c r="C19" s="1453" t="s">
        <v>1475</v>
      </c>
      <c r="D19" s="1451" t="s">
        <v>3201</v>
      </c>
      <c r="E19" s="1451"/>
      <c r="F19" s="1451">
        <v>32</v>
      </c>
      <c r="G19" s="1451">
        <v>150</v>
      </c>
      <c r="H19" s="1394">
        <f t="shared" si="2"/>
        <v>4800</v>
      </c>
      <c r="I19" s="1394"/>
      <c r="J19" s="1409">
        <f t="shared" si="3"/>
        <v>0</v>
      </c>
    </row>
    <row r="20" spans="2:10" ht="15.75" customHeight="1">
      <c r="B20" s="1498">
        <v>2.2999999999999998</v>
      </c>
      <c r="C20" s="1453" t="s">
        <v>1474</v>
      </c>
      <c r="D20" s="1451" t="s">
        <v>3201</v>
      </c>
      <c r="E20" s="1451">
        <v>557</v>
      </c>
      <c r="F20" s="1451">
        <v>691</v>
      </c>
      <c r="G20" s="1451">
        <v>400</v>
      </c>
      <c r="H20" s="1394">
        <f t="shared" si="2"/>
        <v>276400</v>
      </c>
      <c r="I20" s="1394">
        <f>'IPD Sub TOS'!H127</f>
        <v>665.58999999999992</v>
      </c>
      <c r="J20" s="1409">
        <f t="shared" si="3"/>
        <v>266235.99999999994</v>
      </c>
    </row>
    <row r="21" spans="2:10" ht="15.75" customHeight="1">
      <c r="B21" s="1498">
        <v>2.4</v>
      </c>
      <c r="C21" s="1453" t="s">
        <v>1473</v>
      </c>
      <c r="D21" s="1451" t="s">
        <v>3200</v>
      </c>
      <c r="E21" s="1451">
        <v>38</v>
      </c>
      <c r="F21" s="1451">
        <v>38</v>
      </c>
      <c r="G21" s="1451">
        <v>3200</v>
      </c>
      <c r="H21" s="1394">
        <f t="shared" si="2"/>
        <v>121600</v>
      </c>
      <c r="I21" s="1394">
        <f>'IPD Sub TOS'!D139</f>
        <v>34.090000000000003</v>
      </c>
      <c r="J21" s="1409">
        <f t="shared" si="3"/>
        <v>109088.00000000001</v>
      </c>
    </row>
    <row r="22" spans="2:10" ht="15.75" customHeight="1">
      <c r="B22" s="1498">
        <v>2.5</v>
      </c>
      <c r="C22" s="1453" t="s">
        <v>1471</v>
      </c>
      <c r="D22" s="1451" t="s">
        <v>3200</v>
      </c>
      <c r="E22" s="1451"/>
      <c r="F22" s="1451">
        <v>6.5</v>
      </c>
      <c r="G22" s="1451">
        <v>3200</v>
      </c>
      <c r="H22" s="1394">
        <f t="shared" si="2"/>
        <v>20800</v>
      </c>
      <c r="I22" s="1394"/>
      <c r="J22" s="1409">
        <f t="shared" si="3"/>
        <v>0</v>
      </c>
    </row>
    <row r="23" spans="2:10" ht="15.75" customHeight="1">
      <c r="B23" s="1498">
        <v>2.6</v>
      </c>
      <c r="C23" s="1453" t="s">
        <v>1470</v>
      </c>
      <c r="D23" s="1451" t="s">
        <v>3200</v>
      </c>
      <c r="E23" s="1451"/>
      <c r="F23" s="1451">
        <v>5.3</v>
      </c>
      <c r="G23" s="1451">
        <v>3200</v>
      </c>
      <c r="H23" s="1394">
        <f t="shared" si="2"/>
        <v>16960</v>
      </c>
      <c r="I23" s="1394"/>
      <c r="J23" s="1409">
        <f t="shared" si="3"/>
        <v>0</v>
      </c>
    </row>
    <row r="24" spans="2:10" ht="15.75" customHeight="1">
      <c r="B24" s="1498"/>
      <c r="C24" s="1453" t="s">
        <v>1472</v>
      </c>
      <c r="D24" s="1451"/>
      <c r="E24" s="1451"/>
      <c r="F24" s="1451"/>
      <c r="G24" s="1451"/>
      <c r="H24" s="1394"/>
      <c r="I24" s="1394"/>
      <c r="J24" s="1409"/>
    </row>
    <row r="25" spans="2:10" ht="15.75" customHeight="1">
      <c r="B25" s="1498">
        <v>2.7</v>
      </c>
      <c r="C25" s="1453" t="s">
        <v>1</v>
      </c>
      <c r="D25" s="1451" t="s">
        <v>3201</v>
      </c>
      <c r="E25" s="1451">
        <v>302</v>
      </c>
      <c r="F25" s="1451">
        <v>302</v>
      </c>
      <c r="G25" s="1451">
        <v>120</v>
      </c>
      <c r="H25" s="1394">
        <f>F25*G25</f>
        <v>36240</v>
      </c>
      <c r="I25" s="1394">
        <f>'IPD Sub TOS'!D155</f>
        <v>259.38400000000001</v>
      </c>
      <c r="J25" s="1409">
        <f>G25*I25</f>
        <v>31126.080000000002</v>
      </c>
    </row>
    <row r="26" spans="2:10" ht="12.75" customHeight="1">
      <c r="B26" s="1501">
        <v>2.1</v>
      </c>
      <c r="C26" s="1453" t="s">
        <v>2</v>
      </c>
      <c r="D26" s="1451" t="s">
        <v>3201</v>
      </c>
      <c r="E26" s="1451">
        <v>5</v>
      </c>
      <c r="F26" s="1451">
        <f>0.9*E26</f>
        <v>4.5</v>
      </c>
      <c r="G26" s="1451">
        <v>120</v>
      </c>
      <c r="H26" s="1394">
        <f>F26*G26</f>
        <v>540</v>
      </c>
      <c r="I26" s="1394"/>
      <c r="J26" s="1409">
        <f>G26*I26</f>
        <v>0</v>
      </c>
    </row>
    <row r="27" spans="2:10" ht="15.75" hidden="1" customHeight="1">
      <c r="B27" s="1501"/>
      <c r="C27" s="1453" t="s">
        <v>1454</v>
      </c>
      <c r="D27" s="1451"/>
      <c r="E27" s="1451"/>
      <c r="F27" s="1451"/>
      <c r="G27" s="1451">
        <v>150</v>
      </c>
      <c r="H27" s="1394">
        <f>F27*G27</f>
        <v>0</v>
      </c>
      <c r="I27" s="1394"/>
      <c r="J27" s="1409">
        <f>G27*I27</f>
        <v>0</v>
      </c>
    </row>
    <row r="28" spans="2:10" ht="15.75" customHeight="1">
      <c r="B28" s="1501"/>
      <c r="C28" s="1453" t="s">
        <v>1469</v>
      </c>
      <c r="D28" s="1451"/>
      <c r="E28" s="1451"/>
      <c r="F28" s="1451"/>
      <c r="G28" s="1451"/>
      <c r="H28" s="1394"/>
      <c r="I28" s="1394"/>
      <c r="J28" s="1409"/>
    </row>
    <row r="29" spans="2:10" ht="15.75" customHeight="1">
      <c r="B29" s="1501">
        <v>2.11</v>
      </c>
      <c r="C29" s="1453" t="s">
        <v>1468</v>
      </c>
      <c r="D29" s="1451" t="s">
        <v>1450</v>
      </c>
      <c r="E29" s="1451">
        <v>2734</v>
      </c>
      <c r="F29" s="1451">
        <v>2734</v>
      </c>
      <c r="G29" s="1451">
        <v>36</v>
      </c>
      <c r="H29" s="1394">
        <f>F29*G29</f>
        <v>98424</v>
      </c>
      <c r="I29" s="1394">
        <f>'IPD Sub TOS'!D159</f>
        <v>2630.5884000000001</v>
      </c>
      <c r="J29" s="1409">
        <f>G29*I29</f>
        <v>94701.182400000005</v>
      </c>
    </row>
    <row r="30" spans="2:10" ht="15.75" customHeight="1">
      <c r="B30" s="1501">
        <v>2.12</v>
      </c>
      <c r="C30" s="1453" t="s">
        <v>1467</v>
      </c>
      <c r="D30" s="1451" t="s">
        <v>1450</v>
      </c>
      <c r="E30" s="1451"/>
      <c r="F30" s="1451">
        <v>610</v>
      </c>
      <c r="G30" s="1451">
        <v>36</v>
      </c>
      <c r="H30" s="1394">
        <f>F30*G30</f>
        <v>21960</v>
      </c>
      <c r="I30" s="1394"/>
      <c r="J30" s="1409">
        <f>G30*I30</f>
        <v>0</v>
      </c>
    </row>
    <row r="31" spans="2:10" ht="15.75" customHeight="1">
      <c r="B31" s="1501">
        <v>2.13</v>
      </c>
      <c r="C31" s="1453" t="s">
        <v>1451</v>
      </c>
      <c r="D31" s="1451" t="s">
        <v>1450</v>
      </c>
      <c r="E31" s="1451">
        <v>3430</v>
      </c>
      <c r="F31" s="1451">
        <v>3430</v>
      </c>
      <c r="G31" s="1451">
        <v>36</v>
      </c>
      <c r="H31" s="1394">
        <f>F31*G31</f>
        <v>123480</v>
      </c>
      <c r="I31" s="1394">
        <f>'IPD Sub TOS'!D162</f>
        <v>3200.6850000000004</v>
      </c>
      <c r="J31" s="1409">
        <f>G31*I31</f>
        <v>115224.66000000002</v>
      </c>
    </row>
    <row r="32" spans="2:10" ht="15.75" customHeight="1">
      <c r="B32" s="1502">
        <v>2.14</v>
      </c>
      <c r="C32" s="1483" t="s">
        <v>1466</v>
      </c>
      <c r="D32" s="1479" t="s">
        <v>1406</v>
      </c>
      <c r="E32" s="1479">
        <v>485</v>
      </c>
      <c r="F32" s="1479">
        <v>485</v>
      </c>
      <c r="G32" s="1479">
        <v>30</v>
      </c>
      <c r="H32" s="1423">
        <f>F32*G32</f>
        <v>14550</v>
      </c>
      <c r="I32" s="1423">
        <f>'IPD Sub TOS'!D172</f>
        <v>532.5</v>
      </c>
      <c r="J32" s="1424">
        <f>G32*I32</f>
        <v>15975</v>
      </c>
    </row>
    <row r="33" spans="2:10" ht="15.75" customHeight="1">
      <c r="B33" s="2058" t="s">
        <v>1330</v>
      </c>
      <c r="C33" s="2058"/>
      <c r="D33" s="2058"/>
      <c r="E33" s="1481"/>
      <c r="F33" s="1481"/>
      <c r="G33" s="1481"/>
      <c r="H33" s="1428">
        <f>SUM(H18:H32)</f>
        <v>763954</v>
      </c>
      <c r="I33" s="1428"/>
      <c r="J33" s="1428">
        <f>SUM(J18:J32)</f>
        <v>651787.92239999992</v>
      </c>
    </row>
    <row r="34" spans="2:10" ht="15.75" customHeight="1">
      <c r="B34" s="1500"/>
      <c r="C34" s="1485" t="s">
        <v>1465</v>
      </c>
      <c r="D34" s="1484"/>
      <c r="E34" s="1484"/>
      <c r="F34" s="1484"/>
      <c r="G34" s="1484"/>
      <c r="H34" s="1416"/>
      <c r="I34" s="1416"/>
      <c r="J34" s="1427"/>
    </row>
    <row r="35" spans="2:10" ht="15.75" customHeight="1">
      <c r="B35" s="1498">
        <v>3.1</v>
      </c>
      <c r="C35" s="1453" t="s">
        <v>1464</v>
      </c>
      <c r="D35" s="1451" t="s">
        <v>3200</v>
      </c>
      <c r="E35" s="1451">
        <v>188</v>
      </c>
      <c r="F35" s="1451">
        <v>274</v>
      </c>
      <c r="G35" s="1451">
        <v>1250</v>
      </c>
      <c r="H35" s="1394">
        <f>F35*G35</f>
        <v>342500</v>
      </c>
      <c r="I35" s="1394">
        <f>'IPD Sub TOS'!D183</f>
        <v>36.176599999999993</v>
      </c>
      <c r="J35" s="1409">
        <f>G35*I35</f>
        <v>45220.749999999993</v>
      </c>
    </row>
    <row r="36" spans="2:10" ht="15.75" customHeight="1">
      <c r="B36" s="1499">
        <v>3.2</v>
      </c>
      <c r="C36" s="1483" t="s">
        <v>1463</v>
      </c>
      <c r="D36" s="1479" t="s">
        <v>3200</v>
      </c>
      <c r="E36" s="1479">
        <v>38</v>
      </c>
      <c r="F36" s="1479">
        <v>38</v>
      </c>
      <c r="G36" s="1479">
        <v>1450</v>
      </c>
      <c r="H36" s="1423">
        <f>F36*G36</f>
        <v>55100</v>
      </c>
      <c r="I36" s="1423">
        <f>'IPD Sub TOS'!H138</f>
        <v>3.9931999999999999</v>
      </c>
      <c r="J36" s="1424">
        <f>G36*I36</f>
        <v>5790.1399999999994</v>
      </c>
    </row>
    <row r="37" spans="2:10" ht="15.75" customHeight="1">
      <c r="B37" s="2058" t="s">
        <v>1330</v>
      </c>
      <c r="C37" s="2058"/>
      <c r="D37" s="2058"/>
      <c r="E37" s="1481"/>
      <c r="F37" s="1481"/>
      <c r="G37" s="1481"/>
      <c r="H37" s="1428">
        <f>SUM(H35:H36)</f>
        <v>397600</v>
      </c>
      <c r="I37" s="1428"/>
      <c r="J37" s="1428">
        <f>SUM(J35:J36)</f>
        <v>51010.889999999992</v>
      </c>
    </row>
    <row r="38" spans="2:10" ht="15.75" customHeight="1">
      <c r="B38" s="1500"/>
      <c r="C38" s="1485" t="s">
        <v>1462</v>
      </c>
      <c r="D38" s="1484"/>
      <c r="E38" s="1484"/>
      <c r="F38" s="1484"/>
      <c r="G38" s="1484"/>
      <c r="H38" s="1416"/>
      <c r="I38" s="1416"/>
      <c r="J38" s="1427"/>
    </row>
    <row r="39" spans="2:10" ht="15.75" customHeight="1">
      <c r="B39" s="1501"/>
      <c r="C39" s="1454" t="s">
        <v>1461</v>
      </c>
      <c r="D39" s="1451"/>
      <c r="E39" s="1451"/>
      <c r="F39" s="1451"/>
      <c r="G39" s="1451"/>
      <c r="H39" s="1394"/>
      <c r="I39" s="1394"/>
      <c r="J39" s="1409"/>
    </row>
    <row r="40" spans="2:10" ht="15.75" customHeight="1">
      <c r="B40" s="1501"/>
      <c r="C40" s="1453" t="s">
        <v>1460</v>
      </c>
      <c r="D40" s="1451"/>
      <c r="E40" s="1451"/>
      <c r="F40" s="1451"/>
      <c r="G40" s="1451"/>
      <c r="H40" s="1394"/>
      <c r="I40" s="1394"/>
      <c r="J40" s="1409"/>
    </row>
    <row r="41" spans="2:10" ht="15.75" customHeight="1">
      <c r="B41" s="1498">
        <v>1.1000000000000001</v>
      </c>
      <c r="C41" s="1453" t="s">
        <v>1459</v>
      </c>
      <c r="D41" s="1451" t="s">
        <v>3200</v>
      </c>
      <c r="E41" s="1451">
        <v>5</v>
      </c>
      <c r="F41" s="1451">
        <v>4.5</v>
      </c>
      <c r="G41" s="1451">
        <v>3200</v>
      </c>
      <c r="H41" s="1394">
        <f t="shared" ref="H41:H47" si="4">F41*G41</f>
        <v>14400</v>
      </c>
      <c r="I41" s="1394">
        <f>'IPD Super TOS'!D12</f>
        <v>5.2416000000000009</v>
      </c>
      <c r="J41" s="1409">
        <f t="shared" ref="J41:J47" si="5">G41*I41</f>
        <v>16773.120000000003</v>
      </c>
    </row>
    <row r="42" spans="2:10" ht="15.75" customHeight="1">
      <c r="B42" s="1498">
        <v>1.2</v>
      </c>
      <c r="C42" s="1453" t="s">
        <v>1458</v>
      </c>
      <c r="D42" s="1451" t="s">
        <v>3200</v>
      </c>
      <c r="E42" s="1451">
        <v>23</v>
      </c>
      <c r="F42" s="1451">
        <v>23</v>
      </c>
      <c r="G42" s="1451">
        <v>3200</v>
      </c>
      <c r="H42" s="1394">
        <f t="shared" si="4"/>
        <v>73600</v>
      </c>
      <c r="I42" s="1394">
        <f>'IPD Super TOS'!D31</f>
        <v>19.974000000000004</v>
      </c>
      <c r="J42" s="1409">
        <f t="shared" si="5"/>
        <v>63916.80000000001</v>
      </c>
    </row>
    <row r="43" spans="2:10" ht="15.75" customHeight="1">
      <c r="B43" s="1498">
        <v>1.3</v>
      </c>
      <c r="C43" s="1453" t="s">
        <v>3</v>
      </c>
      <c r="D43" s="1451" t="s">
        <v>3200</v>
      </c>
      <c r="E43" s="1451"/>
      <c r="F43" s="1451">
        <v>1.3</v>
      </c>
      <c r="G43" s="1451">
        <v>3200</v>
      </c>
      <c r="H43" s="1394">
        <f t="shared" si="4"/>
        <v>4160</v>
      </c>
      <c r="I43" s="1394">
        <f>'IPD Super TOS'!D61</f>
        <v>1.3460000000000001</v>
      </c>
      <c r="J43" s="1409">
        <f t="shared" si="5"/>
        <v>4307.2000000000007</v>
      </c>
    </row>
    <row r="44" spans="2:10" ht="15.75" customHeight="1">
      <c r="B44" s="1498"/>
      <c r="C44" s="1453" t="s">
        <v>1457</v>
      </c>
      <c r="D44" s="1451"/>
      <c r="E44" s="1451"/>
      <c r="F44" s="1451"/>
      <c r="G44" s="1451"/>
      <c r="H44" s="1394">
        <f t="shared" si="4"/>
        <v>0</v>
      </c>
      <c r="I44" s="1394"/>
      <c r="J44" s="1409">
        <f t="shared" si="5"/>
        <v>0</v>
      </c>
    </row>
    <row r="45" spans="2:10" ht="15.75" customHeight="1">
      <c r="B45" s="1498">
        <v>1.4</v>
      </c>
      <c r="C45" s="1453" t="s">
        <v>1456</v>
      </c>
      <c r="D45" s="1451" t="s">
        <v>3201</v>
      </c>
      <c r="E45" s="1451">
        <v>108</v>
      </c>
      <c r="F45" s="1451">
        <v>108</v>
      </c>
      <c r="G45" s="1451">
        <v>130</v>
      </c>
      <c r="H45" s="1394">
        <f t="shared" si="4"/>
        <v>14040</v>
      </c>
      <c r="I45" s="1394">
        <f>'IPD Super TOS'!H11</f>
        <v>104.83199999999999</v>
      </c>
      <c r="J45" s="1409">
        <f t="shared" si="5"/>
        <v>13628.16</v>
      </c>
    </row>
    <row r="46" spans="2:10" ht="15.75" customHeight="1">
      <c r="B46" s="1498">
        <v>1.5</v>
      </c>
      <c r="C46" s="1453" t="s">
        <v>1455</v>
      </c>
      <c r="D46" s="1451" t="s">
        <v>3201</v>
      </c>
      <c r="E46" s="1451">
        <v>302</v>
      </c>
      <c r="F46" s="1451">
        <v>302</v>
      </c>
      <c r="G46" s="1451">
        <v>130</v>
      </c>
      <c r="H46" s="1394">
        <f t="shared" si="4"/>
        <v>39260</v>
      </c>
      <c r="I46" s="1394">
        <f>'IPD Super TOS'!H30</f>
        <v>263.12000000000006</v>
      </c>
      <c r="J46" s="1409">
        <f t="shared" si="5"/>
        <v>34205.600000000006</v>
      </c>
    </row>
    <row r="47" spans="2:10" ht="15.75" customHeight="1">
      <c r="B47" s="1498">
        <v>1.6</v>
      </c>
      <c r="C47" s="1453" t="s">
        <v>3</v>
      </c>
      <c r="D47" s="1451" t="s">
        <v>3201</v>
      </c>
      <c r="E47" s="1451"/>
      <c r="F47" s="1451">
        <v>10.7</v>
      </c>
      <c r="G47" s="1451">
        <v>130</v>
      </c>
      <c r="H47" s="1394">
        <f t="shared" si="4"/>
        <v>1391</v>
      </c>
      <c r="I47" s="1394">
        <f>'IPD Super TOS'!H54</f>
        <v>23.669999999999998</v>
      </c>
      <c r="J47" s="1409">
        <f t="shared" si="5"/>
        <v>3077.1</v>
      </c>
    </row>
    <row r="48" spans="2:10" ht="15.75" customHeight="1">
      <c r="B48" s="1498"/>
      <c r="C48" s="1453" t="s">
        <v>1454</v>
      </c>
      <c r="D48" s="1451"/>
      <c r="E48" s="1451"/>
      <c r="F48" s="1451"/>
      <c r="G48" s="1451"/>
      <c r="H48" s="1394"/>
      <c r="I48" s="1394"/>
      <c r="J48" s="1409"/>
    </row>
    <row r="49" spans="2:10" ht="15.75" customHeight="1">
      <c r="B49" s="1498">
        <v>1.7</v>
      </c>
      <c r="C49" s="1453" t="s">
        <v>1453</v>
      </c>
      <c r="D49" s="1451" t="s">
        <v>1450</v>
      </c>
      <c r="E49" s="1451">
        <v>0</v>
      </c>
      <c r="F49" s="1455" t="s">
        <v>1444</v>
      </c>
      <c r="G49" s="1451">
        <v>36</v>
      </c>
      <c r="H49" s="1394"/>
      <c r="I49" s="1394"/>
      <c r="J49" s="1409">
        <f>G49*I49</f>
        <v>0</v>
      </c>
    </row>
    <row r="50" spans="2:10" ht="15.75" customHeight="1">
      <c r="B50" s="1498">
        <v>1.8</v>
      </c>
      <c r="C50" s="1453" t="s">
        <v>1452</v>
      </c>
      <c r="D50" s="1451" t="s">
        <v>1450</v>
      </c>
      <c r="E50" s="1451">
        <v>2577</v>
      </c>
      <c r="F50" s="1451">
        <v>2577</v>
      </c>
      <c r="G50" s="1451">
        <v>36</v>
      </c>
      <c r="H50" s="1394">
        <f>F50*G50</f>
        <v>92772</v>
      </c>
      <c r="I50" s="1394">
        <f>'IPD Super TOS'!H57</f>
        <v>2633.7014400000003</v>
      </c>
      <c r="J50" s="1409">
        <f>G50*I50</f>
        <v>94813.251840000012</v>
      </c>
    </row>
    <row r="51" spans="2:10" ht="15.75" customHeight="1">
      <c r="B51" s="1499">
        <v>1.9</v>
      </c>
      <c r="C51" s="1483" t="s">
        <v>1451</v>
      </c>
      <c r="D51" s="1479" t="s">
        <v>1450</v>
      </c>
      <c r="E51" s="1479">
        <v>779</v>
      </c>
      <c r="F51" s="1479">
        <v>779</v>
      </c>
      <c r="G51" s="1479">
        <v>36</v>
      </c>
      <c r="H51" s="1423">
        <f>F51*G51</f>
        <v>28044</v>
      </c>
      <c r="I51" s="1423">
        <f>'IPD Super TOS'!D64</f>
        <v>769.89449999999999</v>
      </c>
      <c r="J51" s="1424">
        <f>G51*I51</f>
        <v>27716.202000000001</v>
      </c>
    </row>
    <row r="52" spans="2:10" ht="15.75" customHeight="1">
      <c r="B52" s="2058" t="s">
        <v>1330</v>
      </c>
      <c r="C52" s="2058"/>
      <c r="D52" s="2058"/>
      <c r="E52" s="1481"/>
      <c r="F52" s="1481"/>
      <c r="G52" s="1481"/>
      <c r="H52" s="1428">
        <f>SUM(H41:H50)</f>
        <v>239623</v>
      </c>
      <c r="I52" s="1428"/>
      <c r="J52" s="1428">
        <f>SUM(J41:J51)</f>
        <v>258437.43384000001</v>
      </c>
    </row>
    <row r="53" spans="2:10" ht="15.75" customHeight="1">
      <c r="B53" s="1500"/>
      <c r="C53" s="1492" t="s">
        <v>1449</v>
      </c>
      <c r="D53" s="1484"/>
      <c r="E53" s="1484"/>
      <c r="F53" s="1484"/>
      <c r="G53" s="1484"/>
      <c r="H53" s="1416"/>
      <c r="I53" s="1416"/>
      <c r="J53" s="1427"/>
    </row>
    <row r="54" spans="2:10" ht="15.75" customHeight="1">
      <c r="B54" s="1501"/>
      <c r="C54" s="1453" t="s">
        <v>1448</v>
      </c>
      <c r="D54" s="1451"/>
      <c r="E54" s="1451"/>
      <c r="F54" s="1451"/>
      <c r="G54" s="1451"/>
      <c r="H54" s="1394"/>
      <c r="I54" s="1394"/>
      <c r="J54" s="1409"/>
    </row>
    <row r="55" spans="2:10" ht="15.75" customHeight="1">
      <c r="B55" s="1498">
        <v>2.1</v>
      </c>
      <c r="C55" s="1453" t="s">
        <v>1447</v>
      </c>
      <c r="D55" s="1451" t="s">
        <v>3201</v>
      </c>
      <c r="E55" s="1451">
        <v>661</v>
      </c>
      <c r="F55" s="1451">
        <v>494</v>
      </c>
      <c r="G55" s="1451">
        <v>350</v>
      </c>
      <c r="H55" s="1394">
        <f>F55*G55</f>
        <v>172900</v>
      </c>
      <c r="I55" s="1394">
        <f>'IPD Super TOS'!D131</f>
        <v>594.52850000000001</v>
      </c>
      <c r="J55" s="1409">
        <f>G55*I55</f>
        <v>208084.97500000001</v>
      </c>
    </row>
    <row r="56" spans="2:10" ht="15.75" customHeight="1">
      <c r="B56" s="1499">
        <v>2.2000000000000002</v>
      </c>
      <c r="C56" s="1483" t="s">
        <v>1446</v>
      </c>
      <c r="D56" s="1479" t="s">
        <v>3201</v>
      </c>
      <c r="E56" s="1479"/>
      <c r="F56" s="1479">
        <v>390</v>
      </c>
      <c r="G56" s="1479">
        <v>320</v>
      </c>
      <c r="H56" s="1423">
        <f>F56*G56</f>
        <v>124800</v>
      </c>
      <c r="I56" s="1423">
        <f>'IPD Super TOS'!H128</f>
        <v>314.18760000000003</v>
      </c>
      <c r="J56" s="1424">
        <f>G56*I56</f>
        <v>100540.03200000001</v>
      </c>
    </row>
    <row r="57" spans="2:10" ht="15.75" customHeight="1">
      <c r="B57" s="2058" t="s">
        <v>1330</v>
      </c>
      <c r="C57" s="2058"/>
      <c r="D57" s="2058"/>
      <c r="E57" s="1481"/>
      <c r="F57" s="1481"/>
      <c r="G57" s="1481"/>
      <c r="H57" s="1428">
        <f>SUM(H55:H56)</f>
        <v>297700</v>
      </c>
      <c r="I57" s="1428"/>
      <c r="J57" s="1428">
        <f>SUM(J55:J56)</f>
        <v>308625.00699999998</v>
      </c>
    </row>
    <row r="58" spans="2:10" ht="15.75" customHeight="1">
      <c r="B58" s="1500"/>
      <c r="C58" s="1485" t="s">
        <v>1443</v>
      </c>
      <c r="D58" s="1487"/>
      <c r="E58" s="1487"/>
      <c r="F58" s="1487"/>
      <c r="G58" s="1487"/>
      <c r="H58" s="1416"/>
      <c r="I58" s="1416"/>
      <c r="J58" s="1427"/>
    </row>
    <row r="59" spans="2:10" ht="15.75" customHeight="1">
      <c r="B59" s="1498">
        <v>3.1</v>
      </c>
      <c r="C59" s="1453" t="s">
        <v>1442</v>
      </c>
      <c r="D59" s="1451" t="s">
        <v>3201</v>
      </c>
      <c r="E59" s="1451">
        <v>696.74</v>
      </c>
      <c r="F59" s="1451">
        <v>696.74</v>
      </c>
      <c r="G59" s="1451">
        <v>360</v>
      </c>
      <c r="H59" s="1394">
        <f>F59*G59</f>
        <v>250826.4</v>
      </c>
      <c r="I59" s="1394">
        <f>'IPD Super TOS'!H135</f>
        <v>790.03</v>
      </c>
      <c r="J59" s="1409">
        <f>G59*I59</f>
        <v>284410.8</v>
      </c>
    </row>
    <row r="60" spans="2:10" ht="16.5" customHeight="1">
      <c r="B60" s="1498">
        <v>3.2</v>
      </c>
      <c r="C60" s="1456" t="s">
        <v>1441</v>
      </c>
      <c r="D60" s="1451" t="s">
        <v>3201</v>
      </c>
      <c r="E60" s="1451">
        <v>66</v>
      </c>
      <c r="F60" s="1451">
        <v>66</v>
      </c>
      <c r="G60" s="1451">
        <v>160</v>
      </c>
      <c r="H60" s="1394">
        <f>F60*G60</f>
        <v>10560</v>
      </c>
      <c r="I60" s="1394">
        <f>'IPD Super TOS'!H144</f>
        <v>58.54</v>
      </c>
      <c r="J60" s="1409">
        <f>G60*I60</f>
        <v>9366.4</v>
      </c>
    </row>
    <row r="61" spans="2:10" ht="15.75" customHeight="1">
      <c r="B61" s="1498">
        <v>3.3</v>
      </c>
      <c r="C61" s="1453" t="s">
        <v>1440</v>
      </c>
      <c r="D61" s="1451" t="s">
        <v>1406</v>
      </c>
      <c r="E61" s="1451">
        <v>110</v>
      </c>
      <c r="F61" s="1451">
        <v>110</v>
      </c>
      <c r="G61" s="1451">
        <v>110</v>
      </c>
      <c r="H61" s="1394">
        <f>F61*G61</f>
        <v>12100</v>
      </c>
      <c r="I61" s="1394">
        <f>'IPD Super TOS'!H153</f>
        <v>59.74</v>
      </c>
      <c r="J61" s="1409">
        <f>G61*I61</f>
        <v>6571.4000000000005</v>
      </c>
    </row>
    <row r="62" spans="2:10" ht="17.25" customHeight="1">
      <c r="B62" s="1499">
        <v>3.4</v>
      </c>
      <c r="C62" s="1490" t="s">
        <v>1439</v>
      </c>
      <c r="D62" s="1479" t="s">
        <v>1406</v>
      </c>
      <c r="E62" s="1479">
        <v>78</v>
      </c>
      <c r="F62" s="1479">
        <v>78</v>
      </c>
      <c r="G62" s="1479">
        <v>120</v>
      </c>
      <c r="H62" s="1423">
        <f>F62*G62</f>
        <v>9360</v>
      </c>
      <c r="I62" s="1423">
        <f>'IPD Super TOS'!H158</f>
        <v>79.400000000000006</v>
      </c>
      <c r="J62" s="1424">
        <f>G62*I62</f>
        <v>9528</v>
      </c>
    </row>
    <row r="63" spans="2:10" ht="15.75" customHeight="1">
      <c r="B63" s="2058" t="s">
        <v>1330</v>
      </c>
      <c r="C63" s="2058"/>
      <c r="D63" s="2058"/>
      <c r="E63" s="1491"/>
      <c r="F63" s="1481"/>
      <c r="G63" s="1481"/>
      <c r="H63" s="1428">
        <f>SUM(H59:H62)</f>
        <v>282846.40000000002</v>
      </c>
      <c r="I63" s="1428"/>
      <c r="J63" s="1428">
        <f>SUM(J59:J62)</f>
        <v>309876.60000000003</v>
      </c>
    </row>
    <row r="64" spans="2:10" ht="15.75" customHeight="1">
      <c r="B64" s="1500"/>
      <c r="C64" s="1485" t="s">
        <v>1438</v>
      </c>
      <c r="D64" s="1484"/>
      <c r="E64" s="1484"/>
      <c r="F64" s="1484"/>
      <c r="G64" s="1484"/>
      <c r="H64" s="1416"/>
      <c r="I64" s="1416"/>
      <c r="J64" s="1427"/>
    </row>
    <row r="65" spans="2:11" ht="15.75" customHeight="1">
      <c r="B65" s="1498">
        <v>4.0999999999999996</v>
      </c>
      <c r="C65" s="1453" t="s">
        <v>1437</v>
      </c>
      <c r="D65" s="1451" t="s">
        <v>1406</v>
      </c>
      <c r="E65" s="1451">
        <v>927.45</v>
      </c>
      <c r="F65" s="1451">
        <v>927.45</v>
      </c>
      <c r="G65" s="1451">
        <v>23</v>
      </c>
      <c r="H65" s="1394">
        <f>F65*G65</f>
        <v>21331.350000000002</v>
      </c>
      <c r="I65" s="1394">
        <f>'IPD Super TOS'!H167</f>
        <v>1216.8</v>
      </c>
      <c r="J65" s="1409">
        <f>G65*I65</f>
        <v>27986.399999999998</v>
      </c>
    </row>
    <row r="66" spans="2:11" ht="15.75" customHeight="1">
      <c r="B66" s="1498">
        <v>4.2</v>
      </c>
      <c r="C66" s="1453" t="s">
        <v>1436</v>
      </c>
      <c r="D66" s="1451" t="s">
        <v>1406</v>
      </c>
      <c r="E66" s="1451">
        <v>534.6</v>
      </c>
      <c r="F66" s="1451">
        <v>534.6</v>
      </c>
      <c r="G66" s="1451">
        <v>16</v>
      </c>
      <c r="H66" s="1394">
        <f>F66*G66</f>
        <v>8553.6</v>
      </c>
      <c r="I66" s="1394">
        <f>'IPD Super TOS'!H176</f>
        <v>1735.2</v>
      </c>
      <c r="J66" s="1409">
        <f>G66*I66</f>
        <v>27763.200000000001</v>
      </c>
    </row>
    <row r="67" spans="2:11" ht="15.75" customHeight="1">
      <c r="B67" s="1498">
        <v>4.3</v>
      </c>
      <c r="C67" s="1453" t="s">
        <v>1435</v>
      </c>
      <c r="D67" s="1451" t="s">
        <v>1406</v>
      </c>
      <c r="E67" s="1451">
        <v>714.6</v>
      </c>
      <c r="F67" s="1451">
        <v>714.6</v>
      </c>
      <c r="G67" s="1451">
        <v>33</v>
      </c>
      <c r="H67" s="1394">
        <f>F67*G67</f>
        <v>23581.8</v>
      </c>
      <c r="I67" s="1394">
        <f>'IPD Super TOS'!D182</f>
        <v>952.80000000000007</v>
      </c>
      <c r="J67" s="1409">
        <f>G67*I67</f>
        <v>31442.400000000001</v>
      </c>
    </row>
    <row r="68" spans="2:11" ht="15.75" customHeight="1">
      <c r="B68" s="1498">
        <v>4.4000000000000004</v>
      </c>
      <c r="C68" s="1453" t="s">
        <v>1434</v>
      </c>
      <c r="D68" s="1451" t="s">
        <v>1406</v>
      </c>
      <c r="E68" s="1451">
        <v>79.400000000000006</v>
      </c>
      <c r="F68" s="1451">
        <v>79.400000000000006</v>
      </c>
      <c r="G68" s="1451">
        <v>71</v>
      </c>
      <c r="H68" s="1394">
        <f>F68*G68</f>
        <v>5637.4000000000005</v>
      </c>
      <c r="I68" s="1394">
        <f>'IPD Super TOS'!D191</f>
        <v>119.48</v>
      </c>
      <c r="J68" s="1409">
        <f>G68*I68</f>
        <v>8483.08</v>
      </c>
    </row>
    <row r="69" spans="2:11" ht="15.75" customHeight="1">
      <c r="B69" s="1498"/>
      <c r="C69" s="1457" t="s">
        <v>1433</v>
      </c>
      <c r="D69" s="1451"/>
      <c r="E69" s="1451"/>
      <c r="F69" s="1451"/>
      <c r="G69" s="1451"/>
      <c r="H69" s="1394"/>
      <c r="I69" s="1394"/>
      <c r="J69" s="1409"/>
    </row>
    <row r="70" spans="2:11" ht="15.75" customHeight="1">
      <c r="B70" s="1498">
        <v>4.5</v>
      </c>
      <c r="C70" s="1453" t="s">
        <v>1432</v>
      </c>
      <c r="D70" s="1451" t="s">
        <v>1416</v>
      </c>
      <c r="E70" s="1451">
        <v>2</v>
      </c>
      <c r="F70" s="1451">
        <v>2</v>
      </c>
      <c r="G70" s="1451">
        <v>5187</v>
      </c>
      <c r="H70" s="1394">
        <f>F70*G70</f>
        <v>10374</v>
      </c>
      <c r="I70" s="1394">
        <f>'IPD Super TOS'!D195</f>
        <v>4</v>
      </c>
      <c r="J70" s="1409">
        <f>G70*I70</f>
        <v>20748</v>
      </c>
    </row>
    <row r="71" spans="2:11" ht="15.75" customHeight="1">
      <c r="B71" s="1498">
        <v>4.5999999999999996</v>
      </c>
      <c r="C71" s="1453" t="s">
        <v>1431</v>
      </c>
      <c r="D71" s="1451" t="s">
        <v>1416</v>
      </c>
      <c r="E71" s="1451">
        <v>7</v>
      </c>
      <c r="F71" s="1451">
        <v>7</v>
      </c>
      <c r="G71" s="1451">
        <v>1800</v>
      </c>
      <c r="H71" s="1394">
        <f>F71*G71</f>
        <v>12600</v>
      </c>
      <c r="I71" s="1394"/>
      <c r="J71" s="1409">
        <f>G71*I71</f>
        <v>0</v>
      </c>
    </row>
    <row r="72" spans="2:11" ht="15.75" customHeight="1">
      <c r="B72" s="1498">
        <v>4.7</v>
      </c>
      <c r="C72" s="1453" t="s">
        <v>1430</v>
      </c>
      <c r="D72" s="1451" t="s">
        <v>1416</v>
      </c>
      <c r="E72" s="1451">
        <v>6</v>
      </c>
      <c r="F72" s="1451">
        <v>6</v>
      </c>
      <c r="G72" s="1451">
        <v>3630.9</v>
      </c>
      <c r="H72" s="1394">
        <f>F72*G72</f>
        <v>21785.4</v>
      </c>
      <c r="I72" s="1394">
        <f>'IPD Super TOS'!D199</f>
        <v>6</v>
      </c>
      <c r="J72" s="1409">
        <f>G72*I72</f>
        <v>21785.4</v>
      </c>
    </row>
    <row r="73" spans="2:11" ht="15.75" customHeight="1">
      <c r="B73" s="1498">
        <v>4.8</v>
      </c>
      <c r="C73" s="1453" t="s">
        <v>1429</v>
      </c>
      <c r="D73" s="1451" t="s">
        <v>1416</v>
      </c>
      <c r="E73" s="1451">
        <v>10</v>
      </c>
      <c r="F73" s="1451">
        <v>10</v>
      </c>
      <c r="G73" s="1451">
        <v>4668.3</v>
      </c>
      <c r="H73" s="1394">
        <f>F73*G73</f>
        <v>46683</v>
      </c>
      <c r="I73" s="1394">
        <f>'IPD Super TOS'!D203</f>
        <v>8</v>
      </c>
      <c r="J73" s="1409">
        <f>G73*I73</f>
        <v>37346.400000000001</v>
      </c>
    </row>
    <row r="74" spans="2:11" s="1445" customFormat="1" ht="15.75" customHeight="1">
      <c r="B74" s="1503">
        <v>4.9000000000000004</v>
      </c>
      <c r="C74" s="1488" t="s">
        <v>2530</v>
      </c>
      <c r="D74" s="1489"/>
      <c r="E74" s="1489"/>
      <c r="F74" s="1489"/>
      <c r="G74" s="1479">
        <f>1900*1.3*2.73</f>
        <v>6743.1</v>
      </c>
      <c r="H74" s="1423"/>
      <c r="I74" s="1423">
        <f>'IPD Super TOS'!D207</f>
        <v>1</v>
      </c>
      <c r="J74" s="1424">
        <f>G74*I74</f>
        <v>6743.1</v>
      </c>
      <c r="K74" s="998"/>
    </row>
    <row r="75" spans="2:11" ht="15.75" customHeight="1">
      <c r="B75" s="2058" t="s">
        <v>1330</v>
      </c>
      <c r="C75" s="2058"/>
      <c r="D75" s="2058"/>
      <c r="E75" s="1481"/>
      <c r="F75" s="1481"/>
      <c r="G75" s="1481"/>
      <c r="H75" s="1428">
        <f>SUM(H65:H73)</f>
        <v>150546.54999999999</v>
      </c>
      <c r="I75" s="1428"/>
      <c r="J75" s="1428">
        <f>SUM(J65:J74)</f>
        <v>182297.98</v>
      </c>
    </row>
    <row r="76" spans="2:11" ht="15.75" customHeight="1">
      <c r="B76" s="1500"/>
      <c r="C76" s="1485" t="s">
        <v>1428</v>
      </c>
      <c r="D76" s="1484"/>
      <c r="E76" s="1484"/>
      <c r="F76" s="1484"/>
      <c r="G76" s="1484"/>
      <c r="H76" s="1416"/>
      <c r="I76" s="1416"/>
      <c r="J76" s="1427"/>
    </row>
    <row r="77" spans="2:11" ht="15.75" customHeight="1">
      <c r="B77" s="1498"/>
      <c r="C77" s="1457" t="s">
        <v>1427</v>
      </c>
      <c r="D77" s="1451"/>
      <c r="E77" s="1451"/>
      <c r="F77" s="1451"/>
      <c r="G77" s="1451"/>
      <c r="H77" s="1394"/>
      <c r="I77" s="1394"/>
      <c r="J77" s="1409"/>
    </row>
    <row r="78" spans="2:11" ht="15.75" customHeight="1">
      <c r="B78" s="1498">
        <v>5.0999999999999996</v>
      </c>
      <c r="C78" s="1453" t="s">
        <v>1426</v>
      </c>
      <c r="D78" s="1451" t="s">
        <v>1416</v>
      </c>
      <c r="E78" s="1451">
        <v>17</v>
      </c>
      <c r="F78" s="1451">
        <v>17</v>
      </c>
      <c r="G78" s="1451">
        <v>3892.5</v>
      </c>
      <c r="H78" s="1394">
        <f t="shared" ref="H78:H84" si="6">F78*G78</f>
        <v>66172.5</v>
      </c>
      <c r="I78" s="1394">
        <f>'IPD Super TOS'!D212</f>
        <v>12</v>
      </c>
      <c r="J78" s="1409">
        <f t="shared" ref="J78:J88" si="7">G78*I78</f>
        <v>46710</v>
      </c>
    </row>
    <row r="79" spans="2:11" ht="15.75" customHeight="1">
      <c r="B79" s="1498">
        <v>5.2</v>
      </c>
      <c r="C79" s="1453" t="s">
        <v>1425</v>
      </c>
      <c r="D79" s="1451" t="s">
        <v>1416</v>
      </c>
      <c r="E79" s="1451">
        <v>1</v>
      </c>
      <c r="F79" s="1451">
        <v>1</v>
      </c>
      <c r="G79" s="1451">
        <v>3373.5</v>
      </c>
      <c r="H79" s="1394">
        <f t="shared" si="6"/>
        <v>3373.5</v>
      </c>
      <c r="I79" s="1394">
        <f>'IPD Super TOS'!D216</f>
        <v>5</v>
      </c>
      <c r="J79" s="1409">
        <f t="shared" si="7"/>
        <v>16867.5</v>
      </c>
    </row>
    <row r="80" spans="2:11" ht="15.75" customHeight="1">
      <c r="B80" s="1498">
        <v>5.3</v>
      </c>
      <c r="C80" s="1453" t="s">
        <v>1424</v>
      </c>
      <c r="D80" s="1451" t="s">
        <v>1416</v>
      </c>
      <c r="E80" s="1451">
        <v>1</v>
      </c>
      <c r="F80" s="1451">
        <v>1</v>
      </c>
      <c r="G80" s="1451">
        <v>1946.25</v>
      </c>
      <c r="H80" s="1394">
        <f t="shared" si="6"/>
        <v>1946.25</v>
      </c>
      <c r="I80" s="1394">
        <f>'IPD Super TOS'!D220</f>
        <v>1</v>
      </c>
      <c r="J80" s="1409">
        <f t="shared" si="7"/>
        <v>1946.25</v>
      </c>
    </row>
    <row r="81" spans="2:10" ht="15.75" customHeight="1">
      <c r="B81" s="1498">
        <v>5.4</v>
      </c>
      <c r="C81" s="1453" t="s">
        <v>1423</v>
      </c>
      <c r="D81" s="1451" t="s">
        <v>1416</v>
      </c>
      <c r="E81" s="1451">
        <v>2</v>
      </c>
      <c r="F81" s="1451">
        <v>2</v>
      </c>
      <c r="G81" s="1451">
        <v>2520</v>
      </c>
      <c r="H81" s="1394">
        <f t="shared" si="6"/>
        <v>5040</v>
      </c>
      <c r="I81" s="1394"/>
      <c r="J81" s="1409">
        <f t="shared" si="7"/>
        <v>0</v>
      </c>
    </row>
    <row r="82" spans="2:10" ht="15.75" customHeight="1">
      <c r="B82" s="1498">
        <v>5.5</v>
      </c>
      <c r="C82" s="1453" t="s">
        <v>1422</v>
      </c>
      <c r="D82" s="1451" t="s">
        <v>1416</v>
      </c>
      <c r="E82" s="1451">
        <v>2</v>
      </c>
      <c r="F82" s="1451">
        <v>2</v>
      </c>
      <c r="G82" s="1451">
        <v>1170</v>
      </c>
      <c r="H82" s="1394">
        <f t="shared" si="6"/>
        <v>2340</v>
      </c>
      <c r="I82" s="1394">
        <f>'IPD Super TOS'!D224</f>
        <v>6</v>
      </c>
      <c r="J82" s="1409">
        <f t="shared" si="7"/>
        <v>7020</v>
      </c>
    </row>
    <row r="83" spans="2:10" ht="15.75" customHeight="1">
      <c r="B83" s="1498">
        <v>5.6</v>
      </c>
      <c r="C83" s="1453" t="s">
        <v>1421</v>
      </c>
      <c r="D83" s="1451" t="s">
        <v>1416</v>
      </c>
      <c r="E83" s="1451">
        <v>1</v>
      </c>
      <c r="F83" s="1451">
        <v>1</v>
      </c>
      <c r="G83" s="1451">
        <v>5400</v>
      </c>
      <c r="H83" s="1394">
        <f t="shared" si="6"/>
        <v>5400</v>
      </c>
      <c r="I83" s="1394">
        <f>'IPD Super TOS'!D228</f>
        <v>1</v>
      </c>
      <c r="J83" s="1409">
        <f t="shared" si="7"/>
        <v>5400</v>
      </c>
    </row>
    <row r="84" spans="2:10" ht="15.75" customHeight="1">
      <c r="B84" s="1498" t="s">
        <v>2534</v>
      </c>
      <c r="C84" s="1453" t="s">
        <v>2535</v>
      </c>
      <c r="D84" s="1451" t="s">
        <v>1416</v>
      </c>
      <c r="E84" s="1451"/>
      <c r="F84" s="1451"/>
      <c r="G84" s="1451">
        <v>8100</v>
      </c>
      <c r="H84" s="1394">
        <f t="shared" si="6"/>
        <v>0</v>
      </c>
      <c r="I84" s="1394">
        <f>'IPD Super TOS'!D232</f>
        <v>1</v>
      </c>
      <c r="J84" s="1409">
        <f t="shared" si="7"/>
        <v>8100</v>
      </c>
    </row>
    <row r="85" spans="2:10" ht="15.75" customHeight="1">
      <c r="B85" s="1501"/>
      <c r="C85" s="1457" t="s">
        <v>1420</v>
      </c>
      <c r="D85" s="1451"/>
      <c r="E85" s="1451"/>
      <c r="F85" s="1451"/>
      <c r="G85" s="1451"/>
      <c r="H85" s="1394"/>
      <c r="I85" s="1394"/>
      <c r="J85" s="1409"/>
    </row>
    <row r="86" spans="2:10" ht="15.75" customHeight="1">
      <c r="B86" s="1501">
        <v>5.16</v>
      </c>
      <c r="C86" s="1453" t="s">
        <v>1419</v>
      </c>
      <c r="D86" s="1451" t="s">
        <v>1416</v>
      </c>
      <c r="E86" s="1451">
        <v>3</v>
      </c>
      <c r="F86" s="1451">
        <v>3</v>
      </c>
      <c r="G86" s="1451">
        <v>4914</v>
      </c>
      <c r="H86" s="1394">
        <f t="shared" ref="H86:H88" si="8">F86*G86</f>
        <v>14742</v>
      </c>
      <c r="I86" s="1394"/>
      <c r="J86" s="1409">
        <f t="shared" si="7"/>
        <v>0</v>
      </c>
    </row>
    <row r="87" spans="2:10" ht="15.75" customHeight="1">
      <c r="B87" s="1501">
        <v>5.17</v>
      </c>
      <c r="C87" s="1453" t="s">
        <v>1418</v>
      </c>
      <c r="D87" s="1451" t="s">
        <v>1416</v>
      </c>
      <c r="E87" s="1451">
        <v>4</v>
      </c>
      <c r="F87" s="1451">
        <v>4</v>
      </c>
      <c r="G87" s="1451">
        <v>3685.5</v>
      </c>
      <c r="H87" s="1394">
        <f t="shared" si="8"/>
        <v>14742</v>
      </c>
      <c r="I87" s="1394"/>
      <c r="J87" s="1409">
        <f t="shared" si="7"/>
        <v>0</v>
      </c>
    </row>
    <row r="88" spans="2:10" ht="15.75" customHeight="1">
      <c r="B88" s="1502">
        <v>5.18</v>
      </c>
      <c r="C88" s="1483" t="s">
        <v>1417</v>
      </c>
      <c r="D88" s="1479" t="s">
        <v>1416</v>
      </c>
      <c r="E88" s="1479">
        <v>3</v>
      </c>
      <c r="F88" s="1479">
        <v>3</v>
      </c>
      <c r="G88" s="1479">
        <v>3276</v>
      </c>
      <c r="H88" s="1423">
        <f t="shared" si="8"/>
        <v>9828</v>
      </c>
      <c r="I88" s="1423">
        <f>'IPD Super TOS'!H182</f>
        <v>1</v>
      </c>
      <c r="J88" s="1424">
        <f t="shared" si="7"/>
        <v>3276</v>
      </c>
    </row>
    <row r="89" spans="2:10" ht="15.75" customHeight="1">
      <c r="B89" s="2058" t="s">
        <v>1330</v>
      </c>
      <c r="C89" s="2058"/>
      <c r="D89" s="2058"/>
      <c r="E89" s="1302"/>
      <c r="F89" s="1481"/>
      <c r="G89" s="1481"/>
      <c r="H89" s="1428">
        <f>SUM(H78:H88)</f>
        <v>123584.25</v>
      </c>
      <c r="I89" s="1428"/>
      <c r="J89" s="1428">
        <f>SUM(J78:J88)</f>
        <v>89319.75</v>
      </c>
    </row>
    <row r="90" spans="2:10" ht="15.75" customHeight="1">
      <c r="B90" s="1500"/>
      <c r="C90" s="1485" t="s">
        <v>1415</v>
      </c>
      <c r="D90" s="1487"/>
      <c r="E90" s="1487"/>
      <c r="F90" s="1487"/>
      <c r="G90" s="1487"/>
      <c r="H90" s="1416"/>
      <c r="I90" s="1416"/>
      <c r="J90" s="1427"/>
    </row>
    <row r="91" spans="2:10" ht="15.75" customHeight="1">
      <c r="B91" s="1498">
        <v>6.1</v>
      </c>
      <c r="C91" s="1453" t="s">
        <v>1414</v>
      </c>
      <c r="D91" s="1451" t="s">
        <v>3201</v>
      </c>
      <c r="E91" s="1451">
        <v>249</v>
      </c>
      <c r="F91" s="1451">
        <v>140</v>
      </c>
      <c r="G91" s="1451">
        <v>90</v>
      </c>
      <c r="H91" s="1394">
        <f t="shared" ref="H91:H101" si="9">F91*G91</f>
        <v>12600</v>
      </c>
      <c r="I91" s="1394">
        <f>'IPD Super TOS'!H232</f>
        <v>260.51100000000002</v>
      </c>
      <c r="J91" s="1409">
        <f>G91*I91</f>
        <v>23445.99</v>
      </c>
    </row>
    <row r="92" spans="2:10" ht="15.75" customHeight="1">
      <c r="B92" s="1498">
        <v>6.2</v>
      </c>
      <c r="C92" s="1458" t="s">
        <v>1413</v>
      </c>
      <c r="D92" s="1451" t="s">
        <v>3201</v>
      </c>
      <c r="E92" s="1451">
        <v>1164</v>
      </c>
      <c r="F92" s="1451">
        <v>150</v>
      </c>
      <c r="G92" s="1451">
        <v>90</v>
      </c>
      <c r="H92" s="1394">
        <f t="shared" si="9"/>
        <v>13500</v>
      </c>
      <c r="I92" s="1394">
        <f>'IPD Super TOS'!D432</f>
        <v>1502.5857000000001</v>
      </c>
      <c r="J92" s="1409">
        <f>G92*I92</f>
        <v>135232.71300000002</v>
      </c>
    </row>
    <row r="93" spans="2:10" s="1340" customFormat="1" ht="15.75" customHeight="1">
      <c r="B93" s="1498">
        <v>6.3</v>
      </c>
      <c r="C93" s="1453" t="s">
        <v>1412</v>
      </c>
      <c r="D93" s="1451" t="s">
        <v>3201</v>
      </c>
      <c r="E93" s="1451">
        <f>E20</f>
        <v>557</v>
      </c>
      <c r="F93" s="1451">
        <v>310</v>
      </c>
      <c r="G93" s="1451">
        <v>180</v>
      </c>
      <c r="H93" s="1394">
        <f t="shared" si="9"/>
        <v>55800</v>
      </c>
      <c r="I93" s="1394">
        <f>'IPD Super TOS'!D472</f>
        <v>638.22700000000009</v>
      </c>
      <c r="J93" s="1409">
        <f>G93*I93</f>
        <v>114880.86000000002</v>
      </c>
    </row>
    <row r="94" spans="2:10" ht="18.75" customHeight="1">
      <c r="B94" s="1498">
        <v>6.4</v>
      </c>
      <c r="C94" s="1459" t="s">
        <v>1411</v>
      </c>
      <c r="D94" s="1451" t="s">
        <v>3201</v>
      </c>
      <c r="E94" s="1451">
        <v>192</v>
      </c>
      <c r="F94" s="1451">
        <v>370</v>
      </c>
      <c r="G94" s="1451">
        <v>270</v>
      </c>
      <c r="H94" s="1394">
        <f t="shared" si="9"/>
        <v>99900</v>
      </c>
      <c r="I94" s="1394">
        <f>'IPD Super TOS'!D493</f>
        <v>39.03</v>
      </c>
      <c r="J94" s="1409">
        <f>G94*I94</f>
        <v>10538.1</v>
      </c>
    </row>
    <row r="95" spans="2:10" ht="13.5" customHeight="1">
      <c r="B95" s="1498">
        <v>6.5</v>
      </c>
      <c r="C95" s="1459" t="s">
        <v>1410</v>
      </c>
      <c r="D95" s="1451" t="s">
        <v>3201</v>
      </c>
      <c r="E95" s="1451">
        <v>557</v>
      </c>
      <c r="F95" s="1451">
        <v>300</v>
      </c>
      <c r="G95" s="1451">
        <v>280</v>
      </c>
      <c r="H95" s="1394">
        <f t="shared" si="9"/>
        <v>84000</v>
      </c>
      <c r="I95" s="1394">
        <f>'IPD Super TOS'!D559</f>
        <v>624.36699999999996</v>
      </c>
      <c r="J95" s="1409">
        <f t="shared" ref="J95:J101" si="10">G95*I95</f>
        <v>174822.75999999998</v>
      </c>
    </row>
    <row r="96" spans="2:10" ht="16.5" customHeight="1">
      <c r="B96" s="1498">
        <v>6.6</v>
      </c>
      <c r="C96" s="1459" t="s">
        <v>1409</v>
      </c>
      <c r="D96" s="1451" t="s">
        <v>1406</v>
      </c>
      <c r="E96" s="1451">
        <v>485</v>
      </c>
      <c r="F96" s="1451">
        <v>100</v>
      </c>
      <c r="G96" s="1451">
        <v>100</v>
      </c>
      <c r="H96" s="1394">
        <f t="shared" si="9"/>
        <v>10000</v>
      </c>
      <c r="I96" s="1394">
        <f ca="1">'IPD Super TOS'!D581</f>
        <v>323.90999999999997</v>
      </c>
      <c r="J96" s="1409">
        <f t="shared" ca="1" si="10"/>
        <v>23445.99</v>
      </c>
    </row>
    <row r="97" spans="2:11" ht="15.75" customHeight="1">
      <c r="B97" s="1498">
        <v>6.7</v>
      </c>
      <c r="C97" s="1459" t="s">
        <v>1408</v>
      </c>
      <c r="D97" s="1451" t="s">
        <v>1406</v>
      </c>
      <c r="E97" s="1451">
        <v>0</v>
      </c>
      <c r="F97" s="1451">
        <v>150</v>
      </c>
      <c r="G97" s="1451">
        <v>80</v>
      </c>
      <c r="H97" s="1394">
        <f t="shared" si="9"/>
        <v>12000</v>
      </c>
      <c r="I97" s="1394">
        <f>'IPD Super TOS'!D597</f>
        <v>42.45</v>
      </c>
      <c r="J97" s="1409">
        <f t="shared" si="10"/>
        <v>3396</v>
      </c>
    </row>
    <row r="98" spans="2:11" ht="15.75" customHeight="1">
      <c r="B98" s="1498">
        <v>6.8</v>
      </c>
      <c r="C98" s="1453" t="s">
        <v>1407</v>
      </c>
      <c r="D98" s="1451" t="s">
        <v>1406</v>
      </c>
      <c r="E98" s="1451">
        <v>42</v>
      </c>
      <c r="F98" s="1451">
        <v>42</v>
      </c>
      <c r="G98" s="1451">
        <v>70</v>
      </c>
      <c r="H98" s="1394">
        <f t="shared" si="9"/>
        <v>2940</v>
      </c>
      <c r="I98" s="1394"/>
      <c r="J98" s="1409"/>
    </row>
    <row r="99" spans="2:11" ht="18.75" customHeight="1">
      <c r="B99" s="1498">
        <v>6.9</v>
      </c>
      <c r="C99" s="1459" t="s">
        <v>1405</v>
      </c>
      <c r="D99" s="1451" t="s">
        <v>3201</v>
      </c>
      <c r="E99" s="1451"/>
      <c r="F99" s="1451">
        <v>550</v>
      </c>
      <c r="G99" s="1451">
        <v>380</v>
      </c>
      <c r="H99" s="1394">
        <f t="shared" si="9"/>
        <v>209000</v>
      </c>
      <c r="I99" s="1394">
        <f ca="1">'IPD Super TOS'!D604</f>
        <v>70.08</v>
      </c>
      <c r="J99" s="1409">
        <f t="shared" ca="1" si="10"/>
        <v>26630.399999999998</v>
      </c>
    </row>
    <row r="100" spans="2:11" ht="14.25" customHeight="1">
      <c r="B100" s="1501">
        <v>6.1</v>
      </c>
      <c r="C100" s="1460" t="s">
        <v>1404</v>
      </c>
      <c r="D100" s="1451" t="s">
        <v>1402</v>
      </c>
      <c r="E100" s="1451"/>
      <c r="F100" s="1451">
        <v>100</v>
      </c>
      <c r="G100" s="1451">
        <v>150</v>
      </c>
      <c r="H100" s="1394">
        <f t="shared" si="9"/>
        <v>15000</v>
      </c>
      <c r="I100" s="1394">
        <f ca="1">'IPD Super TOS'!D611</f>
        <v>101.15</v>
      </c>
      <c r="J100" s="1409">
        <f t="shared" ca="1" si="10"/>
        <v>15172.5</v>
      </c>
    </row>
    <row r="101" spans="2:11" ht="17.25" customHeight="1">
      <c r="B101" s="1502">
        <v>6.11</v>
      </c>
      <c r="C101" s="1486" t="s">
        <v>1403</v>
      </c>
      <c r="D101" s="1479" t="s">
        <v>1402</v>
      </c>
      <c r="E101" s="1479"/>
      <c r="F101" s="1479"/>
      <c r="G101" s="1479">
        <v>210</v>
      </c>
      <c r="H101" s="1423">
        <f t="shared" si="9"/>
        <v>0</v>
      </c>
      <c r="I101" s="1423">
        <f ca="1">'IPD Super TOS'!D617</f>
        <v>44.5</v>
      </c>
      <c r="J101" s="1424">
        <f t="shared" ca="1" si="10"/>
        <v>9345</v>
      </c>
    </row>
    <row r="102" spans="2:11" ht="15.75" customHeight="1">
      <c r="B102" s="2058" t="s">
        <v>1330</v>
      </c>
      <c r="C102" s="2058"/>
      <c r="D102" s="2058"/>
      <c r="E102" s="1302"/>
      <c r="F102" s="1481"/>
      <c r="G102" s="1481"/>
      <c r="H102" s="1428">
        <f>SUM(H91:H101)</f>
        <v>514740</v>
      </c>
      <c r="I102" s="1428"/>
      <c r="J102" s="1428">
        <v>517404.9</v>
      </c>
    </row>
    <row r="103" spans="2:11" s="1340" customFormat="1" ht="15.75" customHeight="1">
      <c r="B103" s="1500"/>
      <c r="C103" s="1485" t="s">
        <v>1401</v>
      </c>
      <c r="D103" s="1484"/>
      <c r="E103" s="1484"/>
      <c r="F103" s="1484"/>
      <c r="G103" s="1484"/>
      <c r="H103" s="1416"/>
      <c r="I103" s="1416"/>
      <c r="J103" s="1427"/>
      <c r="K103" s="341"/>
    </row>
    <row r="104" spans="2:11" s="1340" customFormat="1" ht="15.75" customHeight="1">
      <c r="B104" s="1498">
        <v>7.1</v>
      </c>
      <c r="C104" s="1453" t="s">
        <v>1400</v>
      </c>
      <c r="D104" s="1451" t="s">
        <v>3201</v>
      </c>
      <c r="E104" s="1451">
        <v>1164</v>
      </c>
      <c r="F104" s="1451">
        <v>1164</v>
      </c>
      <c r="G104" s="1451">
        <f>28*2/3</f>
        <v>18.666666666666668</v>
      </c>
      <c r="H104" s="1394">
        <f>F104*G104</f>
        <v>21728</v>
      </c>
      <c r="I104" s="1394">
        <f>'IPD Super TOS'!D621</f>
        <v>1502.5857000000001</v>
      </c>
      <c r="J104" s="1409">
        <f>G104*I104</f>
        <v>28048.266400000004</v>
      </c>
      <c r="K104" s="341"/>
    </row>
    <row r="105" spans="2:11" s="1340" customFormat="1" ht="15.75" customHeight="1">
      <c r="B105" s="1498">
        <v>7.2</v>
      </c>
      <c r="C105" s="1453" t="s">
        <v>1399</v>
      </c>
      <c r="D105" s="1451" t="s">
        <v>3201</v>
      </c>
      <c r="E105" s="1451">
        <f>E20</f>
        <v>557</v>
      </c>
      <c r="F105" s="1451">
        <v>557</v>
      </c>
      <c r="G105" s="1451">
        <f t="shared" ref="G105:G106" si="11">28*2/3</f>
        <v>18.666666666666668</v>
      </c>
      <c r="H105" s="1394">
        <f>F105*G105</f>
        <v>10397.333333333334</v>
      </c>
      <c r="I105" s="1394">
        <f>'IPD Super TOS'!D624</f>
        <v>638.22700000000009</v>
      </c>
      <c r="J105" s="1409">
        <f>G105*I105</f>
        <v>11913.570666666668</v>
      </c>
      <c r="K105" s="341"/>
    </row>
    <row r="106" spans="2:11" s="1340" customFormat="1" ht="15.75" customHeight="1">
      <c r="B106" s="1499">
        <v>7.3</v>
      </c>
      <c r="C106" s="1483" t="s">
        <v>1398</v>
      </c>
      <c r="D106" s="1479" t="s">
        <v>3201</v>
      </c>
      <c r="E106" s="1479">
        <v>249</v>
      </c>
      <c r="F106" s="1479">
        <v>249</v>
      </c>
      <c r="G106" s="1479">
        <f t="shared" si="11"/>
        <v>18.666666666666668</v>
      </c>
      <c r="H106" s="1423">
        <f>F106*G106</f>
        <v>4648</v>
      </c>
      <c r="I106" s="1423">
        <f>'IPD Super TOS'!D627</f>
        <v>260.51100000000002</v>
      </c>
      <c r="J106" s="1424">
        <f>G106*I106</f>
        <v>4862.8720000000012</v>
      </c>
      <c r="K106" s="341"/>
    </row>
    <row r="107" spans="2:11" ht="15.75" customHeight="1">
      <c r="B107" s="2058" t="s">
        <v>1330</v>
      </c>
      <c r="C107" s="2058"/>
      <c r="D107" s="2058"/>
      <c r="E107" s="1302"/>
      <c r="F107" s="1481"/>
      <c r="G107" s="1481"/>
      <c r="H107" s="1428">
        <f>SUM(H104:H106)</f>
        <v>36773.333333333336</v>
      </c>
      <c r="I107" s="1428"/>
      <c r="J107" s="1428">
        <f>SUM(J104:J106)</f>
        <v>44824.709066666677</v>
      </c>
    </row>
    <row r="108" spans="2:11" ht="15.75" customHeight="1">
      <c r="B108" s="1500"/>
      <c r="C108" s="1485" t="s">
        <v>1395</v>
      </c>
      <c r="D108" s="1484"/>
      <c r="E108" s="1484"/>
      <c r="F108" s="1484"/>
      <c r="G108" s="1484"/>
      <c r="H108" s="1416"/>
      <c r="I108" s="1416"/>
      <c r="J108" s="1427"/>
    </row>
    <row r="109" spans="2:11" ht="15.75" customHeight="1">
      <c r="B109" s="1498">
        <v>9.1</v>
      </c>
      <c r="C109" s="1453" t="s">
        <v>1394</v>
      </c>
      <c r="D109" s="1451"/>
      <c r="E109" s="1451"/>
      <c r="F109" s="1451"/>
      <c r="G109" s="1451"/>
      <c r="H109" s="1394"/>
      <c r="I109" s="1394"/>
      <c r="J109" s="1409"/>
    </row>
    <row r="110" spans="2:11" ht="15.75" customHeight="1">
      <c r="B110" s="1498"/>
      <c r="C110" s="1453" t="s">
        <v>1393</v>
      </c>
      <c r="D110" s="1451"/>
      <c r="E110" s="1451"/>
      <c r="F110" s="1451"/>
      <c r="G110" s="1451"/>
      <c r="H110" s="1394"/>
      <c r="I110" s="1394"/>
      <c r="J110" s="1409"/>
    </row>
    <row r="111" spans="2:11" ht="15.75" customHeight="1">
      <c r="B111" s="1498"/>
      <c r="C111" s="1453" t="s">
        <v>1392</v>
      </c>
      <c r="D111" s="1451"/>
      <c r="E111" s="1451"/>
      <c r="F111" s="1451"/>
      <c r="G111" s="1451"/>
      <c r="H111" s="1394"/>
      <c r="I111" s="1394"/>
      <c r="J111" s="1409"/>
    </row>
    <row r="112" spans="2:11" ht="15.75" customHeight="1">
      <c r="B112" s="1498"/>
      <c r="C112" s="1453" t="s">
        <v>1391</v>
      </c>
      <c r="D112" s="1451" t="s">
        <v>1370</v>
      </c>
      <c r="E112" s="1451">
        <v>15</v>
      </c>
      <c r="F112" s="1451">
        <v>15</v>
      </c>
      <c r="G112" s="1451">
        <v>70</v>
      </c>
      <c r="H112" s="1394">
        <f>F112*G112</f>
        <v>1050</v>
      </c>
      <c r="I112" s="1394"/>
      <c r="J112" s="1409">
        <f>G112*I112</f>
        <v>0</v>
      </c>
    </row>
    <row r="113" spans="2:10" ht="15.75" customHeight="1">
      <c r="B113" s="1498"/>
      <c r="C113" s="1453" t="s">
        <v>1390</v>
      </c>
      <c r="D113" s="1451" t="s">
        <v>1370</v>
      </c>
      <c r="E113" s="1451">
        <v>25</v>
      </c>
      <c r="F113" s="1451">
        <v>25</v>
      </c>
      <c r="G113" s="1451">
        <v>80</v>
      </c>
      <c r="H113" s="1394">
        <f>F113*G113</f>
        <v>2000</v>
      </c>
      <c r="I113" s="1394">
        <f>'IPD Super TOS'!H577</f>
        <v>119.08</v>
      </c>
      <c r="J113" s="1409">
        <f>G113*I113</f>
        <v>9526.4</v>
      </c>
    </row>
    <row r="114" spans="2:10" ht="15.75" customHeight="1">
      <c r="B114" s="1498"/>
      <c r="C114" s="1453" t="s">
        <v>1389</v>
      </c>
      <c r="D114" s="1451" t="s">
        <v>1370</v>
      </c>
      <c r="E114" s="1451">
        <v>100</v>
      </c>
      <c r="F114" s="1451">
        <v>100</v>
      </c>
      <c r="G114" s="1451">
        <v>95</v>
      </c>
      <c r="H114" s="1394">
        <f>F114*G114</f>
        <v>9500</v>
      </c>
      <c r="I114" s="1394">
        <f>'IPD Super TOS'!H589</f>
        <v>32.03</v>
      </c>
      <c r="J114" s="1409">
        <f>G114*I114</f>
        <v>3042.85</v>
      </c>
    </row>
    <row r="115" spans="2:10" ht="15.75" customHeight="1">
      <c r="B115" s="1498"/>
      <c r="C115" s="1453" t="s">
        <v>1388</v>
      </c>
      <c r="D115" s="1451" t="s">
        <v>1370</v>
      </c>
      <c r="E115" s="1451">
        <v>20</v>
      </c>
      <c r="F115" s="1451">
        <v>20</v>
      </c>
      <c r="G115" s="1451">
        <v>125</v>
      </c>
      <c r="H115" s="1394">
        <f>F115*G115</f>
        <v>2500</v>
      </c>
      <c r="I115" s="1394">
        <f>'IPD Super TOS'!H589</f>
        <v>32.03</v>
      </c>
      <c r="J115" s="1409">
        <f>G115*I115</f>
        <v>4003.75</v>
      </c>
    </row>
    <row r="116" spans="2:10" ht="15.75" customHeight="1">
      <c r="B116" s="1498">
        <v>9.1999999999999993</v>
      </c>
      <c r="C116" s="1453" t="s">
        <v>1387</v>
      </c>
      <c r="D116" s="1451"/>
      <c r="E116" s="1451"/>
      <c r="F116" s="1451"/>
      <c r="G116" s="1451"/>
      <c r="H116" s="1394"/>
      <c r="I116" s="1394"/>
      <c r="J116" s="1409"/>
    </row>
    <row r="117" spans="2:10" s="1446" customFormat="1" ht="15.75" customHeight="1">
      <c r="B117" s="1504"/>
      <c r="C117" s="1453" t="s">
        <v>1384</v>
      </c>
      <c r="D117" s="1451" t="s">
        <v>4</v>
      </c>
      <c r="E117" s="1451">
        <v>72</v>
      </c>
      <c r="F117" s="1451">
        <v>72</v>
      </c>
      <c r="G117" s="1451">
        <v>105</v>
      </c>
      <c r="H117" s="1394">
        <f>F117*G117</f>
        <v>7560</v>
      </c>
      <c r="I117" s="1394"/>
      <c r="J117" s="1409">
        <f>G117*I117</f>
        <v>0</v>
      </c>
    </row>
    <row r="118" spans="2:10" ht="15.75" customHeight="1">
      <c r="B118" s="1498">
        <v>9.3000000000000007</v>
      </c>
      <c r="C118" s="1453" t="s">
        <v>1386</v>
      </c>
      <c r="D118" s="1451"/>
      <c r="E118" s="1451"/>
      <c r="F118" s="1451"/>
      <c r="G118" s="1451"/>
      <c r="H118" s="1394"/>
      <c r="I118" s="1394"/>
      <c r="J118" s="1409"/>
    </row>
    <row r="119" spans="2:10" ht="15.75" customHeight="1">
      <c r="B119" s="1498"/>
      <c r="C119" s="1453" t="s">
        <v>1385</v>
      </c>
      <c r="D119" s="1451"/>
      <c r="E119" s="1451"/>
      <c r="F119" s="1451"/>
      <c r="G119" s="1451"/>
      <c r="H119" s="1394"/>
      <c r="I119" s="1394"/>
      <c r="J119" s="1409"/>
    </row>
    <row r="120" spans="2:10" s="1446" customFormat="1" ht="15.75" customHeight="1">
      <c r="B120" s="1504"/>
      <c r="C120" s="1453" t="s">
        <v>1384</v>
      </c>
      <c r="D120" s="1451" t="s">
        <v>4</v>
      </c>
      <c r="E120" s="1451">
        <v>37</v>
      </c>
      <c r="F120" s="1451">
        <v>37</v>
      </c>
      <c r="G120" s="1451">
        <v>95</v>
      </c>
      <c r="H120" s="1394">
        <f>F120*G120</f>
        <v>3515</v>
      </c>
      <c r="I120" s="1394"/>
      <c r="J120" s="1409">
        <f>G120*I120</f>
        <v>0</v>
      </c>
    </row>
    <row r="121" spans="2:10" s="1446" customFormat="1" ht="15.75" customHeight="1">
      <c r="B121" s="1504"/>
      <c r="C121" s="1453" t="s">
        <v>1383</v>
      </c>
      <c r="D121" s="1451" t="s">
        <v>4</v>
      </c>
      <c r="E121" s="1451">
        <v>8</v>
      </c>
      <c r="F121" s="1451">
        <v>8</v>
      </c>
      <c r="G121" s="1451">
        <v>155</v>
      </c>
      <c r="H121" s="1394">
        <f>F121*G121</f>
        <v>1240</v>
      </c>
      <c r="I121" s="1394">
        <f>'IPD Super TOS'!H609</f>
        <v>24</v>
      </c>
      <c r="J121" s="1409">
        <f>G121*I121</f>
        <v>3720</v>
      </c>
    </row>
    <row r="122" spans="2:10" ht="15.75" customHeight="1">
      <c r="B122" s="1498"/>
      <c r="C122" s="1453" t="s">
        <v>1382</v>
      </c>
      <c r="D122" s="1451" t="s">
        <v>4</v>
      </c>
      <c r="E122" s="1451">
        <v>0</v>
      </c>
      <c r="F122" s="1451">
        <f>0.9*E122</f>
        <v>0</v>
      </c>
      <c r="G122" s="1451">
        <v>150</v>
      </c>
      <c r="H122" s="1394">
        <f>F122*G122</f>
        <v>0</v>
      </c>
      <c r="I122" s="1394"/>
      <c r="J122" s="1409">
        <f>G122*I122</f>
        <v>0</v>
      </c>
    </row>
    <row r="123" spans="2:10" ht="15.75" customHeight="1">
      <c r="B123" s="1498">
        <v>9.4</v>
      </c>
      <c r="C123" s="1453" t="s">
        <v>1381</v>
      </c>
      <c r="D123" s="1451" t="s">
        <v>4</v>
      </c>
      <c r="E123" s="1451">
        <v>0</v>
      </c>
      <c r="F123" s="1451"/>
      <c r="G123" s="1451"/>
      <c r="H123" s="1394"/>
      <c r="I123" s="1394"/>
      <c r="J123" s="1409"/>
    </row>
    <row r="124" spans="2:10" ht="15.75" customHeight="1">
      <c r="B124" s="1498">
        <v>9.5</v>
      </c>
      <c r="C124" s="1453" t="s">
        <v>1380</v>
      </c>
      <c r="D124" s="1451"/>
      <c r="E124" s="1451"/>
      <c r="F124" s="1451"/>
      <c r="G124" s="1451"/>
      <c r="H124" s="1394"/>
      <c r="I124" s="1394"/>
      <c r="J124" s="1409"/>
    </row>
    <row r="125" spans="2:10" ht="15.75" customHeight="1">
      <c r="B125" s="1498"/>
      <c r="C125" s="1453" t="s">
        <v>1379</v>
      </c>
      <c r="D125" s="1451" t="s">
        <v>1370</v>
      </c>
      <c r="E125" s="1451">
        <v>15</v>
      </c>
      <c r="F125" s="1451">
        <v>15</v>
      </c>
      <c r="G125" s="1451">
        <v>65</v>
      </c>
      <c r="H125" s="1394">
        <f t="shared" ref="H125:H128" si="12">F125*G125</f>
        <v>975</v>
      </c>
      <c r="I125" s="1394">
        <f>'IPD Super TOS'!H613</f>
        <v>49.32</v>
      </c>
      <c r="J125" s="1409">
        <f t="shared" ref="J125:J128" si="13">G125*I125</f>
        <v>3205.8</v>
      </c>
    </row>
    <row r="126" spans="2:10" ht="15.75" customHeight="1">
      <c r="B126" s="1498"/>
      <c r="C126" s="1453" t="s">
        <v>1378</v>
      </c>
      <c r="D126" s="1451" t="s">
        <v>1370</v>
      </c>
      <c r="E126" s="1451">
        <v>21</v>
      </c>
      <c r="F126" s="1451">
        <v>21</v>
      </c>
      <c r="G126" s="1451">
        <v>95</v>
      </c>
      <c r="H126" s="1394">
        <f t="shared" si="12"/>
        <v>1995</v>
      </c>
      <c r="I126" s="1394">
        <f>'IPD Super TOS'!H617</f>
        <v>48.67</v>
      </c>
      <c r="J126" s="1409">
        <f t="shared" si="13"/>
        <v>4623.6500000000005</v>
      </c>
    </row>
    <row r="127" spans="2:10" ht="15.75" customHeight="1">
      <c r="B127" s="1498"/>
      <c r="C127" s="1453" t="s">
        <v>1377</v>
      </c>
      <c r="D127" s="1451" t="s">
        <v>1370</v>
      </c>
      <c r="E127" s="1451">
        <v>100</v>
      </c>
      <c r="F127" s="1451">
        <v>100</v>
      </c>
      <c r="G127" s="1451">
        <v>125</v>
      </c>
      <c r="H127" s="1394">
        <f t="shared" si="12"/>
        <v>12500</v>
      </c>
      <c r="I127" s="1394">
        <f>'IPD Super TOS'!H621</f>
        <v>50.42</v>
      </c>
      <c r="J127" s="1409">
        <f t="shared" si="13"/>
        <v>6302.5</v>
      </c>
    </row>
    <row r="128" spans="2:10" ht="15.75" customHeight="1">
      <c r="B128" s="1499">
        <v>9.6999999999999993</v>
      </c>
      <c r="C128" s="1483" t="s">
        <v>1374</v>
      </c>
      <c r="D128" s="1479" t="s">
        <v>4</v>
      </c>
      <c r="E128" s="1479">
        <v>11</v>
      </c>
      <c r="F128" s="1479">
        <v>11</v>
      </c>
      <c r="G128" s="1479">
        <v>1300</v>
      </c>
      <c r="H128" s="1423">
        <f t="shared" si="12"/>
        <v>14300</v>
      </c>
      <c r="I128" s="1423">
        <v>11</v>
      </c>
      <c r="J128" s="1424">
        <f t="shared" si="13"/>
        <v>14300</v>
      </c>
    </row>
    <row r="129" spans="2:10" ht="15.75" customHeight="1">
      <c r="B129" s="2058" t="s">
        <v>1330</v>
      </c>
      <c r="C129" s="2058"/>
      <c r="D129" s="2058"/>
      <c r="E129" s="1302"/>
      <c r="F129" s="1481"/>
      <c r="G129" s="1481"/>
      <c r="H129" s="1428">
        <f>SUM(H112:H128)</f>
        <v>57135</v>
      </c>
      <c r="I129" s="1428"/>
      <c r="J129" s="1428">
        <f>SUM(J112:J128)</f>
        <v>48724.95</v>
      </c>
    </row>
    <row r="130" spans="2:10" ht="15.75" customHeight="1">
      <c r="B130" s="1500"/>
      <c r="C130" s="1485" t="s">
        <v>1368</v>
      </c>
      <c r="D130" s="1484"/>
      <c r="E130" s="1484"/>
      <c r="F130" s="1484"/>
      <c r="G130" s="1484"/>
      <c r="H130" s="1416"/>
      <c r="I130" s="1416"/>
      <c r="J130" s="1427"/>
    </row>
    <row r="131" spans="2:10" ht="15.75" customHeight="1">
      <c r="B131" s="1505">
        <v>1.02</v>
      </c>
      <c r="C131" s="1461" t="s">
        <v>1367</v>
      </c>
      <c r="D131" s="1462" t="s">
        <v>1332</v>
      </c>
      <c r="E131" s="1462">
        <v>1</v>
      </c>
      <c r="F131" s="1451">
        <v>1</v>
      </c>
      <c r="G131" s="1451">
        <v>7000</v>
      </c>
      <c r="H131" s="1394">
        <f>F131*G131</f>
        <v>7000</v>
      </c>
      <c r="I131" s="1394"/>
      <c r="J131" s="1409">
        <f t="shared" ref="J131:J158" si="14">G131*I131</f>
        <v>0</v>
      </c>
    </row>
    <row r="132" spans="2:10" ht="15.75" customHeight="1">
      <c r="B132" s="1506">
        <v>2</v>
      </c>
      <c r="C132" s="1463" t="s">
        <v>1366</v>
      </c>
      <c r="D132" s="1462"/>
      <c r="E132" s="1462"/>
      <c r="F132" s="1451"/>
      <c r="G132" s="1451"/>
      <c r="H132" s="1394"/>
      <c r="I132" s="1394"/>
      <c r="J132" s="1409">
        <f t="shared" si="14"/>
        <v>0</v>
      </c>
    </row>
    <row r="133" spans="2:10" ht="15.75" customHeight="1">
      <c r="B133" s="1505">
        <v>2.0099999999999998</v>
      </c>
      <c r="C133" s="1461" t="s">
        <v>3202</v>
      </c>
      <c r="D133" s="1462" t="s">
        <v>1332</v>
      </c>
      <c r="E133" s="1462">
        <v>83</v>
      </c>
      <c r="F133" s="1451">
        <v>83</v>
      </c>
      <c r="G133" s="1451">
        <v>200</v>
      </c>
      <c r="H133" s="1394">
        <f>F133*G133</f>
        <v>16600</v>
      </c>
      <c r="I133" s="1394">
        <f>'IPD Super TOS'!D650</f>
        <v>92</v>
      </c>
      <c r="J133" s="1409">
        <f t="shared" si="14"/>
        <v>18400</v>
      </c>
    </row>
    <row r="134" spans="2:10" ht="15.75" customHeight="1">
      <c r="B134" s="1506">
        <v>3</v>
      </c>
      <c r="C134" s="1463" t="s">
        <v>1365</v>
      </c>
      <c r="D134" s="1462"/>
      <c r="E134" s="1462"/>
      <c r="F134" s="1451"/>
      <c r="G134" s="1451"/>
      <c r="H134" s="1394"/>
      <c r="I134" s="1394"/>
      <c r="J134" s="1409">
        <f t="shared" si="14"/>
        <v>0</v>
      </c>
    </row>
    <row r="135" spans="2:10" ht="15.75" customHeight="1">
      <c r="B135" s="1505">
        <v>3.01</v>
      </c>
      <c r="C135" s="1461" t="s">
        <v>1364</v>
      </c>
      <c r="D135" s="1462" t="s">
        <v>1332</v>
      </c>
      <c r="E135" s="1462">
        <v>30</v>
      </c>
      <c r="F135" s="1451">
        <v>30</v>
      </c>
      <c r="G135" s="1451">
        <v>81.25</v>
      </c>
      <c r="H135" s="1394">
        <f>F135*G135</f>
        <v>2437.5</v>
      </c>
      <c r="I135" s="1394">
        <f>'IPD Super TOS'!D655</f>
        <v>51</v>
      </c>
      <c r="J135" s="1409">
        <f t="shared" si="14"/>
        <v>4143.75</v>
      </c>
    </row>
    <row r="136" spans="2:10" ht="15.75" customHeight="1">
      <c r="B136" s="1505">
        <v>3.02</v>
      </c>
      <c r="C136" s="1461" t="s">
        <v>1363</v>
      </c>
      <c r="D136" s="1462" t="s">
        <v>1360</v>
      </c>
      <c r="E136" s="1462">
        <v>9</v>
      </c>
      <c r="F136" s="1451">
        <v>9</v>
      </c>
      <c r="G136" s="1451">
        <v>131.25</v>
      </c>
      <c r="H136" s="1394">
        <f>F136*G136</f>
        <v>1181.25</v>
      </c>
      <c r="I136" s="1394">
        <f>'IPD Super TOS'!D659</f>
        <v>16</v>
      </c>
      <c r="J136" s="1409">
        <f t="shared" si="14"/>
        <v>2100</v>
      </c>
    </row>
    <row r="137" spans="2:10" ht="15.75" customHeight="1">
      <c r="B137" s="1505">
        <v>3.03</v>
      </c>
      <c r="C137" s="1461" t="s">
        <v>1362</v>
      </c>
      <c r="D137" s="1462" t="s">
        <v>1360</v>
      </c>
      <c r="E137" s="1462">
        <v>32</v>
      </c>
      <c r="F137" s="1451">
        <v>32</v>
      </c>
      <c r="G137" s="1451">
        <v>80</v>
      </c>
      <c r="H137" s="1394">
        <f>F137*G137</f>
        <v>2560</v>
      </c>
      <c r="I137" s="1394">
        <f>'IPD Super TOS'!D663</f>
        <v>4</v>
      </c>
      <c r="J137" s="1409">
        <f t="shared" si="14"/>
        <v>320</v>
      </c>
    </row>
    <row r="138" spans="2:10" ht="15.75" customHeight="1">
      <c r="B138" s="1505">
        <v>3.04</v>
      </c>
      <c r="C138" s="1461" t="s">
        <v>1361</v>
      </c>
      <c r="D138" s="1462" t="s">
        <v>1360</v>
      </c>
      <c r="E138" s="1462">
        <v>10</v>
      </c>
      <c r="F138" s="1451">
        <v>10</v>
      </c>
      <c r="G138" s="1451">
        <v>120</v>
      </c>
      <c r="H138" s="1394">
        <f>F138*G138</f>
        <v>1200</v>
      </c>
      <c r="I138" s="1394">
        <f>'IPD Super TOS'!D667</f>
        <v>10</v>
      </c>
      <c r="J138" s="1409">
        <f t="shared" si="14"/>
        <v>1200</v>
      </c>
    </row>
    <row r="139" spans="2:10" ht="15.75" customHeight="1">
      <c r="B139" s="1506">
        <v>4</v>
      </c>
      <c r="C139" s="1463" t="s">
        <v>1359</v>
      </c>
      <c r="D139" s="1462"/>
      <c r="E139" s="1462"/>
      <c r="F139" s="1451"/>
      <c r="G139" s="1451"/>
      <c r="H139" s="1394"/>
      <c r="I139" s="1394"/>
      <c r="J139" s="1409">
        <f t="shared" si="14"/>
        <v>0</v>
      </c>
    </row>
    <row r="140" spans="2:10" ht="15.75" customHeight="1">
      <c r="B140" s="1505">
        <v>4.01</v>
      </c>
      <c r="C140" s="1461" t="s">
        <v>1358</v>
      </c>
      <c r="D140" s="1464" t="s">
        <v>1332</v>
      </c>
      <c r="E140" s="1465">
        <v>54</v>
      </c>
      <c r="F140" s="1448">
        <v>54</v>
      </c>
      <c r="G140" s="1451">
        <v>200</v>
      </c>
      <c r="H140" s="1394">
        <f>F140*G140</f>
        <v>10800</v>
      </c>
      <c r="I140" s="1394">
        <f>'IPD Super TOS'!D672</f>
        <v>54</v>
      </c>
      <c r="J140" s="1409">
        <f t="shared" si="14"/>
        <v>10800</v>
      </c>
    </row>
    <row r="141" spans="2:10" ht="15.75" customHeight="1">
      <c r="B141" s="1507">
        <v>4.0199999999999996</v>
      </c>
      <c r="C141" s="1466" t="s">
        <v>1357</v>
      </c>
      <c r="D141" s="1464" t="s">
        <v>1332</v>
      </c>
      <c r="E141" s="1465">
        <v>12</v>
      </c>
      <c r="F141" s="1448">
        <v>12</v>
      </c>
      <c r="G141" s="1451">
        <v>785</v>
      </c>
      <c r="H141" s="1394">
        <f>F141*G141</f>
        <v>9420</v>
      </c>
      <c r="I141" s="1394">
        <f>'IPD Super TOS'!D676</f>
        <v>12</v>
      </c>
      <c r="J141" s="1409">
        <f t="shared" si="14"/>
        <v>9420</v>
      </c>
    </row>
    <row r="142" spans="2:10" ht="15.75" customHeight="1">
      <c r="B142" s="1508">
        <v>5</v>
      </c>
      <c r="C142" s="1467" t="s">
        <v>1356</v>
      </c>
      <c r="D142" s="1464"/>
      <c r="E142" s="1465"/>
      <c r="F142" s="1448"/>
      <c r="G142" s="1451"/>
      <c r="H142" s="1394"/>
      <c r="I142" s="1394"/>
      <c r="J142" s="1409">
        <f t="shared" si="14"/>
        <v>0</v>
      </c>
    </row>
    <row r="143" spans="2:10" ht="15.75" customHeight="1">
      <c r="B143" s="1507">
        <v>5.01</v>
      </c>
      <c r="C143" s="1466" t="s">
        <v>1355</v>
      </c>
      <c r="D143" s="1464" t="s">
        <v>1332</v>
      </c>
      <c r="E143" s="1465">
        <v>54</v>
      </c>
      <c r="F143" s="1448">
        <v>54</v>
      </c>
      <c r="G143" s="1451">
        <v>90</v>
      </c>
      <c r="H143" s="1394">
        <f>F143*G143</f>
        <v>4860</v>
      </c>
      <c r="I143" s="1394">
        <f>'IPD Super TOS'!D681</f>
        <v>46</v>
      </c>
      <c r="J143" s="1409">
        <f t="shared" si="14"/>
        <v>4140</v>
      </c>
    </row>
    <row r="144" spans="2:10" ht="15.75" customHeight="1">
      <c r="B144" s="1507">
        <v>5.03</v>
      </c>
      <c r="C144" s="1466" t="s">
        <v>1354</v>
      </c>
      <c r="D144" s="1464" t="s">
        <v>1332</v>
      </c>
      <c r="E144" s="1465">
        <v>12</v>
      </c>
      <c r="F144" s="1448">
        <v>12</v>
      </c>
      <c r="G144" s="1451">
        <v>281.25</v>
      </c>
      <c r="H144" s="1394">
        <f>F144*G144</f>
        <v>3375</v>
      </c>
      <c r="I144" s="1394"/>
      <c r="J144" s="1409">
        <f t="shared" si="14"/>
        <v>0</v>
      </c>
    </row>
    <row r="145" spans="2:10" ht="15.75" customHeight="1">
      <c r="B145" s="1509">
        <v>6</v>
      </c>
      <c r="C145" s="1467" t="s">
        <v>1353</v>
      </c>
      <c r="D145" s="1464"/>
      <c r="E145" s="1465"/>
      <c r="F145" s="1448"/>
      <c r="G145" s="1451"/>
      <c r="H145" s="1394"/>
      <c r="I145" s="1394"/>
      <c r="J145" s="1409">
        <f t="shared" si="14"/>
        <v>0</v>
      </c>
    </row>
    <row r="146" spans="2:10" ht="15.75" customHeight="1">
      <c r="B146" s="1507">
        <v>6.01</v>
      </c>
      <c r="C146" s="1466" t="s">
        <v>1352</v>
      </c>
      <c r="D146" s="1464" t="s">
        <v>1332</v>
      </c>
      <c r="E146" s="1465">
        <v>12</v>
      </c>
      <c r="F146" s="1448">
        <v>12</v>
      </c>
      <c r="G146" s="1451">
        <v>1500</v>
      </c>
      <c r="H146" s="1394">
        <f t="shared" ref="H146:H158" si="15">F146*G146</f>
        <v>18000</v>
      </c>
      <c r="I146" s="1394">
        <f>'IPD Super TOS'!H633</f>
        <v>12</v>
      </c>
      <c r="J146" s="1409">
        <f t="shared" si="14"/>
        <v>18000</v>
      </c>
    </row>
    <row r="147" spans="2:10" ht="15.75" customHeight="1">
      <c r="B147" s="1507">
        <v>6.03</v>
      </c>
      <c r="C147" s="1466" t="s">
        <v>1351</v>
      </c>
      <c r="D147" s="1468" t="s">
        <v>1332</v>
      </c>
      <c r="E147" s="1469">
        <v>12</v>
      </c>
      <c r="F147" s="1470">
        <v>12</v>
      </c>
      <c r="G147" s="1471">
        <v>1200</v>
      </c>
      <c r="H147" s="1394">
        <f t="shared" si="15"/>
        <v>14400</v>
      </c>
      <c r="I147" s="1394"/>
      <c r="J147" s="1409">
        <f t="shared" si="14"/>
        <v>0</v>
      </c>
    </row>
    <row r="148" spans="2:10" ht="15.75" customHeight="1">
      <c r="B148" s="1510">
        <v>7</v>
      </c>
      <c r="C148" s="1472" t="s">
        <v>1350</v>
      </c>
      <c r="D148" s="1468"/>
      <c r="E148" s="1469"/>
      <c r="F148" s="1470"/>
      <c r="G148" s="1471"/>
      <c r="H148" s="1394">
        <f t="shared" si="15"/>
        <v>0</v>
      </c>
      <c r="I148" s="1473"/>
      <c r="J148" s="1409">
        <f t="shared" si="14"/>
        <v>0</v>
      </c>
    </row>
    <row r="149" spans="2:10" ht="15.75" customHeight="1">
      <c r="B149" s="1511">
        <v>7.01</v>
      </c>
      <c r="C149" s="1474" t="s">
        <v>1349</v>
      </c>
      <c r="D149" s="1468" t="s">
        <v>1332</v>
      </c>
      <c r="E149" s="1469">
        <v>16</v>
      </c>
      <c r="F149" s="1470">
        <v>16</v>
      </c>
      <c r="G149" s="1471">
        <v>1500</v>
      </c>
      <c r="H149" s="1394">
        <f t="shared" si="15"/>
        <v>24000</v>
      </c>
      <c r="I149" s="1473">
        <f>'IPD Super TOS'!H638</f>
        <v>6</v>
      </c>
      <c r="J149" s="1409">
        <f t="shared" si="14"/>
        <v>9000</v>
      </c>
    </row>
    <row r="150" spans="2:10" s="1446" customFormat="1" ht="15.75" customHeight="1">
      <c r="B150" s="1511">
        <v>7.02</v>
      </c>
      <c r="C150" s="1474" t="s">
        <v>1348</v>
      </c>
      <c r="D150" s="1468" t="s">
        <v>1332</v>
      </c>
      <c r="E150" s="1469">
        <v>8</v>
      </c>
      <c r="F150" s="1470">
        <v>8</v>
      </c>
      <c r="G150" s="1471">
        <v>1200</v>
      </c>
      <c r="H150" s="1394">
        <f t="shared" si="15"/>
        <v>9600</v>
      </c>
      <c r="I150" s="1473"/>
      <c r="J150" s="1409">
        <f t="shared" si="14"/>
        <v>0</v>
      </c>
    </row>
    <row r="151" spans="2:10" s="1446" customFormat="1" ht="15.75" customHeight="1">
      <c r="B151" s="1511">
        <v>7.03</v>
      </c>
      <c r="C151" s="1474" t="s">
        <v>1347</v>
      </c>
      <c r="D151" s="1468" t="s">
        <v>1332</v>
      </c>
      <c r="E151" s="1469">
        <v>23</v>
      </c>
      <c r="F151" s="1470">
        <v>23</v>
      </c>
      <c r="G151" s="1471">
        <v>220</v>
      </c>
      <c r="H151" s="1394">
        <f t="shared" si="15"/>
        <v>5060</v>
      </c>
      <c r="I151" s="1473"/>
      <c r="J151" s="1409">
        <f t="shared" si="14"/>
        <v>0</v>
      </c>
    </row>
    <row r="152" spans="2:10" s="1446" customFormat="1" ht="15.75" customHeight="1">
      <c r="B152" s="1511">
        <v>7.04</v>
      </c>
      <c r="C152" s="1474" t="s">
        <v>1346</v>
      </c>
      <c r="D152" s="1468" t="s">
        <v>1332</v>
      </c>
      <c r="E152" s="1469">
        <v>12</v>
      </c>
      <c r="F152" s="1470">
        <v>12</v>
      </c>
      <c r="G152" s="1471">
        <v>220</v>
      </c>
      <c r="H152" s="1394">
        <f t="shared" si="15"/>
        <v>2640</v>
      </c>
      <c r="I152" s="1473"/>
      <c r="J152" s="1409">
        <f t="shared" si="14"/>
        <v>0</v>
      </c>
    </row>
    <row r="153" spans="2:10" s="1446" customFormat="1" ht="15.75" customHeight="1">
      <c r="B153" s="1511">
        <v>7.05</v>
      </c>
      <c r="C153" s="1474" t="s">
        <v>1345</v>
      </c>
      <c r="D153" s="1468" t="s">
        <v>1332</v>
      </c>
      <c r="E153" s="1469">
        <v>8</v>
      </c>
      <c r="F153" s="1470">
        <v>8</v>
      </c>
      <c r="G153" s="1471">
        <v>1375</v>
      </c>
      <c r="H153" s="1394">
        <f t="shared" si="15"/>
        <v>11000</v>
      </c>
      <c r="I153" s="1473">
        <f>'IPD Super TOS'!H642</f>
        <v>20</v>
      </c>
      <c r="J153" s="1409">
        <f t="shared" si="14"/>
        <v>27500</v>
      </c>
    </row>
    <row r="154" spans="2:10" ht="15.75" customHeight="1">
      <c r="B154" s="1510">
        <v>8</v>
      </c>
      <c r="C154" s="1472" t="s">
        <v>1344</v>
      </c>
      <c r="D154" s="1468"/>
      <c r="E154" s="1469"/>
      <c r="F154" s="1470"/>
      <c r="G154" s="1471"/>
      <c r="H154" s="1394">
        <f t="shared" si="15"/>
        <v>0</v>
      </c>
      <c r="I154" s="1473"/>
      <c r="J154" s="1409">
        <f t="shared" si="14"/>
        <v>0</v>
      </c>
    </row>
    <row r="155" spans="2:10" ht="15.75" customHeight="1">
      <c r="B155" s="1507">
        <v>8.01</v>
      </c>
      <c r="C155" s="1466" t="s">
        <v>1343</v>
      </c>
      <c r="D155" s="1464" t="s">
        <v>1332</v>
      </c>
      <c r="E155" s="1465">
        <v>5</v>
      </c>
      <c r="F155" s="1448">
        <v>5</v>
      </c>
      <c r="G155" s="1451">
        <v>266.25</v>
      </c>
      <c r="H155" s="1394">
        <f t="shared" si="15"/>
        <v>1331.25</v>
      </c>
      <c r="I155" s="1394">
        <f>'IPD Super TOS'!H647</f>
        <v>5</v>
      </c>
      <c r="J155" s="1409">
        <f t="shared" si="14"/>
        <v>1331.25</v>
      </c>
    </row>
    <row r="156" spans="2:10" ht="15.75" customHeight="1">
      <c r="B156" s="1507">
        <v>8.02</v>
      </c>
      <c r="C156" s="1466" t="s">
        <v>1342</v>
      </c>
      <c r="D156" s="1464" t="s">
        <v>1332</v>
      </c>
      <c r="E156" s="1465">
        <v>5</v>
      </c>
      <c r="F156" s="1448">
        <v>5</v>
      </c>
      <c r="G156" s="1451">
        <v>200</v>
      </c>
      <c r="H156" s="1394">
        <f t="shared" si="15"/>
        <v>1000</v>
      </c>
      <c r="I156" s="1394"/>
      <c r="J156" s="1409">
        <f t="shared" si="14"/>
        <v>0</v>
      </c>
    </row>
    <row r="157" spans="2:10" ht="15.75" customHeight="1">
      <c r="B157" s="1509">
        <v>10</v>
      </c>
      <c r="C157" s="1467" t="s">
        <v>1340</v>
      </c>
      <c r="D157" s="1464"/>
      <c r="E157" s="1465"/>
      <c r="F157" s="1448"/>
      <c r="G157" s="1451"/>
      <c r="H157" s="1394">
        <f t="shared" si="15"/>
        <v>0</v>
      </c>
      <c r="I157" s="1394"/>
      <c r="J157" s="1409">
        <f t="shared" si="14"/>
        <v>0</v>
      </c>
    </row>
    <row r="158" spans="2:10" ht="15.75" customHeight="1">
      <c r="B158" s="1512">
        <v>10.029999999999999</v>
      </c>
      <c r="C158" s="1475" t="s">
        <v>1335</v>
      </c>
      <c r="D158" s="1476"/>
      <c r="E158" s="1477"/>
      <c r="F158" s="1478">
        <v>12</v>
      </c>
      <c r="G158" s="1479">
        <v>60</v>
      </c>
      <c r="H158" s="1423">
        <f t="shared" si="15"/>
        <v>720</v>
      </c>
      <c r="I158" s="1423">
        <f>'IPD Super TOS'!H652</f>
        <v>10.24</v>
      </c>
      <c r="J158" s="1424">
        <f t="shared" si="14"/>
        <v>614.4</v>
      </c>
    </row>
    <row r="159" spans="2:10" ht="15.75" customHeight="1">
      <c r="B159" s="2058" t="s">
        <v>1330</v>
      </c>
      <c r="C159" s="2058"/>
      <c r="D159" s="2058"/>
      <c r="E159" s="1480"/>
      <c r="F159" s="1481"/>
      <c r="G159" s="1481"/>
      <c r="H159" s="1428">
        <f>SUM(H131:H158)</f>
        <v>147185</v>
      </c>
      <c r="I159" s="1428"/>
      <c r="J159" s="1428">
        <f>SUM(J131:J158)</f>
        <v>106969.4</v>
      </c>
    </row>
    <row r="160" spans="2:10" ht="15.75" customHeight="1">
      <c r="H160" s="1309"/>
      <c r="I160" s="1309"/>
    </row>
    <row r="161" spans="2:9" ht="15.75" customHeight="1">
      <c r="B161" s="1307"/>
      <c r="D161" s="1307"/>
      <c r="E161" s="1307"/>
      <c r="F161" s="1307"/>
      <c r="G161" s="1340"/>
      <c r="H161" s="1309"/>
      <c r="I161" s="1309"/>
    </row>
    <row r="162" spans="2:9" ht="15.75" customHeight="1">
      <c r="B162" s="1307"/>
      <c r="D162" s="1307"/>
      <c r="E162" s="1307"/>
      <c r="F162" s="1307"/>
      <c r="G162" s="1340"/>
      <c r="H162" s="1309"/>
      <c r="I162" s="1309"/>
    </row>
    <row r="163" spans="2:9" ht="15.75" customHeight="1">
      <c r="B163" s="1307"/>
      <c r="D163" s="1307"/>
      <c r="E163" s="1307"/>
      <c r="F163" s="1307"/>
      <c r="G163" s="1340"/>
      <c r="H163" s="1309"/>
      <c r="I163" s="1309"/>
    </row>
    <row r="164" spans="2:9" ht="15.75" customHeight="1">
      <c r="B164" s="1307"/>
      <c r="D164" s="1307"/>
      <c r="E164" s="1307"/>
      <c r="F164" s="1307"/>
      <c r="G164" s="1340"/>
      <c r="H164" s="1309"/>
      <c r="I164" s="1309"/>
    </row>
    <row r="165" spans="2:9" ht="15.75" customHeight="1">
      <c r="B165" s="1307"/>
      <c r="D165" s="1307"/>
      <c r="E165" s="1307"/>
      <c r="F165" s="1307"/>
      <c r="G165" s="1340"/>
      <c r="H165" s="1309"/>
      <c r="I165" s="1309"/>
    </row>
    <row r="166" spans="2:9" ht="15.75" customHeight="1">
      <c r="B166" s="1307"/>
      <c r="D166" s="1307"/>
      <c r="E166" s="1307"/>
      <c r="F166" s="1307"/>
      <c r="G166" s="1340"/>
      <c r="H166" s="1309"/>
      <c r="I166" s="1309"/>
    </row>
    <row r="167" spans="2:9" ht="15.75" customHeight="1">
      <c r="B167" s="1307"/>
      <c r="D167" s="1307"/>
      <c r="E167" s="1307"/>
      <c r="F167" s="1307"/>
      <c r="G167" s="1340"/>
      <c r="H167" s="1309"/>
      <c r="I167" s="1309"/>
    </row>
    <row r="168" spans="2:9" ht="15.75" customHeight="1">
      <c r="B168" s="1307"/>
      <c r="D168" s="1307"/>
      <c r="E168" s="1307"/>
      <c r="F168" s="1307"/>
      <c r="G168" s="1340"/>
      <c r="H168" s="1309"/>
      <c r="I168" s="1309"/>
    </row>
    <row r="169" spans="2:9" ht="15.75" customHeight="1">
      <c r="B169" s="1307"/>
      <c r="D169" s="1307"/>
      <c r="E169" s="1307"/>
      <c r="F169" s="1307"/>
      <c r="G169" s="1340"/>
      <c r="H169" s="1309"/>
      <c r="I169" s="1309"/>
    </row>
    <row r="170" spans="2:9" ht="15.75" customHeight="1">
      <c r="B170" s="1307"/>
      <c r="D170" s="1307"/>
      <c r="E170" s="1307"/>
      <c r="F170" s="1307"/>
      <c r="G170" s="1340"/>
      <c r="H170" s="1309"/>
      <c r="I170" s="1309"/>
    </row>
    <row r="171" spans="2:9" ht="15.75" customHeight="1">
      <c r="B171" s="1307"/>
      <c r="D171" s="1307"/>
      <c r="E171" s="1307"/>
      <c r="F171" s="1307"/>
      <c r="G171" s="1340"/>
      <c r="H171" s="1309"/>
      <c r="I171" s="1309"/>
    </row>
    <row r="172" spans="2:9" ht="15.75" customHeight="1">
      <c r="B172" s="1307"/>
      <c r="D172" s="1307"/>
      <c r="E172" s="1307"/>
      <c r="F172" s="1307"/>
      <c r="G172" s="1340"/>
      <c r="H172" s="1309"/>
      <c r="I172" s="1309"/>
    </row>
    <row r="173" spans="2:9" ht="15.75" customHeight="1">
      <c r="B173" s="1307"/>
      <c r="D173" s="1307"/>
      <c r="E173" s="1307"/>
      <c r="F173" s="1307"/>
      <c r="G173" s="1340"/>
      <c r="H173" s="1309"/>
      <c r="I173" s="1309"/>
    </row>
    <row r="174" spans="2:9" ht="15.75" customHeight="1">
      <c r="B174" s="1307"/>
      <c r="D174" s="1307"/>
      <c r="E174" s="1307"/>
      <c r="F174" s="1307"/>
      <c r="G174" s="1340"/>
      <c r="H174" s="1309"/>
      <c r="I174" s="1309"/>
    </row>
    <row r="175" spans="2:9" ht="15.75" customHeight="1">
      <c r="B175" s="1307"/>
      <c r="D175" s="1307"/>
      <c r="E175" s="1307"/>
      <c r="F175" s="1307"/>
      <c r="G175" s="1340"/>
      <c r="H175" s="1309"/>
      <c r="I175" s="1309"/>
    </row>
    <row r="176" spans="2:9" ht="15.75" customHeight="1">
      <c r="B176" s="1307"/>
      <c r="D176" s="1307"/>
      <c r="E176" s="1307"/>
      <c r="F176" s="1307"/>
      <c r="G176" s="1340"/>
      <c r="H176" s="1309"/>
      <c r="I176" s="1309"/>
    </row>
    <row r="177" spans="2:10" ht="15.75" customHeight="1">
      <c r="B177" s="1307"/>
      <c r="D177" s="1307"/>
      <c r="E177" s="1307"/>
      <c r="F177" s="1307"/>
      <c r="G177" s="1340"/>
      <c r="H177" s="1309"/>
      <c r="I177" s="1309"/>
      <c r="J177" s="1307"/>
    </row>
    <row r="178" spans="2:10" ht="15.75" customHeight="1">
      <c r="B178" s="1307"/>
      <c r="D178" s="1307"/>
      <c r="E178" s="1307"/>
      <c r="F178" s="1307"/>
      <c r="G178" s="1340"/>
      <c r="H178" s="1309"/>
      <c r="I178" s="1309"/>
      <c r="J178" s="1307"/>
    </row>
    <row r="179" spans="2:10" ht="15.75" customHeight="1">
      <c r="B179" s="1307"/>
      <c r="D179" s="1307"/>
      <c r="E179" s="1307"/>
      <c r="F179" s="1307"/>
      <c r="G179" s="1340"/>
      <c r="H179" s="1309"/>
      <c r="I179" s="1309"/>
      <c r="J179" s="1307"/>
    </row>
    <row r="180" spans="2:10" ht="15.75" customHeight="1">
      <c r="B180" s="1307"/>
      <c r="D180" s="1307"/>
      <c r="E180" s="1307"/>
      <c r="F180" s="1307"/>
      <c r="G180" s="1340"/>
      <c r="H180" s="1309"/>
      <c r="I180" s="1309"/>
      <c r="J180" s="1307"/>
    </row>
    <row r="181" spans="2:10" ht="15.75" customHeight="1">
      <c r="B181" s="1307"/>
      <c r="D181" s="1307"/>
      <c r="E181" s="1307"/>
      <c r="F181" s="1307"/>
      <c r="G181" s="1340"/>
      <c r="H181" s="1309"/>
      <c r="I181" s="1309"/>
      <c r="J181" s="1307"/>
    </row>
    <row r="182" spans="2:10" ht="15.75" customHeight="1">
      <c r="B182" s="1307"/>
      <c r="D182" s="1307"/>
      <c r="E182" s="1307"/>
      <c r="F182" s="1307"/>
      <c r="G182" s="1340"/>
      <c r="H182" s="1309"/>
      <c r="I182" s="1309"/>
      <c r="J182" s="1307"/>
    </row>
    <row r="183" spans="2:10" ht="15.75" customHeight="1">
      <c r="B183" s="1307"/>
      <c r="D183" s="1307"/>
      <c r="E183" s="1307"/>
      <c r="F183" s="1307"/>
      <c r="G183" s="1340"/>
      <c r="H183" s="1309"/>
      <c r="I183" s="1309"/>
      <c r="J183" s="1307"/>
    </row>
    <row r="184" spans="2:10" ht="15.75" customHeight="1">
      <c r="B184" s="1307"/>
      <c r="D184" s="1307"/>
      <c r="E184" s="1307"/>
      <c r="F184" s="1307"/>
      <c r="G184" s="1340"/>
      <c r="H184" s="1309"/>
      <c r="I184" s="1309"/>
      <c r="J184" s="1307"/>
    </row>
    <row r="185" spans="2:10" ht="15.75" customHeight="1">
      <c r="B185" s="1307"/>
      <c r="D185" s="1307"/>
      <c r="E185" s="1307"/>
      <c r="F185" s="1307"/>
      <c r="G185" s="1340"/>
      <c r="H185" s="1309"/>
      <c r="I185" s="1309"/>
      <c r="J185" s="1307"/>
    </row>
    <row r="186" spans="2:10" ht="15.75" customHeight="1">
      <c r="B186" s="1307"/>
      <c r="D186" s="1307"/>
      <c r="E186" s="1307"/>
      <c r="F186" s="1307"/>
      <c r="G186" s="1340"/>
      <c r="H186" s="1309"/>
      <c r="I186" s="1309"/>
      <c r="J186" s="1307"/>
    </row>
    <row r="187" spans="2:10" ht="15.75" customHeight="1">
      <c r="B187" s="1307"/>
      <c r="D187" s="1307"/>
      <c r="E187" s="1307"/>
      <c r="F187" s="1307"/>
      <c r="G187" s="1340"/>
      <c r="H187" s="1309"/>
      <c r="I187" s="1309"/>
      <c r="J187" s="1307"/>
    </row>
    <row r="188" spans="2:10" ht="15.75" customHeight="1">
      <c r="B188" s="1307"/>
      <c r="D188" s="1307"/>
      <c r="E188" s="1307"/>
      <c r="F188" s="1307"/>
      <c r="G188" s="1340"/>
      <c r="H188" s="1309"/>
      <c r="I188" s="1309"/>
      <c r="J188" s="1307"/>
    </row>
    <row r="189" spans="2:10" ht="15.75" customHeight="1">
      <c r="B189" s="1307"/>
      <c r="D189" s="1307"/>
      <c r="E189" s="1307"/>
      <c r="F189" s="1307"/>
      <c r="G189" s="1340"/>
      <c r="H189" s="1309"/>
      <c r="I189" s="1309"/>
      <c r="J189" s="1307"/>
    </row>
    <row r="190" spans="2:10" ht="15.75" customHeight="1">
      <c r="B190" s="1307"/>
      <c r="D190" s="1307"/>
      <c r="E190" s="1307"/>
      <c r="F190" s="1307"/>
      <c r="G190" s="1340"/>
      <c r="H190" s="1309"/>
      <c r="I190" s="1309"/>
      <c r="J190" s="1307"/>
    </row>
    <row r="191" spans="2:10" ht="15.75" customHeight="1">
      <c r="B191" s="1307"/>
      <c r="D191" s="1307"/>
      <c r="E191" s="1307"/>
      <c r="F191" s="1307"/>
      <c r="G191" s="1340"/>
      <c r="H191" s="1309"/>
      <c r="I191" s="1309"/>
      <c r="J191" s="1307"/>
    </row>
    <row r="192" spans="2:10" ht="15.75" customHeight="1">
      <c r="B192" s="1307"/>
      <c r="D192" s="1307"/>
      <c r="E192" s="1307"/>
      <c r="F192" s="1307"/>
      <c r="G192" s="1340"/>
      <c r="H192" s="1309"/>
      <c r="I192" s="1309"/>
      <c r="J192" s="1307"/>
    </row>
    <row r="193" spans="2:10" ht="15.75" customHeight="1">
      <c r="B193" s="1307"/>
      <c r="D193" s="1307"/>
      <c r="E193" s="1307"/>
      <c r="F193" s="1307"/>
      <c r="G193" s="1340"/>
      <c r="H193" s="1309"/>
      <c r="I193" s="1309"/>
      <c r="J193" s="1307"/>
    </row>
    <row r="194" spans="2:10" ht="15.75" customHeight="1">
      <c r="B194" s="1307"/>
      <c r="D194" s="1307"/>
      <c r="E194" s="1307"/>
      <c r="F194" s="1307"/>
      <c r="G194" s="1340"/>
      <c r="H194" s="1309"/>
      <c r="I194" s="1309"/>
      <c r="J194" s="1307"/>
    </row>
    <row r="195" spans="2:10" ht="15.75" customHeight="1">
      <c r="B195" s="1307"/>
      <c r="D195" s="1307"/>
      <c r="E195" s="1307"/>
      <c r="F195" s="1307"/>
      <c r="G195" s="1340"/>
      <c r="H195" s="1309"/>
      <c r="I195" s="1309"/>
      <c r="J195" s="1307"/>
    </row>
    <row r="196" spans="2:10" ht="15.75" customHeight="1">
      <c r="B196" s="1307"/>
      <c r="D196" s="1307"/>
      <c r="E196" s="1307"/>
      <c r="F196" s="1307"/>
      <c r="G196" s="1340"/>
      <c r="H196" s="1309"/>
      <c r="I196" s="1309"/>
      <c r="J196" s="1307"/>
    </row>
    <row r="197" spans="2:10" ht="15.75" customHeight="1">
      <c r="B197" s="1307"/>
      <c r="D197" s="1307"/>
      <c r="E197" s="1307"/>
      <c r="F197" s="1307"/>
      <c r="G197" s="1340"/>
      <c r="H197" s="1309"/>
      <c r="I197" s="1309"/>
      <c r="J197" s="1307"/>
    </row>
    <row r="198" spans="2:10" ht="15.75" customHeight="1">
      <c r="B198" s="1307"/>
      <c r="D198" s="1307"/>
      <c r="E198" s="1307"/>
      <c r="F198" s="1307"/>
      <c r="G198" s="1340"/>
      <c r="H198" s="1309"/>
      <c r="I198" s="1309"/>
      <c r="J198" s="1307"/>
    </row>
    <row r="199" spans="2:10" ht="15.75" customHeight="1">
      <c r="B199" s="1307"/>
      <c r="D199" s="1307"/>
      <c r="E199" s="1307"/>
      <c r="F199" s="1307"/>
      <c r="G199" s="1340"/>
      <c r="H199" s="1309"/>
      <c r="I199" s="1309"/>
      <c r="J199" s="1307"/>
    </row>
    <row r="200" spans="2:10" ht="15.75" customHeight="1">
      <c r="B200" s="1307"/>
      <c r="D200" s="1307"/>
      <c r="E200" s="1307"/>
      <c r="F200" s="1307"/>
      <c r="G200" s="1340"/>
      <c r="H200" s="1309"/>
      <c r="I200" s="1309"/>
      <c r="J200" s="1307"/>
    </row>
    <row r="201" spans="2:10" ht="15.75" customHeight="1">
      <c r="B201" s="1307"/>
      <c r="D201" s="1307"/>
      <c r="E201" s="1307"/>
      <c r="F201" s="1307"/>
      <c r="G201" s="1340"/>
      <c r="H201" s="1309"/>
      <c r="I201" s="1309"/>
      <c r="J201" s="1307"/>
    </row>
    <row r="202" spans="2:10" ht="15.75" customHeight="1">
      <c r="B202" s="1307"/>
      <c r="D202" s="1307"/>
      <c r="E202" s="1307"/>
      <c r="F202" s="1307"/>
      <c r="G202" s="1340"/>
      <c r="H202" s="1309"/>
      <c r="I202" s="1309"/>
      <c r="J202" s="1307"/>
    </row>
    <row r="203" spans="2:10" ht="15.75" customHeight="1">
      <c r="B203" s="1307"/>
      <c r="D203" s="1307"/>
      <c r="E203" s="1307"/>
      <c r="F203" s="1307"/>
      <c r="G203" s="1340"/>
      <c r="H203" s="1309"/>
      <c r="I203" s="1309"/>
      <c r="J203" s="1307"/>
    </row>
    <row r="204" spans="2:10" ht="15.75" customHeight="1">
      <c r="B204" s="1307"/>
      <c r="D204" s="1307"/>
      <c r="E204" s="1307"/>
      <c r="F204" s="1307"/>
      <c r="G204" s="1340"/>
      <c r="H204" s="1309"/>
      <c r="I204" s="1309"/>
      <c r="J204" s="1307"/>
    </row>
    <row r="205" spans="2:10" ht="15.75" customHeight="1">
      <c r="B205" s="1307"/>
      <c r="D205" s="1307"/>
      <c r="E205" s="1307"/>
      <c r="F205" s="1307"/>
      <c r="G205" s="1340"/>
      <c r="H205" s="1309"/>
      <c r="I205" s="1309"/>
      <c r="J205" s="1307"/>
    </row>
    <row r="206" spans="2:10" ht="15.75" customHeight="1">
      <c r="B206" s="1307"/>
      <c r="D206" s="1307"/>
      <c r="E206" s="1307"/>
      <c r="F206" s="1307"/>
      <c r="G206" s="1340"/>
      <c r="H206" s="1309"/>
      <c r="I206" s="1309"/>
      <c r="J206" s="1307"/>
    </row>
    <row r="207" spans="2:10" ht="15.75" customHeight="1">
      <c r="B207" s="1307"/>
      <c r="D207" s="1307"/>
      <c r="E207" s="1307"/>
      <c r="F207" s="1307"/>
      <c r="G207" s="1340"/>
      <c r="H207" s="1309"/>
      <c r="I207" s="1309"/>
      <c r="J207" s="1307"/>
    </row>
    <row r="208" spans="2:10" ht="15.75" customHeight="1">
      <c r="B208" s="1307"/>
      <c r="D208" s="1307"/>
      <c r="E208" s="1307"/>
      <c r="F208" s="1307"/>
      <c r="G208" s="1340"/>
      <c r="H208" s="1309"/>
      <c r="I208" s="1309"/>
      <c r="J208" s="1307"/>
    </row>
    <row r="209" spans="2:10" ht="15.75" customHeight="1">
      <c r="B209" s="1307"/>
      <c r="D209" s="1307"/>
      <c r="E209" s="1307"/>
      <c r="F209" s="1307"/>
      <c r="G209" s="1340"/>
      <c r="H209" s="1309"/>
      <c r="I209" s="1309"/>
      <c r="J209" s="1307"/>
    </row>
    <row r="210" spans="2:10" ht="15.75" customHeight="1">
      <c r="B210" s="1307"/>
      <c r="D210" s="1307"/>
      <c r="E210" s="1307"/>
      <c r="F210" s="1307"/>
      <c r="G210" s="1340"/>
      <c r="H210" s="1309"/>
      <c r="I210" s="1309"/>
      <c r="J210" s="1307"/>
    </row>
    <row r="211" spans="2:10" ht="15.75" customHeight="1">
      <c r="B211" s="1307"/>
      <c r="D211" s="1307"/>
      <c r="E211" s="1307"/>
      <c r="F211" s="1307"/>
      <c r="G211" s="1340"/>
      <c r="H211" s="1309"/>
      <c r="I211" s="1309"/>
      <c r="J211" s="1307"/>
    </row>
    <row r="212" spans="2:10" ht="15.75" customHeight="1">
      <c r="B212" s="1307"/>
      <c r="D212" s="1307"/>
      <c r="E212" s="1307"/>
      <c r="F212" s="1307"/>
      <c r="G212" s="1340"/>
      <c r="H212" s="1309"/>
      <c r="I212" s="1309"/>
      <c r="J212" s="1307"/>
    </row>
    <row r="213" spans="2:10" ht="15.75" customHeight="1">
      <c r="B213" s="1307"/>
      <c r="D213" s="1307"/>
      <c r="E213" s="1307"/>
      <c r="F213" s="1307"/>
      <c r="G213" s="1340"/>
      <c r="H213" s="1309"/>
      <c r="I213" s="1309"/>
      <c r="J213" s="1307"/>
    </row>
    <row r="214" spans="2:10" ht="15.75" customHeight="1">
      <c r="B214" s="1307"/>
      <c r="D214" s="1307"/>
      <c r="E214" s="1307"/>
      <c r="F214" s="1307"/>
      <c r="G214" s="1340"/>
      <c r="H214" s="1309"/>
      <c r="I214" s="1309"/>
      <c r="J214" s="1307"/>
    </row>
    <row r="215" spans="2:10" ht="15.75" customHeight="1">
      <c r="B215" s="1307"/>
      <c r="D215" s="1307"/>
      <c r="E215" s="1307"/>
      <c r="F215" s="1307"/>
      <c r="G215" s="1340"/>
      <c r="H215" s="1309"/>
      <c r="I215" s="1309"/>
      <c r="J215" s="1307"/>
    </row>
    <row r="216" spans="2:10" ht="15.75" customHeight="1">
      <c r="B216" s="1307"/>
      <c r="D216" s="1307"/>
      <c r="E216" s="1307"/>
      <c r="F216" s="1307"/>
      <c r="G216" s="1340"/>
      <c r="H216" s="1309"/>
      <c r="I216" s="1309"/>
      <c r="J216" s="1307"/>
    </row>
    <row r="217" spans="2:10" ht="15.75" customHeight="1">
      <c r="B217" s="1307"/>
      <c r="D217" s="1307"/>
      <c r="E217" s="1307"/>
      <c r="F217" s="1307"/>
      <c r="G217" s="1340"/>
      <c r="H217" s="1309"/>
      <c r="I217" s="1309"/>
      <c r="J217" s="1307"/>
    </row>
    <row r="218" spans="2:10" ht="15.75" customHeight="1">
      <c r="B218" s="1307"/>
      <c r="D218" s="1307"/>
      <c r="E218" s="1307"/>
      <c r="F218" s="1307"/>
      <c r="G218" s="1340"/>
      <c r="H218" s="1309"/>
      <c r="I218" s="1309"/>
      <c r="J218" s="1307"/>
    </row>
    <row r="219" spans="2:10" ht="15.75" customHeight="1">
      <c r="B219" s="1307"/>
      <c r="D219" s="1307"/>
      <c r="E219" s="1307"/>
      <c r="F219" s="1307"/>
      <c r="G219" s="1340"/>
      <c r="H219" s="1309"/>
      <c r="I219" s="1309"/>
      <c r="J219" s="1307"/>
    </row>
    <row r="220" spans="2:10" ht="15.75" customHeight="1">
      <c r="B220" s="1307"/>
      <c r="D220" s="1307"/>
      <c r="E220" s="1307"/>
      <c r="F220" s="1307"/>
      <c r="G220" s="1340"/>
      <c r="H220" s="1309"/>
      <c r="I220" s="1309"/>
      <c r="J220" s="1307"/>
    </row>
    <row r="221" spans="2:10" ht="15.75" customHeight="1">
      <c r="B221" s="1307"/>
      <c r="D221" s="1307"/>
      <c r="E221" s="1307"/>
      <c r="F221" s="1307"/>
      <c r="G221" s="1340"/>
      <c r="H221" s="1309"/>
      <c r="I221" s="1309"/>
      <c r="J221" s="1307"/>
    </row>
    <row r="222" spans="2:10" ht="15.75" customHeight="1">
      <c r="B222" s="1307"/>
      <c r="D222" s="1307"/>
      <c r="E222" s="1307"/>
      <c r="F222" s="1307"/>
      <c r="G222" s="1340"/>
      <c r="H222" s="1309"/>
      <c r="I222" s="1309"/>
      <c r="J222" s="1307"/>
    </row>
    <row r="223" spans="2:10" ht="15.75" customHeight="1">
      <c r="B223" s="1307"/>
      <c r="D223" s="1307"/>
      <c r="E223" s="1307"/>
      <c r="F223" s="1307"/>
      <c r="G223" s="1340"/>
      <c r="H223" s="1309"/>
      <c r="I223" s="1309"/>
      <c r="J223" s="1307"/>
    </row>
    <row r="224" spans="2:10" ht="15.75" customHeight="1">
      <c r="B224" s="1307"/>
      <c r="D224" s="1307"/>
      <c r="E224" s="1307"/>
      <c r="F224" s="1307"/>
      <c r="G224" s="1340"/>
      <c r="H224" s="1309"/>
      <c r="I224" s="1309"/>
      <c r="J224" s="1307"/>
    </row>
    <row r="225" spans="2:10" ht="15.75" customHeight="1">
      <c r="B225" s="1307"/>
      <c r="D225" s="1307"/>
      <c r="E225" s="1307"/>
      <c r="F225" s="1307"/>
      <c r="G225" s="1340"/>
      <c r="H225" s="1309"/>
      <c r="I225" s="1309"/>
      <c r="J225" s="1307"/>
    </row>
    <row r="226" spans="2:10" ht="15.75" customHeight="1">
      <c r="B226" s="1307"/>
      <c r="D226" s="1307"/>
      <c r="E226" s="1307"/>
      <c r="F226" s="1307"/>
      <c r="G226" s="1340"/>
      <c r="H226" s="1309"/>
      <c r="I226" s="1309"/>
      <c r="J226" s="1307"/>
    </row>
    <row r="227" spans="2:10" ht="15.75" customHeight="1">
      <c r="B227" s="1307"/>
      <c r="D227" s="1307"/>
      <c r="E227" s="1307"/>
      <c r="F227" s="1307"/>
      <c r="G227" s="1340"/>
      <c r="H227" s="1309"/>
      <c r="I227" s="1309"/>
      <c r="J227" s="1307"/>
    </row>
    <row r="228" spans="2:10" ht="15.75" customHeight="1">
      <c r="B228" s="1307"/>
      <c r="D228" s="1307"/>
      <c r="E228" s="1307"/>
      <c r="F228" s="1307"/>
      <c r="G228" s="1340"/>
      <c r="H228" s="1309"/>
      <c r="I228" s="1309"/>
      <c r="J228" s="1307"/>
    </row>
    <row r="229" spans="2:10" ht="15.75" customHeight="1">
      <c r="B229" s="1307"/>
      <c r="D229" s="1307"/>
      <c r="E229" s="1307"/>
      <c r="F229" s="1307"/>
      <c r="G229" s="1340"/>
      <c r="H229" s="1309"/>
      <c r="I229" s="1309"/>
      <c r="J229" s="1307"/>
    </row>
    <row r="230" spans="2:10" ht="15.75" customHeight="1">
      <c r="B230" s="1307"/>
      <c r="D230" s="1307"/>
      <c r="E230" s="1307"/>
      <c r="F230" s="1307"/>
      <c r="G230" s="1340"/>
      <c r="H230" s="1309"/>
      <c r="I230" s="1309"/>
      <c r="J230" s="1307"/>
    </row>
    <row r="231" spans="2:10" ht="15.75" customHeight="1">
      <c r="B231" s="1307"/>
      <c r="D231" s="1307"/>
      <c r="E231" s="1307"/>
      <c r="F231" s="1307"/>
      <c r="G231" s="1340"/>
      <c r="H231" s="1309"/>
      <c r="I231" s="1309"/>
      <c r="J231" s="1307"/>
    </row>
    <row r="232" spans="2:10" ht="15.75" customHeight="1">
      <c r="B232" s="1307"/>
      <c r="D232" s="1307"/>
      <c r="E232" s="1307"/>
      <c r="F232" s="1307"/>
      <c r="G232" s="1340"/>
      <c r="H232" s="1309"/>
      <c r="I232" s="1309"/>
      <c r="J232" s="1307"/>
    </row>
    <row r="233" spans="2:10" ht="15.75" customHeight="1">
      <c r="B233" s="1307"/>
      <c r="D233" s="1307"/>
      <c r="E233" s="1307"/>
      <c r="F233" s="1307"/>
      <c r="G233" s="1340"/>
      <c r="H233" s="1309"/>
      <c r="I233" s="1309"/>
      <c r="J233" s="1307"/>
    </row>
    <row r="234" spans="2:10" ht="15.75" customHeight="1">
      <c r="B234" s="1307"/>
      <c r="D234" s="1307"/>
      <c r="E234" s="1307"/>
      <c r="F234" s="1307"/>
      <c r="G234" s="1340"/>
      <c r="H234" s="1309"/>
      <c r="I234" s="1309"/>
      <c r="J234" s="1307"/>
    </row>
    <row r="235" spans="2:10" ht="15.75" customHeight="1">
      <c r="B235" s="1307"/>
      <c r="D235" s="1307"/>
      <c r="E235" s="1307"/>
      <c r="F235" s="1307"/>
      <c r="G235" s="1340"/>
      <c r="H235" s="1309"/>
      <c r="I235" s="1309"/>
      <c r="J235" s="1307"/>
    </row>
    <row r="236" spans="2:10" ht="15.75" customHeight="1">
      <c r="B236" s="1307"/>
      <c r="D236" s="1307"/>
      <c r="E236" s="1307"/>
      <c r="F236" s="1307"/>
      <c r="G236" s="1340"/>
      <c r="H236" s="1309"/>
      <c r="I236" s="1309"/>
      <c r="J236" s="1307"/>
    </row>
    <row r="237" spans="2:10" ht="15.75" customHeight="1">
      <c r="B237" s="1307"/>
      <c r="D237" s="1307"/>
      <c r="E237" s="1307"/>
      <c r="F237" s="1307"/>
      <c r="G237" s="1340"/>
      <c r="H237" s="1309"/>
      <c r="I237" s="1309"/>
      <c r="J237" s="1307"/>
    </row>
    <row r="238" spans="2:10" ht="15.75" customHeight="1">
      <c r="B238" s="1307"/>
      <c r="D238" s="1307"/>
      <c r="E238" s="1307"/>
      <c r="F238" s="1307"/>
      <c r="G238" s="1340"/>
      <c r="H238" s="1309"/>
      <c r="I238" s="1309"/>
      <c r="J238" s="1307"/>
    </row>
    <row r="239" spans="2:10" ht="15.75" customHeight="1">
      <c r="B239" s="1307"/>
      <c r="D239" s="1307"/>
      <c r="E239" s="1307"/>
      <c r="F239" s="1307"/>
      <c r="G239" s="1340"/>
      <c r="H239" s="1309"/>
      <c r="I239" s="1309"/>
      <c r="J239" s="1307"/>
    </row>
    <row r="240" spans="2:10" ht="15.75" customHeight="1">
      <c r="B240" s="1307"/>
      <c r="D240" s="1307"/>
      <c r="E240" s="1307"/>
      <c r="F240" s="1307"/>
      <c r="G240" s="1340"/>
      <c r="H240" s="1309"/>
      <c r="I240" s="1309"/>
      <c r="J240" s="1307"/>
    </row>
    <row r="241" spans="2:10" ht="15.75" customHeight="1">
      <c r="B241" s="1307"/>
      <c r="D241" s="1307"/>
      <c r="E241" s="1307"/>
      <c r="F241" s="1307"/>
      <c r="G241" s="1340"/>
      <c r="H241" s="1309"/>
      <c r="I241" s="1309"/>
      <c r="J241" s="1307"/>
    </row>
    <row r="242" spans="2:10" ht="15.75" customHeight="1">
      <c r="B242" s="1307"/>
      <c r="D242" s="1307"/>
      <c r="E242" s="1307"/>
      <c r="F242" s="1307"/>
      <c r="G242" s="1340"/>
      <c r="H242" s="1309"/>
      <c r="I242" s="1309"/>
      <c r="J242" s="1307"/>
    </row>
    <row r="243" spans="2:10" ht="15.75" customHeight="1">
      <c r="B243" s="1307"/>
      <c r="D243" s="1307"/>
      <c r="E243" s="1307"/>
      <c r="F243" s="1307"/>
      <c r="G243" s="1340"/>
      <c r="H243" s="1309"/>
      <c r="I243" s="1309"/>
      <c r="J243" s="1307"/>
    </row>
    <row r="244" spans="2:10" ht="15.75" customHeight="1">
      <c r="B244" s="1307"/>
      <c r="D244" s="1307"/>
      <c r="E244" s="1307"/>
      <c r="F244" s="1307"/>
      <c r="G244" s="1340"/>
      <c r="H244" s="1309"/>
      <c r="I244" s="1309"/>
      <c r="J244" s="1307"/>
    </row>
    <row r="245" spans="2:10" ht="15.75" customHeight="1">
      <c r="B245" s="1307"/>
      <c r="D245" s="1307"/>
      <c r="E245" s="1307"/>
      <c r="F245" s="1307"/>
      <c r="G245" s="1340"/>
      <c r="H245" s="1309"/>
      <c r="I245" s="1309"/>
      <c r="J245" s="1307"/>
    </row>
    <row r="246" spans="2:10" ht="15.75" customHeight="1">
      <c r="B246" s="1307"/>
      <c r="D246" s="1307"/>
      <c r="E246" s="1307"/>
      <c r="F246" s="1307"/>
      <c r="G246" s="1340"/>
      <c r="H246" s="1309"/>
      <c r="I246" s="1309"/>
      <c r="J246" s="1307"/>
    </row>
    <row r="247" spans="2:10" ht="15.75" customHeight="1">
      <c r="B247" s="1307"/>
      <c r="D247" s="1307"/>
      <c r="E247" s="1307"/>
      <c r="F247" s="1307"/>
      <c r="G247" s="1340"/>
      <c r="H247" s="1309"/>
      <c r="I247" s="1309"/>
      <c r="J247" s="1307"/>
    </row>
    <row r="248" spans="2:10" ht="15.75" customHeight="1">
      <c r="B248" s="1307"/>
      <c r="D248" s="1307"/>
      <c r="E248" s="1307"/>
      <c r="F248" s="1307"/>
      <c r="G248" s="1340"/>
      <c r="H248" s="1309"/>
      <c r="I248" s="1309"/>
      <c r="J248" s="1307"/>
    </row>
    <row r="249" spans="2:10" ht="15.75" customHeight="1">
      <c r="B249" s="1307"/>
      <c r="D249" s="1307"/>
      <c r="E249" s="1307"/>
      <c r="F249" s="1307"/>
      <c r="G249" s="1340"/>
      <c r="H249" s="1309"/>
      <c r="I249" s="1309"/>
      <c r="J249" s="1307"/>
    </row>
    <row r="250" spans="2:10" ht="15.75" customHeight="1">
      <c r="B250" s="1307"/>
      <c r="D250" s="1307"/>
      <c r="E250" s="1307"/>
      <c r="F250" s="1307"/>
      <c r="G250" s="1340"/>
      <c r="H250" s="1309"/>
      <c r="I250" s="1309"/>
      <c r="J250" s="1307"/>
    </row>
    <row r="251" spans="2:10" ht="15.75" customHeight="1">
      <c r="B251" s="1307"/>
      <c r="D251" s="1307"/>
      <c r="E251" s="1307"/>
      <c r="F251" s="1307"/>
      <c r="G251" s="1340"/>
      <c r="H251" s="1309"/>
      <c r="I251" s="1309"/>
      <c r="J251" s="1307"/>
    </row>
    <row r="252" spans="2:10" ht="15.75" customHeight="1">
      <c r="B252" s="1307"/>
      <c r="D252" s="1307"/>
      <c r="E252" s="1307"/>
      <c r="F252" s="1307"/>
      <c r="G252" s="1340"/>
      <c r="H252" s="1309"/>
      <c r="I252" s="1309"/>
      <c r="J252" s="1307"/>
    </row>
    <row r="253" spans="2:10" ht="15.75" customHeight="1">
      <c r="B253" s="1307"/>
      <c r="D253" s="1307"/>
      <c r="E253" s="1307"/>
      <c r="F253" s="1307"/>
      <c r="G253" s="1340"/>
      <c r="H253" s="1309"/>
      <c r="I253" s="1309"/>
      <c r="J253" s="1307"/>
    </row>
    <row r="254" spans="2:10" ht="15.75" customHeight="1">
      <c r="B254" s="1307"/>
      <c r="D254" s="1307"/>
      <c r="E254" s="1307"/>
      <c r="F254" s="1307"/>
      <c r="G254" s="1340"/>
      <c r="H254" s="1309"/>
      <c r="I254" s="1309"/>
      <c r="J254" s="1307"/>
    </row>
    <row r="255" spans="2:10" ht="15.75" customHeight="1">
      <c r="B255" s="1307"/>
      <c r="D255" s="1307"/>
      <c r="E255" s="1307"/>
      <c r="F255" s="1307"/>
      <c r="G255" s="1340"/>
      <c r="H255" s="1309"/>
      <c r="I255" s="1309"/>
      <c r="J255" s="1307"/>
    </row>
    <row r="256" spans="2:10" ht="15.75" customHeight="1">
      <c r="B256" s="1307"/>
      <c r="D256" s="1307"/>
      <c r="E256" s="1307"/>
      <c r="F256" s="1307"/>
      <c r="G256" s="1340"/>
      <c r="H256" s="1309"/>
      <c r="I256" s="1309"/>
      <c r="J256" s="1307"/>
    </row>
    <row r="257" spans="2:10" ht="15.75" customHeight="1">
      <c r="B257" s="1307"/>
      <c r="D257" s="1307"/>
      <c r="E257" s="1307"/>
      <c r="F257" s="1307"/>
      <c r="G257" s="1340"/>
      <c r="H257" s="1340"/>
      <c r="I257" s="1309"/>
      <c r="J257" s="1307"/>
    </row>
    <row r="258" spans="2:10" ht="15.75" customHeight="1">
      <c r="B258" s="1307"/>
      <c r="D258" s="1307"/>
      <c r="E258" s="1307"/>
      <c r="F258" s="1307"/>
      <c r="G258" s="1340"/>
      <c r="H258" s="1340"/>
      <c r="I258" s="1309"/>
      <c r="J258" s="1307"/>
    </row>
    <row r="259" spans="2:10" ht="15.75" customHeight="1">
      <c r="B259" s="1307"/>
      <c r="D259" s="1307"/>
      <c r="E259" s="1307"/>
      <c r="F259" s="1307"/>
      <c r="G259" s="1340"/>
      <c r="H259" s="1340"/>
      <c r="I259" s="1309"/>
      <c r="J259" s="1307"/>
    </row>
    <row r="260" spans="2:10" ht="15.75" customHeight="1">
      <c r="B260" s="1307"/>
      <c r="D260" s="1307"/>
      <c r="E260" s="1307"/>
      <c r="F260" s="1307"/>
      <c r="G260" s="1340"/>
      <c r="H260" s="1340"/>
      <c r="I260" s="1309"/>
      <c r="J260" s="1307"/>
    </row>
    <row r="261" spans="2:10" ht="15.75" customHeight="1">
      <c r="B261" s="1307"/>
      <c r="D261" s="1307"/>
      <c r="E261" s="1307"/>
      <c r="F261" s="1307"/>
      <c r="G261" s="1340"/>
      <c r="H261" s="1340"/>
      <c r="I261" s="1309"/>
      <c r="J261" s="1307"/>
    </row>
    <row r="262" spans="2:10" ht="15.75" customHeight="1">
      <c r="B262" s="1307"/>
      <c r="D262" s="1307"/>
      <c r="E262" s="1307"/>
      <c r="F262" s="1307"/>
      <c r="G262" s="1340"/>
      <c r="H262" s="1340"/>
      <c r="I262" s="1309"/>
      <c r="J262" s="1307"/>
    </row>
    <row r="263" spans="2:10" ht="15.75" customHeight="1">
      <c r="B263" s="1307"/>
      <c r="D263" s="1307"/>
      <c r="E263" s="1307"/>
      <c r="F263" s="1307"/>
      <c r="G263" s="1340"/>
      <c r="H263" s="1340"/>
      <c r="I263" s="1309"/>
      <c r="J263" s="1307"/>
    </row>
    <row r="264" spans="2:10" ht="15.75" customHeight="1">
      <c r="B264" s="1307"/>
      <c r="D264" s="1307"/>
      <c r="E264" s="1307"/>
      <c r="F264" s="1307"/>
      <c r="G264" s="1340"/>
      <c r="H264" s="1340"/>
      <c r="I264" s="1309"/>
      <c r="J264" s="1307"/>
    </row>
    <row r="265" spans="2:10" ht="15.75" customHeight="1">
      <c r="B265" s="1307"/>
      <c r="D265" s="1307"/>
      <c r="E265" s="1307"/>
      <c r="F265" s="1307"/>
      <c r="G265" s="1340"/>
      <c r="H265" s="1340"/>
      <c r="I265" s="1309"/>
      <c r="J265" s="1307"/>
    </row>
    <row r="266" spans="2:10" ht="15.75" customHeight="1">
      <c r="B266" s="1307"/>
      <c r="D266" s="1307"/>
      <c r="E266" s="1307"/>
      <c r="F266" s="1307"/>
      <c r="G266" s="1340"/>
      <c r="H266" s="1340"/>
      <c r="I266" s="1309"/>
      <c r="J266" s="1307"/>
    </row>
    <row r="267" spans="2:10" ht="15.75" customHeight="1">
      <c r="B267" s="1307"/>
      <c r="D267" s="1307"/>
      <c r="E267" s="1307"/>
      <c r="F267" s="1307"/>
      <c r="G267" s="1340"/>
      <c r="H267" s="1340"/>
      <c r="I267" s="1309"/>
      <c r="J267" s="1307"/>
    </row>
    <row r="268" spans="2:10" ht="15.75" customHeight="1">
      <c r="B268" s="1307"/>
      <c r="D268" s="1307"/>
      <c r="E268" s="1307"/>
      <c r="F268" s="1307"/>
      <c r="G268" s="1340"/>
      <c r="H268" s="1340"/>
      <c r="I268" s="1309"/>
      <c r="J268" s="1307"/>
    </row>
    <row r="269" spans="2:10" ht="15.75" customHeight="1">
      <c r="B269" s="1307"/>
      <c r="D269" s="1307"/>
      <c r="E269" s="1307"/>
      <c r="F269" s="1307"/>
      <c r="G269" s="1340"/>
      <c r="H269" s="1340"/>
      <c r="I269" s="1309"/>
      <c r="J269" s="1307"/>
    </row>
    <row r="270" spans="2:10" ht="15.75" customHeight="1">
      <c r="B270" s="1307"/>
      <c r="D270" s="1307"/>
      <c r="E270" s="1307"/>
      <c r="F270" s="1307"/>
      <c r="G270" s="1340"/>
      <c r="H270" s="1340"/>
      <c r="I270" s="1309"/>
      <c r="J270" s="1307"/>
    </row>
    <row r="271" spans="2:10" ht="15.75" customHeight="1">
      <c r="B271" s="1307"/>
      <c r="D271" s="1307"/>
      <c r="E271" s="1307"/>
      <c r="F271" s="1307"/>
      <c r="G271" s="1340"/>
      <c r="H271" s="1340"/>
      <c r="I271" s="1309"/>
      <c r="J271" s="1307"/>
    </row>
    <row r="272" spans="2:10" ht="15.75" customHeight="1">
      <c r="B272" s="1307"/>
      <c r="D272" s="1307"/>
      <c r="E272" s="1307"/>
      <c r="F272" s="1307"/>
      <c r="G272" s="1340"/>
      <c r="H272" s="1340"/>
      <c r="I272" s="1309"/>
      <c r="J272" s="1307"/>
    </row>
    <row r="273" spans="2:10" ht="15.75" customHeight="1">
      <c r="B273" s="1307"/>
      <c r="D273" s="1307"/>
      <c r="E273" s="1307"/>
      <c r="F273" s="1307"/>
      <c r="G273" s="1340"/>
      <c r="H273" s="1340"/>
      <c r="I273" s="1309"/>
      <c r="J273" s="1307"/>
    </row>
    <row r="274" spans="2:10" ht="15.75" customHeight="1">
      <c r="B274" s="1307"/>
      <c r="D274" s="1307"/>
      <c r="E274" s="1307"/>
      <c r="F274" s="1307"/>
      <c r="G274" s="1340"/>
      <c r="H274" s="1340"/>
      <c r="I274" s="1309"/>
      <c r="J274" s="1307"/>
    </row>
    <row r="275" spans="2:10" ht="15.75" customHeight="1">
      <c r="B275" s="1307"/>
      <c r="D275" s="1307"/>
      <c r="E275" s="1307"/>
      <c r="F275" s="1307"/>
      <c r="G275" s="1340"/>
      <c r="H275" s="1340"/>
      <c r="I275" s="1309"/>
      <c r="J275" s="1307"/>
    </row>
    <row r="276" spans="2:10" ht="15.75" customHeight="1">
      <c r="B276" s="1307"/>
      <c r="D276" s="1307"/>
      <c r="E276" s="1307"/>
      <c r="F276" s="1307"/>
      <c r="G276" s="1340"/>
      <c r="H276" s="1340"/>
      <c r="I276" s="1309"/>
      <c r="J276" s="1307"/>
    </row>
    <row r="277" spans="2:10" ht="15.75" customHeight="1">
      <c r="B277" s="1307"/>
      <c r="D277" s="1307"/>
      <c r="E277" s="1307"/>
      <c r="F277" s="1307"/>
      <c r="G277" s="1340"/>
      <c r="H277" s="1340"/>
      <c r="I277" s="1309"/>
      <c r="J277" s="1307"/>
    </row>
    <row r="278" spans="2:10" ht="15.75" customHeight="1">
      <c r="B278" s="1307"/>
      <c r="D278" s="1307"/>
      <c r="E278" s="1307"/>
      <c r="F278" s="1307"/>
      <c r="G278" s="1340"/>
      <c r="H278" s="1340"/>
      <c r="I278" s="1309"/>
      <c r="J278" s="1307"/>
    </row>
    <row r="279" spans="2:10" ht="15.75" customHeight="1">
      <c r="B279" s="1307"/>
      <c r="D279" s="1307"/>
      <c r="E279" s="1307"/>
      <c r="F279" s="1307"/>
      <c r="G279" s="1340"/>
      <c r="H279" s="1340"/>
      <c r="I279" s="1309"/>
      <c r="J279" s="1307"/>
    </row>
    <row r="280" spans="2:10" ht="15.75" customHeight="1">
      <c r="B280" s="1307"/>
      <c r="D280" s="1307"/>
      <c r="E280" s="1307"/>
      <c r="F280" s="1307"/>
      <c r="G280" s="1340"/>
      <c r="H280" s="1340"/>
      <c r="I280" s="1309"/>
      <c r="J280" s="1307"/>
    </row>
    <row r="281" spans="2:10" ht="15.75" customHeight="1">
      <c r="B281" s="1307"/>
      <c r="D281" s="1307"/>
      <c r="E281" s="1307"/>
      <c r="F281" s="1307"/>
      <c r="G281" s="1340"/>
      <c r="H281" s="1340"/>
      <c r="I281" s="1309"/>
      <c r="J281" s="1307"/>
    </row>
    <row r="282" spans="2:10" ht="15.75" customHeight="1">
      <c r="B282" s="1307"/>
      <c r="D282" s="1307"/>
      <c r="E282" s="1307"/>
      <c r="F282" s="1307"/>
      <c r="G282" s="1340"/>
      <c r="H282" s="1340"/>
      <c r="I282" s="1309"/>
      <c r="J282" s="1307"/>
    </row>
    <row r="283" spans="2:10" ht="15.75" customHeight="1">
      <c r="B283" s="1307"/>
      <c r="D283" s="1307"/>
      <c r="E283" s="1307"/>
      <c r="F283" s="1307"/>
      <c r="G283" s="1340"/>
      <c r="H283" s="1340"/>
      <c r="I283" s="1309"/>
      <c r="J283" s="1307"/>
    </row>
    <row r="284" spans="2:10" ht="15.75" customHeight="1">
      <c r="B284" s="1307"/>
      <c r="D284" s="1307"/>
      <c r="E284" s="1307"/>
      <c r="F284" s="1307"/>
      <c r="G284" s="1340"/>
      <c r="H284" s="1340"/>
      <c r="I284" s="1309"/>
      <c r="J284" s="1307"/>
    </row>
    <row r="285" spans="2:10" ht="15.75" customHeight="1">
      <c r="B285" s="1307"/>
      <c r="D285" s="1307"/>
      <c r="E285" s="1307"/>
      <c r="F285" s="1307"/>
      <c r="G285" s="1340"/>
      <c r="H285" s="1340"/>
      <c r="I285" s="1309"/>
      <c r="J285" s="1307"/>
    </row>
    <row r="286" spans="2:10" ht="15.75" customHeight="1">
      <c r="B286" s="1307"/>
      <c r="D286" s="1307"/>
      <c r="E286" s="1307"/>
      <c r="F286" s="1307"/>
      <c r="G286" s="1340"/>
      <c r="H286" s="1340"/>
      <c r="I286" s="1309"/>
      <c r="J286" s="1307"/>
    </row>
    <row r="287" spans="2:10" ht="15.75" customHeight="1">
      <c r="B287" s="1307"/>
      <c r="D287" s="1307"/>
      <c r="E287" s="1307"/>
      <c r="F287" s="1307"/>
      <c r="G287" s="1340"/>
      <c r="H287" s="1340"/>
      <c r="I287" s="1309"/>
      <c r="J287" s="1307"/>
    </row>
    <row r="288" spans="2:10" ht="15.75" customHeight="1">
      <c r="B288" s="1307"/>
      <c r="D288" s="1307"/>
      <c r="E288" s="1307"/>
      <c r="F288" s="1307"/>
      <c r="G288" s="1340"/>
      <c r="H288" s="1340"/>
      <c r="I288" s="1309"/>
      <c r="J288" s="1307"/>
    </row>
    <row r="289" spans="2:10" ht="15.75" customHeight="1">
      <c r="B289" s="1307"/>
      <c r="D289" s="1307"/>
      <c r="E289" s="1307"/>
      <c r="F289" s="1307"/>
      <c r="G289" s="1340"/>
      <c r="H289" s="1340"/>
      <c r="I289" s="1309"/>
      <c r="J289" s="1307"/>
    </row>
    <row r="290" spans="2:10" ht="15.75" customHeight="1">
      <c r="B290" s="1307"/>
      <c r="D290" s="1307"/>
      <c r="E290" s="1307"/>
      <c r="F290" s="1307"/>
      <c r="G290" s="1340"/>
      <c r="H290" s="1340"/>
      <c r="I290" s="1309"/>
      <c r="J290" s="1307"/>
    </row>
    <row r="291" spans="2:10" ht="15.75" customHeight="1">
      <c r="B291" s="1307"/>
      <c r="D291" s="1307"/>
      <c r="E291" s="1307"/>
      <c r="F291" s="1307"/>
      <c r="G291" s="1340"/>
      <c r="H291" s="1340"/>
      <c r="I291" s="1309"/>
      <c r="J291" s="1307"/>
    </row>
    <row r="292" spans="2:10" ht="15.75" customHeight="1">
      <c r="B292" s="1307"/>
      <c r="D292" s="1307"/>
      <c r="E292" s="1307"/>
      <c r="F292" s="1307"/>
      <c r="G292" s="1340"/>
      <c r="H292" s="1340"/>
      <c r="I292" s="1309"/>
      <c r="J292" s="1307"/>
    </row>
    <row r="293" spans="2:10" ht="15.75" customHeight="1">
      <c r="B293" s="1307"/>
      <c r="D293" s="1307"/>
      <c r="E293" s="1307"/>
      <c r="F293" s="1307"/>
      <c r="G293" s="1340"/>
      <c r="H293" s="1340"/>
      <c r="I293" s="1309"/>
      <c r="J293" s="1307"/>
    </row>
    <row r="294" spans="2:10" ht="15.75" customHeight="1">
      <c r="B294" s="1307"/>
      <c r="D294" s="1307"/>
      <c r="E294" s="1307"/>
      <c r="F294" s="1307"/>
      <c r="G294" s="1340"/>
      <c r="H294" s="1340"/>
      <c r="I294" s="1309"/>
      <c r="J294" s="1307"/>
    </row>
    <row r="295" spans="2:10" ht="15.75" customHeight="1">
      <c r="B295" s="1307"/>
      <c r="D295" s="1307"/>
      <c r="E295" s="1307"/>
      <c r="F295" s="1307"/>
      <c r="G295" s="1340"/>
      <c r="H295" s="1340"/>
      <c r="I295" s="1309"/>
      <c r="J295" s="1307"/>
    </row>
    <row r="296" spans="2:10" ht="15.75" customHeight="1">
      <c r="B296" s="1307"/>
      <c r="D296" s="1307"/>
      <c r="E296" s="1307"/>
      <c r="F296" s="1307"/>
      <c r="G296" s="1340"/>
      <c r="H296" s="1340"/>
      <c r="I296" s="1309"/>
      <c r="J296" s="1307"/>
    </row>
    <row r="297" spans="2:10" ht="15.75" customHeight="1">
      <c r="B297" s="1307"/>
      <c r="D297" s="1307"/>
      <c r="E297" s="1307"/>
      <c r="F297" s="1307"/>
      <c r="G297" s="1340"/>
      <c r="H297" s="1340"/>
      <c r="I297" s="1309"/>
      <c r="J297" s="1307"/>
    </row>
    <row r="298" spans="2:10" ht="15.75" customHeight="1">
      <c r="B298" s="1307"/>
      <c r="D298" s="1307"/>
      <c r="E298" s="1307"/>
      <c r="F298" s="1307"/>
      <c r="G298" s="1340"/>
      <c r="H298" s="1340"/>
      <c r="I298" s="1309"/>
      <c r="J298" s="1307"/>
    </row>
    <row r="299" spans="2:10" ht="15.75" customHeight="1">
      <c r="B299" s="1307"/>
      <c r="D299" s="1307"/>
      <c r="E299" s="1307"/>
      <c r="F299" s="1307"/>
      <c r="G299" s="1340"/>
      <c r="H299" s="1340"/>
      <c r="I299" s="1309"/>
      <c r="J299" s="1307"/>
    </row>
    <row r="300" spans="2:10" ht="15.75" customHeight="1">
      <c r="B300" s="1307"/>
      <c r="D300" s="1307"/>
      <c r="E300" s="1307"/>
      <c r="F300" s="1307"/>
      <c r="G300" s="1340"/>
      <c r="H300" s="1340"/>
      <c r="I300" s="1309"/>
      <c r="J300" s="1307"/>
    </row>
    <row r="301" spans="2:10" ht="15.75" customHeight="1">
      <c r="B301" s="1307"/>
      <c r="D301" s="1307"/>
      <c r="E301" s="1307"/>
      <c r="F301" s="1307"/>
      <c r="G301" s="1340"/>
      <c r="H301" s="1340"/>
      <c r="I301" s="1309"/>
      <c r="J301" s="1307"/>
    </row>
    <row r="302" spans="2:10" ht="15.75" customHeight="1">
      <c r="B302" s="1307"/>
      <c r="D302" s="1307"/>
      <c r="E302" s="1307"/>
      <c r="F302" s="1307"/>
      <c r="G302" s="1340"/>
      <c r="H302" s="1340"/>
      <c r="I302" s="1309"/>
      <c r="J302" s="1307"/>
    </row>
    <row r="303" spans="2:10" ht="15.75" customHeight="1">
      <c r="B303" s="1307"/>
      <c r="D303" s="1307"/>
      <c r="E303" s="1307"/>
      <c r="F303" s="1307"/>
      <c r="G303" s="1340"/>
      <c r="H303" s="1340"/>
      <c r="I303" s="1309"/>
      <c r="J303" s="1307"/>
    </row>
    <row r="304" spans="2:10" ht="15.75" customHeight="1">
      <c r="B304" s="1307"/>
      <c r="D304" s="1307"/>
      <c r="E304" s="1307"/>
      <c r="F304" s="1307"/>
      <c r="G304" s="1340"/>
      <c r="H304" s="1340"/>
      <c r="I304" s="1309"/>
      <c r="J304" s="1307"/>
    </row>
    <row r="305" spans="2:10" ht="15.75" customHeight="1">
      <c r="B305" s="1307"/>
      <c r="D305" s="1307"/>
      <c r="E305" s="1307"/>
      <c r="F305" s="1307"/>
      <c r="G305" s="1340"/>
      <c r="H305" s="1340"/>
      <c r="I305" s="1309"/>
      <c r="J305" s="1307"/>
    </row>
    <row r="306" spans="2:10" ht="15.75" customHeight="1">
      <c r="B306" s="1307"/>
      <c r="D306" s="1307"/>
      <c r="E306" s="1307"/>
      <c r="F306" s="1307"/>
      <c r="G306" s="1340"/>
      <c r="H306" s="1340"/>
      <c r="I306" s="1309"/>
      <c r="J306" s="1307"/>
    </row>
    <row r="307" spans="2:10" ht="15.75" customHeight="1">
      <c r="B307" s="1307"/>
      <c r="D307" s="1307"/>
      <c r="E307" s="1307"/>
      <c r="F307" s="1307"/>
      <c r="G307" s="1340"/>
      <c r="H307" s="1340"/>
      <c r="I307" s="1309"/>
      <c r="J307" s="1307"/>
    </row>
    <row r="308" spans="2:10" ht="15.75" customHeight="1">
      <c r="B308" s="1307"/>
      <c r="D308" s="1307"/>
      <c r="E308" s="1307"/>
      <c r="F308" s="1307"/>
      <c r="G308" s="1340"/>
      <c r="H308" s="1340"/>
      <c r="I308" s="1309"/>
      <c r="J308" s="1307"/>
    </row>
    <row r="309" spans="2:10" ht="15.75" customHeight="1">
      <c r="B309" s="1307"/>
      <c r="D309" s="1307"/>
      <c r="E309" s="1307"/>
      <c r="F309" s="1307"/>
      <c r="G309" s="1340"/>
      <c r="H309" s="1340"/>
      <c r="I309" s="1309"/>
      <c r="J309" s="1307"/>
    </row>
    <row r="310" spans="2:10" ht="15.75" customHeight="1">
      <c r="B310" s="1307"/>
      <c r="D310" s="1307"/>
      <c r="E310" s="1307"/>
      <c r="F310" s="1307"/>
      <c r="G310" s="1340"/>
      <c r="H310" s="1340"/>
      <c r="I310" s="1309"/>
      <c r="J310" s="1307"/>
    </row>
    <row r="311" spans="2:10" ht="15.75" customHeight="1">
      <c r="B311" s="1307"/>
      <c r="D311" s="1307"/>
      <c r="E311" s="1307"/>
      <c r="F311" s="1307"/>
      <c r="G311" s="1340"/>
      <c r="H311" s="1340"/>
      <c r="I311" s="1309"/>
      <c r="J311" s="1307"/>
    </row>
    <row r="312" spans="2:10" ht="15.75" customHeight="1">
      <c r="B312" s="1307"/>
      <c r="D312" s="1307"/>
      <c r="E312" s="1307"/>
      <c r="F312" s="1307"/>
      <c r="G312" s="1340"/>
      <c r="H312" s="1340"/>
      <c r="I312" s="1309"/>
      <c r="J312" s="1307"/>
    </row>
    <row r="313" spans="2:10" ht="15.75" customHeight="1">
      <c r="B313" s="1307"/>
      <c r="D313" s="1307"/>
      <c r="E313" s="1307"/>
      <c r="F313" s="1307"/>
      <c r="G313" s="1340"/>
      <c r="H313" s="1340"/>
      <c r="I313" s="1309"/>
      <c r="J313" s="1307"/>
    </row>
    <row r="314" spans="2:10" ht="15.75" customHeight="1">
      <c r="B314" s="1307"/>
      <c r="D314" s="1307"/>
      <c r="E314" s="1307"/>
      <c r="F314" s="1307"/>
      <c r="G314" s="1340"/>
      <c r="H314" s="1340"/>
      <c r="I314" s="1309"/>
      <c r="J314" s="1307"/>
    </row>
    <row r="315" spans="2:10" ht="15.75" customHeight="1">
      <c r="B315" s="1307"/>
      <c r="D315" s="1307"/>
      <c r="E315" s="1307"/>
      <c r="F315" s="1307"/>
      <c r="G315" s="1340"/>
      <c r="H315" s="1340"/>
      <c r="I315" s="1309"/>
      <c r="J315" s="1307"/>
    </row>
    <row r="316" spans="2:10" ht="15.75" customHeight="1">
      <c r="B316" s="1307"/>
      <c r="D316" s="1307"/>
      <c r="E316" s="1307"/>
      <c r="F316" s="1307"/>
      <c r="G316" s="1340"/>
      <c r="H316" s="1340"/>
      <c r="I316" s="1309"/>
      <c r="J316" s="1307"/>
    </row>
    <row r="317" spans="2:10" ht="15.75" customHeight="1">
      <c r="B317" s="1307"/>
      <c r="D317" s="1307"/>
      <c r="E317" s="1307"/>
      <c r="F317" s="1307"/>
      <c r="G317" s="1340"/>
      <c r="H317" s="1340"/>
      <c r="I317" s="1309"/>
      <c r="J317" s="1307"/>
    </row>
    <row r="318" spans="2:10" ht="15.75" customHeight="1">
      <c r="B318" s="1307"/>
      <c r="D318" s="1307"/>
      <c r="E318" s="1307"/>
      <c r="F318" s="1307"/>
      <c r="G318" s="1340"/>
      <c r="H318" s="1340"/>
      <c r="I318" s="1309"/>
      <c r="J318" s="1307"/>
    </row>
    <row r="319" spans="2:10" ht="15.75" customHeight="1">
      <c r="B319" s="1307"/>
      <c r="D319" s="1307"/>
      <c r="E319" s="1307"/>
      <c r="F319" s="1307"/>
      <c r="G319" s="1340"/>
      <c r="H319" s="1340"/>
      <c r="I319" s="1309"/>
      <c r="J319" s="1307"/>
    </row>
    <row r="320" spans="2:10" ht="15.75" customHeight="1">
      <c r="B320" s="1307"/>
      <c r="D320" s="1307"/>
      <c r="E320" s="1307"/>
      <c r="F320" s="1307"/>
      <c r="G320" s="1340"/>
      <c r="H320" s="1340"/>
      <c r="I320" s="1309"/>
      <c r="J320" s="1307"/>
    </row>
    <row r="321" spans="2:10" ht="15.75" customHeight="1">
      <c r="B321" s="1307"/>
      <c r="D321" s="1307"/>
      <c r="E321" s="1307"/>
      <c r="F321" s="1307"/>
      <c r="G321" s="1340"/>
      <c r="H321" s="1340"/>
      <c r="I321" s="1309"/>
      <c r="J321" s="1307"/>
    </row>
    <row r="322" spans="2:10" ht="15.75" customHeight="1">
      <c r="B322" s="1307"/>
      <c r="D322" s="1307"/>
      <c r="E322" s="1307"/>
      <c r="F322" s="1307"/>
      <c r="G322" s="1340"/>
      <c r="H322" s="1340"/>
      <c r="I322" s="1309"/>
      <c r="J322" s="1307"/>
    </row>
    <row r="323" spans="2:10" ht="15.75" customHeight="1">
      <c r="B323" s="1307"/>
      <c r="D323" s="1307"/>
      <c r="E323" s="1307"/>
      <c r="F323" s="1307"/>
      <c r="G323" s="1340"/>
      <c r="H323" s="1340"/>
      <c r="I323" s="1309"/>
      <c r="J323" s="1307"/>
    </row>
    <row r="324" spans="2:10" ht="15.75" customHeight="1">
      <c r="B324" s="1307"/>
      <c r="D324" s="1307"/>
      <c r="E324" s="1307"/>
      <c r="F324" s="1307"/>
      <c r="G324" s="1340"/>
      <c r="H324" s="1340"/>
      <c r="I324" s="1309"/>
      <c r="J324" s="1307"/>
    </row>
    <row r="325" spans="2:10" ht="15.75" customHeight="1">
      <c r="B325" s="1307"/>
      <c r="D325" s="1307"/>
      <c r="E325" s="1307"/>
      <c r="F325" s="1307"/>
      <c r="G325" s="1340"/>
      <c r="H325" s="1340"/>
      <c r="I325" s="1309"/>
      <c r="J325" s="1307"/>
    </row>
    <row r="326" spans="2:10" ht="15.75" customHeight="1">
      <c r="B326" s="1307"/>
      <c r="D326" s="1307"/>
      <c r="E326" s="1307"/>
      <c r="F326" s="1307"/>
      <c r="G326" s="1340"/>
      <c r="H326" s="1340"/>
      <c r="I326" s="1309"/>
      <c r="J326" s="1307"/>
    </row>
    <row r="327" spans="2:10" ht="15.75" customHeight="1">
      <c r="B327" s="1307"/>
      <c r="D327" s="1307"/>
      <c r="E327" s="1307"/>
      <c r="F327" s="1307"/>
      <c r="G327" s="1340"/>
      <c r="H327" s="1340"/>
      <c r="I327" s="1309"/>
      <c r="J327" s="1307"/>
    </row>
    <row r="328" spans="2:10" ht="15.75" customHeight="1">
      <c r="B328" s="1307"/>
      <c r="D328" s="1307"/>
      <c r="E328" s="1307"/>
      <c r="F328" s="1307"/>
      <c r="G328" s="1340"/>
      <c r="H328" s="1340"/>
      <c r="I328" s="1309"/>
      <c r="J328" s="1307"/>
    </row>
    <row r="329" spans="2:10" ht="15.75" customHeight="1">
      <c r="B329" s="1307"/>
      <c r="D329" s="1307"/>
      <c r="E329" s="1307"/>
      <c r="F329" s="1307"/>
      <c r="G329" s="1340"/>
      <c r="H329" s="1340"/>
      <c r="I329" s="1309"/>
      <c r="J329" s="1307"/>
    </row>
    <row r="330" spans="2:10" ht="15.75" customHeight="1">
      <c r="B330" s="1307"/>
      <c r="D330" s="1307"/>
      <c r="E330" s="1307"/>
      <c r="F330" s="1307"/>
      <c r="G330" s="1340"/>
      <c r="H330" s="1340"/>
      <c r="I330" s="1309"/>
      <c r="J330" s="1307"/>
    </row>
    <row r="331" spans="2:10" ht="15.75" customHeight="1">
      <c r="B331" s="1307"/>
      <c r="D331" s="1307"/>
      <c r="E331" s="1307"/>
      <c r="F331" s="1307"/>
      <c r="G331" s="1340"/>
      <c r="H331" s="1340"/>
      <c r="I331" s="1309"/>
      <c r="J331" s="1307"/>
    </row>
    <row r="332" spans="2:10" ht="15.75" customHeight="1">
      <c r="B332" s="1307"/>
      <c r="D332" s="1307"/>
      <c r="E332" s="1307"/>
      <c r="F332" s="1307"/>
      <c r="G332" s="1340"/>
      <c r="H332" s="1340"/>
      <c r="I332" s="1309"/>
      <c r="J332" s="1307"/>
    </row>
    <row r="333" spans="2:10" ht="15.75" customHeight="1">
      <c r="B333" s="1307"/>
      <c r="D333" s="1307"/>
      <c r="E333" s="1307"/>
      <c r="F333" s="1307"/>
      <c r="G333" s="1340"/>
      <c r="H333" s="1340"/>
      <c r="I333" s="1309"/>
      <c r="J333" s="1307"/>
    </row>
    <row r="334" spans="2:10" ht="15.75" customHeight="1">
      <c r="B334" s="1307"/>
      <c r="D334" s="1307"/>
      <c r="E334" s="1307"/>
      <c r="F334" s="1307"/>
      <c r="G334" s="1340"/>
      <c r="H334" s="1340"/>
      <c r="I334" s="1309"/>
      <c r="J334" s="1307"/>
    </row>
    <row r="335" spans="2:10" ht="15.75" customHeight="1">
      <c r="B335" s="1307"/>
      <c r="D335" s="1307"/>
      <c r="E335" s="1307"/>
      <c r="F335" s="1307"/>
      <c r="G335" s="1340"/>
      <c r="H335" s="1340"/>
      <c r="I335" s="1309"/>
      <c r="J335" s="1307"/>
    </row>
    <row r="336" spans="2:10" ht="15.75" customHeight="1">
      <c r="B336" s="1307"/>
      <c r="D336" s="1307"/>
      <c r="E336" s="1307"/>
      <c r="F336" s="1307"/>
      <c r="G336" s="1340"/>
      <c r="H336" s="1340"/>
      <c r="I336" s="1309"/>
      <c r="J336" s="1307"/>
    </row>
    <row r="337" spans="2:10" ht="15.75" customHeight="1">
      <c r="B337" s="1307"/>
      <c r="D337" s="1307"/>
      <c r="E337" s="1307"/>
      <c r="F337" s="1307"/>
      <c r="G337" s="1340"/>
      <c r="H337" s="1340"/>
      <c r="I337" s="1309"/>
      <c r="J337" s="1307"/>
    </row>
    <row r="338" spans="2:10" ht="15.75" customHeight="1">
      <c r="B338" s="1307"/>
      <c r="D338" s="1307"/>
      <c r="E338" s="1307"/>
      <c r="F338" s="1307"/>
      <c r="G338" s="1340"/>
      <c r="H338" s="1340"/>
      <c r="I338" s="1309"/>
      <c r="J338" s="1307"/>
    </row>
    <row r="339" spans="2:10" ht="15.75" customHeight="1">
      <c r="B339" s="1307"/>
      <c r="D339" s="1307"/>
      <c r="E339" s="1307"/>
      <c r="F339" s="1307"/>
      <c r="G339" s="1340"/>
      <c r="H339" s="1340"/>
      <c r="I339" s="1309"/>
      <c r="J339" s="1307"/>
    </row>
    <row r="340" spans="2:10" ht="15.75" customHeight="1">
      <c r="B340" s="1307"/>
      <c r="D340" s="1307"/>
      <c r="E340" s="1307"/>
      <c r="F340" s="1307"/>
      <c r="G340" s="1340"/>
      <c r="H340" s="1340"/>
      <c r="I340" s="1309"/>
      <c r="J340" s="1307"/>
    </row>
    <row r="341" spans="2:10" ht="15.75" customHeight="1">
      <c r="B341" s="1307"/>
      <c r="D341" s="1307"/>
      <c r="E341" s="1307"/>
      <c r="F341" s="1307"/>
      <c r="G341" s="1340"/>
      <c r="H341" s="1340"/>
      <c r="I341" s="1309"/>
      <c r="J341" s="1307"/>
    </row>
    <row r="342" spans="2:10" ht="15.75" customHeight="1">
      <c r="B342" s="1307"/>
      <c r="D342" s="1307"/>
      <c r="E342" s="1307"/>
      <c r="F342" s="1307"/>
      <c r="G342" s="1340"/>
      <c r="H342" s="1340"/>
      <c r="I342" s="1309"/>
      <c r="J342" s="1307"/>
    </row>
    <row r="343" spans="2:10" ht="15.75" customHeight="1">
      <c r="B343" s="1307"/>
      <c r="D343" s="1307"/>
      <c r="E343" s="1307"/>
      <c r="F343" s="1307"/>
      <c r="G343" s="1340"/>
      <c r="H343" s="1340"/>
      <c r="I343" s="1309"/>
      <c r="J343" s="1307"/>
    </row>
    <row r="344" spans="2:10" ht="15.75" customHeight="1">
      <c r="B344" s="1307"/>
      <c r="D344" s="1307"/>
      <c r="E344" s="1307"/>
      <c r="F344" s="1307"/>
      <c r="G344" s="1340"/>
      <c r="H344" s="1340"/>
      <c r="I344" s="1309"/>
      <c r="J344" s="1307"/>
    </row>
    <row r="345" spans="2:10" ht="15.75" customHeight="1">
      <c r="B345" s="1307"/>
      <c r="D345" s="1307"/>
      <c r="E345" s="1307"/>
      <c r="F345" s="1307"/>
      <c r="G345" s="1340"/>
      <c r="H345" s="1340"/>
      <c r="I345" s="1309"/>
      <c r="J345" s="1307"/>
    </row>
    <row r="346" spans="2:10" ht="15.75" customHeight="1">
      <c r="B346" s="1307"/>
      <c r="D346" s="1307"/>
      <c r="E346" s="1307"/>
      <c r="F346" s="1307"/>
      <c r="G346" s="1340"/>
      <c r="H346" s="1340"/>
      <c r="I346" s="1309"/>
      <c r="J346" s="1307"/>
    </row>
    <row r="347" spans="2:10" ht="15.75" customHeight="1">
      <c r="B347" s="1307"/>
      <c r="D347" s="1307"/>
      <c r="E347" s="1307"/>
      <c r="F347" s="1307"/>
      <c r="G347" s="1340"/>
      <c r="H347" s="1340"/>
      <c r="I347" s="1309"/>
      <c r="J347" s="1307"/>
    </row>
    <row r="348" spans="2:10" ht="15.75" customHeight="1">
      <c r="B348" s="1307"/>
      <c r="D348" s="1307"/>
      <c r="E348" s="1307"/>
      <c r="F348" s="1307"/>
      <c r="G348" s="1340"/>
      <c r="H348" s="1340"/>
      <c r="I348" s="1309"/>
      <c r="J348" s="1307"/>
    </row>
    <row r="349" spans="2:10" ht="15.75" customHeight="1">
      <c r="B349" s="1307"/>
      <c r="D349" s="1307"/>
      <c r="E349" s="1307"/>
      <c r="F349" s="1307"/>
      <c r="G349" s="1340"/>
      <c r="H349" s="1340"/>
      <c r="I349" s="1309"/>
      <c r="J349" s="1307"/>
    </row>
    <row r="350" spans="2:10" ht="15.75" customHeight="1">
      <c r="B350" s="1307"/>
      <c r="D350" s="1307"/>
      <c r="E350" s="1307"/>
      <c r="F350" s="1307"/>
      <c r="G350" s="1340"/>
      <c r="H350" s="1340"/>
      <c r="I350" s="1309"/>
      <c r="J350" s="1307"/>
    </row>
    <row r="351" spans="2:10" ht="15.75" customHeight="1">
      <c r="B351" s="1307"/>
      <c r="D351" s="1307"/>
      <c r="E351" s="1307"/>
      <c r="F351" s="1307"/>
      <c r="G351" s="1340"/>
      <c r="H351" s="1340"/>
      <c r="I351" s="1309"/>
      <c r="J351" s="1307"/>
    </row>
    <row r="352" spans="2:10" ht="15.75" customHeight="1">
      <c r="B352" s="1307"/>
      <c r="D352" s="1307"/>
      <c r="E352" s="1307"/>
      <c r="F352" s="1307"/>
      <c r="G352" s="1340"/>
      <c r="H352" s="1340"/>
      <c r="I352" s="1309"/>
      <c r="J352" s="1307"/>
    </row>
    <row r="353" spans="2:10" ht="15.75" customHeight="1">
      <c r="B353" s="1307"/>
      <c r="D353" s="1307"/>
      <c r="E353" s="1307"/>
      <c r="F353" s="1307"/>
      <c r="G353" s="1340"/>
      <c r="H353" s="1340"/>
      <c r="I353" s="1309"/>
      <c r="J353" s="1307"/>
    </row>
    <row r="354" spans="2:10" ht="15.75" customHeight="1">
      <c r="B354" s="1307"/>
      <c r="D354" s="1307"/>
      <c r="E354" s="1307"/>
      <c r="F354" s="1307"/>
      <c r="G354" s="1340"/>
      <c r="H354" s="1340"/>
      <c r="I354" s="1309"/>
      <c r="J354" s="1307"/>
    </row>
    <row r="355" spans="2:10" ht="15.75" customHeight="1">
      <c r="B355" s="1307"/>
      <c r="D355" s="1307"/>
      <c r="E355" s="1307"/>
      <c r="F355" s="1307"/>
      <c r="G355" s="1340"/>
      <c r="H355" s="1340"/>
      <c r="I355" s="1309"/>
      <c r="J355" s="1307"/>
    </row>
    <row r="356" spans="2:10" ht="15.75" customHeight="1">
      <c r="B356" s="1307"/>
      <c r="D356" s="1307"/>
      <c r="E356" s="1307"/>
      <c r="F356" s="1307"/>
      <c r="G356" s="1340"/>
      <c r="H356" s="1340"/>
      <c r="I356" s="1309"/>
      <c r="J356" s="1307"/>
    </row>
    <row r="357" spans="2:10" ht="15.75" customHeight="1">
      <c r="B357" s="1307"/>
      <c r="D357" s="1307"/>
      <c r="E357" s="1307"/>
      <c r="F357" s="1307"/>
      <c r="G357" s="1340"/>
      <c r="H357" s="1340"/>
      <c r="I357" s="1309"/>
      <c r="J357" s="1307"/>
    </row>
    <row r="358" spans="2:10" ht="15.75" customHeight="1">
      <c r="B358" s="1307"/>
      <c r="D358" s="1307"/>
      <c r="E358" s="1307"/>
      <c r="F358" s="1307"/>
      <c r="G358" s="1340"/>
      <c r="H358" s="1340"/>
      <c r="I358" s="1309"/>
      <c r="J358" s="1307"/>
    </row>
    <row r="359" spans="2:10" ht="15.75" customHeight="1">
      <c r="B359" s="1307"/>
      <c r="D359" s="1307"/>
      <c r="E359" s="1307"/>
      <c r="F359" s="1307"/>
      <c r="G359" s="1340"/>
      <c r="H359" s="1340"/>
      <c r="I359" s="1309"/>
      <c r="J359" s="1307"/>
    </row>
    <row r="360" spans="2:10" ht="15.75" customHeight="1">
      <c r="B360" s="1307"/>
      <c r="D360" s="1307"/>
      <c r="E360" s="1307"/>
      <c r="F360" s="1307"/>
      <c r="G360" s="1340"/>
      <c r="H360" s="1340"/>
      <c r="I360" s="1309"/>
      <c r="J360" s="1307"/>
    </row>
    <row r="361" spans="2:10" ht="15.75" customHeight="1">
      <c r="B361" s="1307"/>
      <c r="D361" s="1307"/>
      <c r="E361" s="1307"/>
      <c r="F361" s="1307"/>
      <c r="G361" s="1340"/>
      <c r="H361" s="1340"/>
      <c r="I361" s="1309"/>
      <c r="J361" s="1307"/>
    </row>
    <row r="362" spans="2:10" ht="15.75" customHeight="1">
      <c r="B362" s="1307"/>
      <c r="D362" s="1307"/>
      <c r="E362" s="1307"/>
      <c r="F362" s="1307"/>
      <c r="G362" s="1340"/>
      <c r="H362" s="1340"/>
      <c r="I362" s="1309"/>
      <c r="J362" s="1307"/>
    </row>
    <row r="363" spans="2:10" ht="15.75" customHeight="1">
      <c r="B363" s="1307"/>
      <c r="D363" s="1307"/>
      <c r="E363" s="1307"/>
      <c r="F363" s="1307"/>
      <c r="G363" s="1340"/>
      <c r="H363" s="1340"/>
      <c r="I363" s="1309"/>
      <c r="J363" s="1307"/>
    </row>
    <row r="364" spans="2:10" ht="15.75" customHeight="1">
      <c r="B364" s="1307"/>
      <c r="D364" s="1307"/>
      <c r="E364" s="1307"/>
      <c r="F364" s="1307"/>
      <c r="G364" s="1340"/>
      <c r="H364" s="1340"/>
      <c r="I364" s="1309"/>
      <c r="J364" s="1307"/>
    </row>
    <row r="365" spans="2:10" ht="15.75" customHeight="1">
      <c r="B365" s="1307"/>
      <c r="D365" s="1307"/>
      <c r="E365" s="1307"/>
      <c r="F365" s="1307"/>
      <c r="G365" s="1340"/>
      <c r="H365" s="1340"/>
      <c r="I365" s="1309"/>
      <c r="J365" s="1307"/>
    </row>
    <row r="366" spans="2:10" ht="15.75" customHeight="1">
      <c r="B366" s="1307"/>
      <c r="D366" s="1307"/>
      <c r="E366" s="1307"/>
      <c r="F366" s="1307"/>
      <c r="G366" s="1340"/>
      <c r="H366" s="1340"/>
      <c r="I366" s="1309"/>
      <c r="J366" s="1307"/>
    </row>
    <row r="367" spans="2:10" ht="15.75" customHeight="1">
      <c r="B367" s="1307"/>
      <c r="D367" s="1307"/>
      <c r="E367" s="1307"/>
      <c r="F367" s="1307"/>
      <c r="G367" s="1340"/>
      <c r="H367" s="1340"/>
      <c r="I367" s="1309"/>
      <c r="J367" s="1307"/>
    </row>
    <row r="368" spans="2:10" ht="15.75" customHeight="1">
      <c r="B368" s="1307"/>
      <c r="D368" s="1307"/>
      <c r="E368" s="1307"/>
      <c r="F368" s="1307"/>
      <c r="G368" s="1340"/>
      <c r="H368" s="1340"/>
      <c r="I368" s="1309"/>
      <c r="J368" s="1307"/>
    </row>
    <row r="369" spans="2:10" ht="15.75" customHeight="1">
      <c r="B369" s="1307"/>
      <c r="D369" s="1307"/>
      <c r="E369" s="1307"/>
      <c r="F369" s="1307"/>
      <c r="G369" s="1340"/>
      <c r="H369" s="1340"/>
      <c r="I369" s="1309"/>
      <c r="J369" s="1307"/>
    </row>
    <row r="370" spans="2:10" ht="15.75" customHeight="1">
      <c r="B370" s="1307"/>
      <c r="D370" s="1307"/>
      <c r="E370" s="1307"/>
      <c r="F370" s="1307"/>
      <c r="G370" s="1340"/>
      <c r="H370" s="1340"/>
      <c r="I370" s="1309"/>
      <c r="J370" s="1307"/>
    </row>
    <row r="371" spans="2:10" ht="15.75" customHeight="1">
      <c r="B371" s="1307"/>
      <c r="D371" s="1307"/>
      <c r="E371" s="1307"/>
      <c r="F371" s="1307"/>
      <c r="G371" s="1340"/>
      <c r="H371" s="1340"/>
      <c r="I371" s="1309"/>
      <c r="J371" s="1307"/>
    </row>
    <row r="372" spans="2:10" ht="15.75" customHeight="1">
      <c r="B372" s="1307"/>
      <c r="D372" s="1307"/>
      <c r="E372" s="1307"/>
      <c r="F372" s="1307"/>
      <c r="G372" s="1340"/>
      <c r="H372" s="1340"/>
      <c r="I372" s="1309"/>
      <c r="J372" s="1307"/>
    </row>
    <row r="373" spans="2:10" ht="15.75" customHeight="1">
      <c r="B373" s="1307"/>
      <c r="D373" s="1307"/>
      <c r="E373" s="1307"/>
      <c r="F373" s="1307"/>
      <c r="G373" s="1340"/>
      <c r="H373" s="1340"/>
      <c r="I373" s="1309"/>
      <c r="J373" s="1307"/>
    </row>
    <row r="374" spans="2:10" ht="15.75" customHeight="1">
      <c r="B374" s="1307"/>
      <c r="D374" s="1307"/>
      <c r="E374" s="1307"/>
      <c r="F374" s="1307"/>
      <c r="G374" s="1340"/>
      <c r="H374" s="1340"/>
      <c r="I374" s="1309"/>
      <c r="J374" s="1307"/>
    </row>
    <row r="375" spans="2:10" ht="15.75" customHeight="1">
      <c r="B375" s="1307"/>
      <c r="D375" s="1307"/>
      <c r="E375" s="1307"/>
      <c r="F375" s="1307"/>
      <c r="G375" s="1340"/>
      <c r="H375" s="1340"/>
      <c r="I375" s="1309"/>
      <c r="J375" s="1307"/>
    </row>
    <row r="376" spans="2:10" ht="15.75" customHeight="1">
      <c r="B376" s="1307"/>
      <c r="D376" s="1307"/>
      <c r="E376" s="1307"/>
      <c r="F376" s="1307"/>
      <c r="G376" s="1340"/>
      <c r="H376" s="1340"/>
      <c r="I376" s="1309"/>
      <c r="J376" s="1307"/>
    </row>
    <row r="377" spans="2:10" ht="15.75" customHeight="1">
      <c r="B377" s="1307"/>
      <c r="D377" s="1307"/>
      <c r="E377" s="1307"/>
      <c r="F377" s="1307"/>
      <c r="G377" s="1340"/>
      <c r="H377" s="1340"/>
      <c r="I377" s="1309"/>
      <c r="J377" s="1307"/>
    </row>
    <row r="378" spans="2:10" ht="15.75" customHeight="1">
      <c r="B378" s="1307"/>
      <c r="D378" s="1307"/>
      <c r="E378" s="1307"/>
      <c r="F378" s="1307"/>
      <c r="G378" s="1340"/>
      <c r="H378" s="1340"/>
      <c r="I378" s="1309"/>
      <c r="J378" s="1307"/>
    </row>
    <row r="379" spans="2:10" ht="15.75" customHeight="1">
      <c r="B379" s="1307"/>
      <c r="D379" s="1307"/>
      <c r="E379" s="1307"/>
      <c r="F379" s="1307"/>
      <c r="G379" s="1340"/>
      <c r="H379" s="1340"/>
      <c r="I379" s="1309"/>
      <c r="J379" s="1307"/>
    </row>
    <row r="380" spans="2:10" ht="15.75" customHeight="1">
      <c r="B380" s="1307"/>
      <c r="D380" s="1307"/>
      <c r="E380" s="1307"/>
      <c r="F380" s="1307"/>
      <c r="G380" s="1340"/>
      <c r="H380" s="1340"/>
      <c r="I380" s="1309"/>
      <c r="J380" s="1307"/>
    </row>
    <row r="381" spans="2:10" ht="15.75" customHeight="1">
      <c r="B381" s="1307"/>
      <c r="D381" s="1307"/>
      <c r="E381" s="1307"/>
      <c r="F381" s="1307"/>
      <c r="G381" s="1340"/>
      <c r="H381" s="1340"/>
      <c r="I381" s="1309"/>
      <c r="J381" s="1307"/>
    </row>
    <row r="382" spans="2:10" ht="15.75" customHeight="1">
      <c r="B382" s="1307"/>
      <c r="D382" s="1307"/>
      <c r="E382" s="1307"/>
      <c r="F382" s="1307"/>
      <c r="G382" s="1340"/>
      <c r="H382" s="1340"/>
      <c r="I382" s="1309"/>
      <c r="J382" s="1307"/>
    </row>
    <row r="383" spans="2:10" ht="15.75" customHeight="1">
      <c r="B383" s="1307"/>
      <c r="D383" s="1307"/>
      <c r="E383" s="1307"/>
      <c r="F383" s="1307"/>
      <c r="G383" s="1340"/>
      <c r="H383" s="1340"/>
      <c r="I383" s="1309"/>
      <c r="J383" s="1307"/>
    </row>
    <row r="384" spans="2:10" ht="15.75" customHeight="1">
      <c r="B384" s="1307"/>
      <c r="D384" s="1307"/>
      <c r="E384" s="1307"/>
      <c r="F384" s="1307"/>
      <c r="G384" s="1340"/>
      <c r="H384" s="1340"/>
      <c r="I384" s="1309"/>
      <c r="J384" s="1307"/>
    </row>
    <row r="385" spans="2:10" ht="15.75" customHeight="1">
      <c r="B385" s="1307"/>
      <c r="D385" s="1307"/>
      <c r="E385" s="1307"/>
      <c r="F385" s="1307"/>
      <c r="G385" s="1340"/>
      <c r="H385" s="1340"/>
      <c r="I385" s="1309"/>
      <c r="J385" s="1307"/>
    </row>
    <row r="386" spans="2:10" ht="15.75" customHeight="1">
      <c r="B386" s="1307"/>
      <c r="D386" s="1307"/>
      <c r="E386" s="1307"/>
      <c r="F386" s="1307"/>
      <c r="G386" s="1340"/>
      <c r="H386" s="1340"/>
      <c r="I386" s="1309"/>
      <c r="J386" s="1307"/>
    </row>
    <row r="387" spans="2:10" ht="15.75" customHeight="1">
      <c r="B387" s="1307"/>
      <c r="D387" s="1307"/>
      <c r="E387" s="1307"/>
      <c r="F387" s="1307"/>
      <c r="G387" s="1340"/>
      <c r="H387" s="1340"/>
      <c r="I387" s="1309"/>
      <c r="J387" s="1307"/>
    </row>
    <row r="388" spans="2:10" ht="15.75" customHeight="1">
      <c r="B388" s="1307"/>
      <c r="D388" s="1307"/>
      <c r="E388" s="1307"/>
      <c r="F388" s="1307"/>
      <c r="G388" s="1340"/>
      <c r="H388" s="1340"/>
      <c r="I388" s="1309"/>
      <c r="J388" s="1307"/>
    </row>
    <row r="389" spans="2:10" ht="15.75" customHeight="1">
      <c r="B389" s="1307"/>
      <c r="D389" s="1307"/>
      <c r="E389" s="1307"/>
      <c r="F389" s="1307"/>
      <c r="G389" s="1340"/>
      <c r="H389" s="1340"/>
      <c r="I389" s="1309"/>
      <c r="J389" s="1307"/>
    </row>
    <row r="390" spans="2:10" ht="15.75" customHeight="1">
      <c r="B390" s="1307"/>
      <c r="D390" s="1307"/>
      <c r="E390" s="1307"/>
      <c r="F390" s="1307"/>
      <c r="G390" s="1340"/>
      <c r="H390" s="1340"/>
      <c r="I390" s="1309"/>
      <c r="J390" s="1307"/>
    </row>
    <row r="391" spans="2:10" ht="15.75" customHeight="1">
      <c r="B391" s="1307"/>
      <c r="D391" s="1307"/>
      <c r="E391" s="1307"/>
      <c r="F391" s="1307"/>
      <c r="G391" s="1340"/>
      <c r="H391" s="1340"/>
      <c r="I391" s="1309"/>
      <c r="J391" s="1307"/>
    </row>
    <row r="392" spans="2:10" ht="15.75" customHeight="1">
      <c r="B392" s="1307"/>
      <c r="D392" s="1307"/>
      <c r="E392" s="1307"/>
      <c r="F392" s="1307"/>
      <c r="G392" s="1340"/>
      <c r="H392" s="1340"/>
      <c r="I392" s="1309"/>
      <c r="J392" s="1307"/>
    </row>
    <row r="393" spans="2:10" ht="15.75" customHeight="1">
      <c r="B393" s="1307"/>
      <c r="D393" s="1307"/>
      <c r="E393" s="1307"/>
      <c r="F393" s="1307"/>
      <c r="G393" s="1340"/>
      <c r="H393" s="1340"/>
      <c r="I393" s="1309"/>
      <c r="J393" s="1307"/>
    </row>
    <row r="394" spans="2:10" ht="15.75" customHeight="1">
      <c r="B394" s="1307"/>
      <c r="D394" s="1307"/>
      <c r="E394" s="1307"/>
      <c r="F394" s="1307"/>
      <c r="G394" s="1340"/>
      <c r="H394" s="1340"/>
      <c r="I394" s="1309"/>
      <c r="J394" s="1307"/>
    </row>
    <row r="395" spans="2:10" ht="15.75" customHeight="1">
      <c r="B395" s="1307"/>
      <c r="D395" s="1307"/>
      <c r="E395" s="1307"/>
      <c r="F395" s="1307"/>
      <c r="G395" s="1340"/>
      <c r="H395" s="1340"/>
      <c r="I395" s="1309"/>
      <c r="J395" s="1307"/>
    </row>
    <row r="396" spans="2:10" ht="15.75" customHeight="1">
      <c r="B396" s="1307"/>
      <c r="D396" s="1307"/>
      <c r="E396" s="1307"/>
      <c r="F396" s="1307"/>
      <c r="G396" s="1340"/>
      <c r="H396" s="1340"/>
      <c r="I396" s="1309"/>
      <c r="J396" s="1307"/>
    </row>
    <row r="397" spans="2:10" ht="15.75" customHeight="1">
      <c r="B397" s="1307"/>
      <c r="D397" s="1307"/>
      <c r="E397" s="1307"/>
      <c r="F397" s="1307"/>
      <c r="G397" s="1340"/>
      <c r="H397" s="1340"/>
      <c r="I397" s="1309"/>
      <c r="J397" s="1307"/>
    </row>
    <row r="398" spans="2:10" ht="15.75" customHeight="1">
      <c r="B398" s="1307"/>
      <c r="D398" s="1307"/>
      <c r="E398" s="1307"/>
      <c r="F398" s="1307"/>
      <c r="G398" s="1340"/>
      <c r="H398" s="1340"/>
      <c r="I398" s="1309"/>
      <c r="J398" s="1307"/>
    </row>
    <row r="399" spans="2:10" ht="15.75" customHeight="1">
      <c r="B399" s="1307"/>
      <c r="D399" s="1307"/>
      <c r="E399" s="1307"/>
      <c r="F399" s="1307"/>
      <c r="G399" s="1340"/>
      <c r="H399" s="1340"/>
      <c r="I399" s="1309"/>
      <c r="J399" s="1307"/>
    </row>
    <row r="400" spans="2:10" ht="15.75" customHeight="1">
      <c r="B400" s="1307"/>
      <c r="D400" s="1307"/>
      <c r="E400" s="1307"/>
      <c r="F400" s="1307"/>
      <c r="G400" s="1340"/>
      <c r="H400" s="1340"/>
      <c r="I400" s="1309"/>
      <c r="J400" s="1307"/>
    </row>
    <row r="401" spans="2:10" ht="15.75" customHeight="1">
      <c r="B401" s="1307"/>
      <c r="D401" s="1307"/>
      <c r="E401" s="1307"/>
      <c r="F401" s="1307"/>
      <c r="G401" s="1340"/>
      <c r="H401" s="1340"/>
      <c r="I401" s="1309"/>
      <c r="J401" s="1307"/>
    </row>
    <row r="402" spans="2:10" ht="15.75" customHeight="1">
      <c r="B402" s="1307"/>
      <c r="D402" s="1307"/>
      <c r="E402" s="1307"/>
      <c r="F402" s="1307"/>
      <c r="G402" s="1340"/>
      <c r="H402" s="1340"/>
      <c r="I402" s="1309"/>
      <c r="J402" s="1307"/>
    </row>
    <row r="403" spans="2:10" ht="15.75" customHeight="1">
      <c r="B403" s="1307"/>
      <c r="D403" s="1307"/>
      <c r="E403" s="1307"/>
      <c r="F403" s="1307"/>
      <c r="G403" s="1340"/>
      <c r="H403" s="1340"/>
      <c r="I403" s="1309"/>
      <c r="J403" s="1307"/>
    </row>
    <row r="404" spans="2:10" ht="15.75" customHeight="1">
      <c r="B404" s="1307"/>
      <c r="D404" s="1307"/>
      <c r="E404" s="1307"/>
      <c r="F404" s="1307"/>
      <c r="G404" s="1340"/>
      <c r="H404" s="1340"/>
      <c r="I404" s="1309"/>
      <c r="J404" s="1307"/>
    </row>
    <row r="405" spans="2:10" ht="15.75" customHeight="1">
      <c r="B405" s="1307"/>
      <c r="D405" s="1307"/>
      <c r="E405" s="1307"/>
      <c r="F405" s="1307"/>
      <c r="G405" s="1340"/>
      <c r="H405" s="1340"/>
      <c r="I405" s="1309"/>
      <c r="J405" s="1307"/>
    </row>
    <row r="406" spans="2:10" ht="15.75" customHeight="1">
      <c r="B406" s="1307"/>
      <c r="D406" s="1307"/>
      <c r="E406" s="1307"/>
      <c r="F406" s="1307"/>
      <c r="G406" s="1340"/>
      <c r="H406" s="1340"/>
      <c r="I406" s="1309"/>
      <c r="J406" s="1307"/>
    </row>
    <row r="407" spans="2:10" ht="15.75" customHeight="1">
      <c r="B407" s="1307"/>
      <c r="D407" s="1307"/>
      <c r="E407" s="1307"/>
      <c r="F407" s="1307"/>
      <c r="G407" s="1340"/>
      <c r="H407" s="1340"/>
      <c r="I407" s="1309"/>
      <c r="J407" s="1307"/>
    </row>
    <row r="408" spans="2:10" ht="15.75" customHeight="1">
      <c r="B408" s="1307"/>
      <c r="D408" s="1307"/>
      <c r="E408" s="1307"/>
      <c r="F408" s="1307"/>
      <c r="G408" s="1340"/>
      <c r="H408" s="1340"/>
      <c r="I408" s="1309"/>
      <c r="J408" s="1307"/>
    </row>
    <row r="409" spans="2:10" ht="15.75" customHeight="1">
      <c r="B409" s="1307"/>
      <c r="D409" s="1307"/>
      <c r="E409" s="1307"/>
      <c r="F409" s="1307"/>
      <c r="G409" s="1340"/>
      <c r="H409" s="1340"/>
      <c r="I409" s="1309"/>
      <c r="J409" s="1307"/>
    </row>
    <row r="410" spans="2:10" ht="15.75" customHeight="1">
      <c r="B410" s="1307"/>
      <c r="D410" s="1307"/>
      <c r="E410" s="1307"/>
      <c r="F410" s="1307"/>
      <c r="G410" s="1340"/>
      <c r="H410" s="1340"/>
      <c r="I410" s="1309"/>
      <c r="J410" s="1307"/>
    </row>
    <row r="411" spans="2:10" ht="15.75" customHeight="1">
      <c r="B411" s="1307"/>
      <c r="D411" s="1307"/>
      <c r="E411" s="1307"/>
      <c r="F411" s="1307"/>
      <c r="G411" s="1340"/>
      <c r="H411" s="1340"/>
      <c r="I411" s="1309"/>
      <c r="J411" s="1307"/>
    </row>
    <row r="412" spans="2:10" ht="15.75" customHeight="1">
      <c r="B412" s="1307"/>
      <c r="D412" s="1307"/>
      <c r="E412" s="1307"/>
      <c r="F412" s="1307"/>
      <c r="G412" s="1340"/>
      <c r="H412" s="1340"/>
      <c r="I412" s="1309"/>
      <c r="J412" s="1307"/>
    </row>
    <row r="413" spans="2:10" ht="15.75" customHeight="1">
      <c r="B413" s="1307"/>
      <c r="D413" s="1307"/>
      <c r="E413" s="1307"/>
      <c r="F413" s="1307"/>
      <c r="G413" s="1340"/>
      <c r="H413" s="1340"/>
      <c r="I413" s="1309"/>
      <c r="J413" s="1307"/>
    </row>
    <row r="414" spans="2:10" ht="15.75" customHeight="1">
      <c r="B414" s="1307"/>
      <c r="D414" s="1307"/>
      <c r="E414" s="1307"/>
      <c r="F414" s="1307"/>
      <c r="G414" s="1340"/>
      <c r="H414" s="1340"/>
      <c r="I414" s="1309"/>
      <c r="J414" s="1307"/>
    </row>
    <row r="415" spans="2:10" ht="15.75" customHeight="1">
      <c r="B415" s="1307"/>
      <c r="D415" s="1307"/>
      <c r="E415" s="1307"/>
      <c r="F415" s="1307"/>
      <c r="G415" s="1340"/>
      <c r="H415" s="1340"/>
      <c r="I415" s="1309"/>
      <c r="J415" s="1307"/>
    </row>
    <row r="416" spans="2:10" ht="15.75" customHeight="1">
      <c r="B416" s="1307"/>
      <c r="D416" s="1307"/>
      <c r="E416" s="1307"/>
      <c r="F416" s="1307"/>
      <c r="G416" s="1340"/>
      <c r="H416" s="1340"/>
      <c r="I416" s="1309"/>
      <c r="J416" s="1307"/>
    </row>
    <row r="417" spans="2:10" ht="15.75" customHeight="1">
      <c r="B417" s="1307"/>
      <c r="D417" s="1307"/>
      <c r="E417" s="1307"/>
      <c r="F417" s="1307"/>
      <c r="G417" s="1340"/>
      <c r="H417" s="1340"/>
      <c r="I417" s="1309"/>
      <c r="J417" s="1307"/>
    </row>
    <row r="418" spans="2:10" ht="15.75" customHeight="1">
      <c r="B418" s="1307"/>
      <c r="D418" s="1307"/>
      <c r="E418" s="1307"/>
      <c r="F418" s="1307"/>
      <c r="G418" s="1340"/>
      <c r="H418" s="1340"/>
      <c r="I418" s="1309"/>
      <c r="J418" s="1307"/>
    </row>
    <row r="419" spans="2:10" ht="15.75" customHeight="1">
      <c r="B419" s="1307"/>
      <c r="D419" s="1307"/>
      <c r="E419" s="1307"/>
      <c r="F419" s="1307"/>
      <c r="G419" s="1340"/>
      <c r="H419" s="1340"/>
      <c r="I419" s="1309"/>
      <c r="J419" s="1307"/>
    </row>
    <row r="420" spans="2:10" ht="15.75" customHeight="1">
      <c r="B420" s="1307"/>
      <c r="D420" s="1307"/>
      <c r="E420" s="1307"/>
      <c r="F420" s="1307"/>
      <c r="G420" s="1340"/>
      <c r="H420" s="1340"/>
      <c r="I420" s="1309"/>
      <c r="J420" s="1307"/>
    </row>
    <row r="421" spans="2:10" ht="15.75" customHeight="1">
      <c r="B421" s="1307"/>
      <c r="D421" s="1307"/>
      <c r="E421" s="1307"/>
      <c r="F421" s="1307"/>
      <c r="G421" s="1340"/>
      <c r="H421" s="1340"/>
      <c r="I421" s="1309"/>
      <c r="J421" s="1307"/>
    </row>
    <row r="422" spans="2:10" ht="15.75" customHeight="1">
      <c r="B422" s="1307"/>
      <c r="D422" s="1307"/>
      <c r="E422" s="1307"/>
      <c r="F422" s="1307"/>
      <c r="G422" s="1340"/>
      <c r="H422" s="1340"/>
      <c r="I422" s="1309"/>
      <c r="J422" s="1307"/>
    </row>
    <row r="423" spans="2:10" ht="15.75" customHeight="1">
      <c r="B423" s="1307"/>
      <c r="D423" s="1307"/>
      <c r="E423" s="1307"/>
      <c r="F423" s="1307"/>
      <c r="G423" s="1340"/>
      <c r="H423" s="1340"/>
      <c r="I423" s="1309"/>
      <c r="J423" s="1307"/>
    </row>
    <row r="424" spans="2:10" ht="15.75" customHeight="1">
      <c r="B424" s="1307"/>
      <c r="D424" s="1307"/>
      <c r="E424" s="1307"/>
      <c r="F424" s="1307"/>
      <c r="G424" s="1340"/>
      <c r="H424" s="1340"/>
      <c r="I424" s="1309"/>
      <c r="J424" s="1307"/>
    </row>
    <row r="425" spans="2:10" ht="15.75" customHeight="1">
      <c r="B425" s="1307"/>
      <c r="D425" s="1307"/>
      <c r="E425" s="1307"/>
      <c r="F425" s="1307"/>
      <c r="G425" s="1340"/>
      <c r="H425" s="1340"/>
      <c r="I425" s="1309"/>
      <c r="J425" s="1307"/>
    </row>
    <row r="426" spans="2:10" ht="15.75" customHeight="1">
      <c r="B426" s="1307"/>
      <c r="D426" s="1307"/>
      <c r="E426" s="1307"/>
      <c r="F426" s="1307"/>
      <c r="G426" s="1340"/>
      <c r="H426" s="1340"/>
      <c r="I426" s="1309"/>
      <c r="J426" s="1307"/>
    </row>
    <row r="427" spans="2:10" ht="15.75" customHeight="1">
      <c r="B427" s="1307"/>
      <c r="D427" s="1307"/>
      <c r="E427" s="1307"/>
      <c r="F427" s="1307"/>
      <c r="G427" s="1340"/>
      <c r="H427" s="1340"/>
      <c r="I427" s="1309"/>
      <c r="J427" s="1307"/>
    </row>
    <row r="428" spans="2:10" ht="15.75" customHeight="1">
      <c r="B428" s="1307"/>
      <c r="D428" s="1307"/>
      <c r="E428" s="1307"/>
      <c r="F428" s="1307"/>
      <c r="G428" s="1340"/>
      <c r="H428" s="1340"/>
      <c r="I428" s="1309"/>
      <c r="J428" s="1307"/>
    </row>
    <row r="429" spans="2:10" ht="15.75" customHeight="1">
      <c r="B429" s="1307"/>
      <c r="D429" s="1307"/>
      <c r="E429" s="1307"/>
      <c r="F429" s="1307"/>
      <c r="G429" s="1340"/>
      <c r="H429" s="1340"/>
      <c r="I429" s="1309"/>
      <c r="J429" s="1307"/>
    </row>
    <row r="430" spans="2:10" ht="15.75" customHeight="1">
      <c r="B430" s="1307"/>
      <c r="D430" s="1307"/>
      <c r="E430" s="1307"/>
      <c r="F430" s="1307"/>
      <c r="G430" s="1340"/>
      <c r="H430" s="1340"/>
      <c r="I430" s="1309"/>
      <c r="J430" s="1307"/>
    </row>
    <row r="431" spans="2:10" ht="15.75" customHeight="1">
      <c r="B431" s="1307"/>
      <c r="D431" s="1307"/>
      <c r="E431" s="1307"/>
      <c r="F431" s="1307"/>
      <c r="G431" s="1340"/>
      <c r="H431" s="1340"/>
      <c r="I431" s="1309"/>
      <c r="J431" s="1307"/>
    </row>
    <row r="432" spans="2:10" ht="15.75" customHeight="1">
      <c r="B432" s="1307"/>
      <c r="D432" s="1307"/>
      <c r="E432" s="1307"/>
      <c r="F432" s="1307"/>
      <c r="G432" s="1340"/>
      <c r="H432" s="1340"/>
      <c r="I432" s="1309"/>
      <c r="J432" s="1307"/>
    </row>
    <row r="433" spans="2:10" ht="15.75" customHeight="1">
      <c r="B433" s="1307"/>
      <c r="D433" s="1307"/>
      <c r="E433" s="1307"/>
      <c r="F433" s="1307"/>
      <c r="G433" s="1340"/>
      <c r="H433" s="1340"/>
      <c r="I433" s="1309"/>
      <c r="J433" s="1307"/>
    </row>
    <row r="434" spans="2:10" ht="15.75" customHeight="1">
      <c r="B434" s="1307"/>
      <c r="D434" s="1307"/>
      <c r="E434" s="1307"/>
      <c r="F434" s="1307"/>
      <c r="G434" s="1340"/>
      <c r="H434" s="1340"/>
      <c r="I434" s="1309"/>
      <c r="J434" s="1307"/>
    </row>
    <row r="435" spans="2:10" ht="15.75" customHeight="1">
      <c r="B435" s="1307"/>
      <c r="D435" s="1307"/>
      <c r="E435" s="1307"/>
      <c r="F435" s="1307"/>
      <c r="G435" s="1340"/>
      <c r="H435" s="1340"/>
      <c r="I435" s="1309"/>
      <c r="J435" s="1307"/>
    </row>
    <row r="436" spans="2:10" ht="15.75" customHeight="1">
      <c r="B436" s="1307"/>
      <c r="D436" s="1307"/>
      <c r="E436" s="1307"/>
      <c r="F436" s="1307"/>
      <c r="G436" s="1340"/>
      <c r="H436" s="1340"/>
      <c r="I436" s="1309"/>
      <c r="J436" s="1307"/>
    </row>
    <row r="437" spans="2:10" ht="15.75" customHeight="1">
      <c r="B437" s="1307"/>
      <c r="D437" s="1307"/>
      <c r="E437" s="1307"/>
      <c r="F437" s="1307"/>
      <c r="G437" s="1340"/>
      <c r="H437" s="1340"/>
      <c r="I437" s="1309"/>
      <c r="J437" s="1307"/>
    </row>
    <row r="438" spans="2:10" ht="15.75" customHeight="1">
      <c r="B438" s="1307"/>
      <c r="D438" s="1307"/>
      <c r="E438" s="1307"/>
      <c r="F438" s="1307"/>
      <c r="G438" s="1340"/>
      <c r="H438" s="1340"/>
      <c r="I438" s="1309"/>
      <c r="J438" s="1307"/>
    </row>
    <row r="439" spans="2:10" ht="15.75" customHeight="1">
      <c r="B439" s="1307"/>
      <c r="D439" s="1307"/>
      <c r="E439" s="1307"/>
      <c r="F439" s="1307"/>
      <c r="G439" s="1340"/>
      <c r="H439" s="1340"/>
      <c r="I439" s="1309"/>
      <c r="J439" s="1307"/>
    </row>
    <row r="440" spans="2:10" ht="15.75" customHeight="1">
      <c r="B440" s="1307"/>
      <c r="D440" s="1307"/>
      <c r="E440" s="1307"/>
      <c r="F440" s="1307"/>
      <c r="G440" s="1340"/>
      <c r="H440" s="1340"/>
      <c r="I440" s="1309"/>
      <c r="J440" s="1307"/>
    </row>
    <row r="441" spans="2:10" ht="15.75" customHeight="1">
      <c r="B441" s="1307"/>
      <c r="D441" s="1307"/>
      <c r="E441" s="1307"/>
      <c r="F441" s="1307"/>
      <c r="G441" s="1340"/>
      <c r="H441" s="1340"/>
      <c r="I441" s="1309"/>
      <c r="J441" s="1307"/>
    </row>
    <row r="442" spans="2:10" ht="15.75" customHeight="1">
      <c r="B442" s="1307"/>
      <c r="D442" s="1307"/>
      <c r="E442" s="1307"/>
      <c r="F442" s="1307"/>
      <c r="G442" s="1340"/>
      <c r="H442" s="1340"/>
      <c r="I442" s="1309"/>
      <c r="J442" s="1307"/>
    </row>
    <row r="443" spans="2:10" ht="15.75" customHeight="1">
      <c r="B443" s="1307"/>
      <c r="D443" s="1307"/>
      <c r="E443" s="1307"/>
      <c r="F443" s="1307"/>
      <c r="G443" s="1340"/>
      <c r="H443" s="1340"/>
      <c r="I443" s="1309"/>
      <c r="J443" s="1307"/>
    </row>
    <row r="444" spans="2:10" ht="15.75" customHeight="1">
      <c r="B444" s="1307"/>
      <c r="D444" s="1307"/>
      <c r="E444" s="1307"/>
      <c r="F444" s="1307"/>
      <c r="G444" s="1340"/>
      <c r="H444" s="1340"/>
      <c r="I444" s="1309"/>
      <c r="J444" s="1307"/>
    </row>
    <row r="445" spans="2:10" ht="15.75" customHeight="1">
      <c r="B445" s="1307"/>
      <c r="D445" s="1307"/>
      <c r="E445" s="1307"/>
      <c r="F445" s="1307"/>
      <c r="G445" s="1340"/>
      <c r="H445" s="1340"/>
      <c r="I445" s="1309"/>
      <c r="J445" s="1307"/>
    </row>
    <row r="446" spans="2:10" ht="15.75" customHeight="1">
      <c r="B446" s="1307"/>
      <c r="D446" s="1307"/>
      <c r="E446" s="1307"/>
      <c r="F446" s="1307"/>
      <c r="G446" s="1340"/>
      <c r="H446" s="1340"/>
      <c r="I446" s="1309"/>
      <c r="J446" s="1307"/>
    </row>
    <row r="447" spans="2:10" ht="15.75" customHeight="1">
      <c r="B447" s="1307"/>
      <c r="D447" s="1307"/>
      <c r="E447" s="1307"/>
      <c r="F447" s="1307"/>
      <c r="G447" s="1340"/>
      <c r="H447" s="1340"/>
      <c r="I447" s="1309"/>
      <c r="J447" s="1307"/>
    </row>
    <row r="448" spans="2:10" ht="15.75" customHeight="1">
      <c r="B448" s="1307"/>
      <c r="D448" s="1307"/>
      <c r="E448" s="1307"/>
      <c r="F448" s="1307"/>
      <c r="G448" s="1340"/>
      <c r="H448" s="1340"/>
      <c r="I448" s="1309"/>
      <c r="J448" s="1307"/>
    </row>
    <row r="449" spans="2:10" ht="15.75" customHeight="1">
      <c r="B449" s="1307"/>
      <c r="D449" s="1307"/>
      <c r="E449" s="1307"/>
      <c r="F449" s="1307"/>
      <c r="G449" s="1340"/>
      <c r="H449" s="1340"/>
      <c r="I449" s="1309"/>
      <c r="J449" s="1307"/>
    </row>
    <row r="450" spans="2:10" ht="15.75" customHeight="1">
      <c r="B450" s="1307"/>
      <c r="D450" s="1307"/>
      <c r="E450" s="1307"/>
      <c r="F450" s="1307"/>
      <c r="G450" s="1340"/>
      <c r="H450" s="1340"/>
      <c r="I450" s="1309"/>
      <c r="J450" s="1307"/>
    </row>
    <row r="451" spans="2:10" ht="15.75" customHeight="1">
      <c r="B451" s="1307"/>
      <c r="D451" s="1307"/>
      <c r="E451" s="1307"/>
      <c r="F451" s="1307"/>
      <c r="G451" s="1340"/>
      <c r="H451" s="1340"/>
      <c r="I451" s="1309"/>
      <c r="J451" s="1307"/>
    </row>
    <row r="452" spans="2:10" ht="15.75" customHeight="1">
      <c r="B452" s="1307"/>
      <c r="D452" s="1307"/>
      <c r="E452" s="1307"/>
      <c r="F452" s="1307"/>
      <c r="G452" s="1340"/>
      <c r="H452" s="1340"/>
      <c r="I452" s="1309"/>
      <c r="J452" s="1307"/>
    </row>
    <row r="453" spans="2:10" ht="15.75" customHeight="1">
      <c r="B453" s="1307"/>
      <c r="D453" s="1307"/>
      <c r="E453" s="1307"/>
      <c r="F453" s="1307"/>
      <c r="G453" s="1340"/>
      <c r="H453" s="1340"/>
      <c r="I453" s="1309"/>
      <c r="J453" s="1307"/>
    </row>
    <row r="454" spans="2:10" ht="15.75" customHeight="1">
      <c r="B454" s="1307"/>
      <c r="D454" s="1307"/>
      <c r="E454" s="1307"/>
      <c r="F454" s="1307"/>
      <c r="G454" s="1340"/>
      <c r="H454" s="1340"/>
      <c r="I454" s="1309"/>
      <c r="J454" s="1307"/>
    </row>
    <row r="455" spans="2:10" ht="15.75" customHeight="1">
      <c r="B455" s="1307"/>
      <c r="D455" s="1307"/>
      <c r="E455" s="1307"/>
      <c r="F455" s="1307"/>
      <c r="G455" s="1340"/>
      <c r="H455" s="1340"/>
      <c r="I455" s="1309"/>
      <c r="J455" s="1307"/>
    </row>
    <row r="456" spans="2:10" ht="15.75" customHeight="1">
      <c r="B456" s="1307"/>
      <c r="D456" s="1307"/>
      <c r="E456" s="1307"/>
      <c r="F456" s="1307"/>
      <c r="G456" s="1340"/>
      <c r="H456" s="1340"/>
      <c r="I456" s="1309"/>
      <c r="J456" s="1307"/>
    </row>
    <row r="457" spans="2:10" ht="15.75" customHeight="1">
      <c r="B457" s="1307"/>
      <c r="D457" s="1307"/>
      <c r="E457" s="1307"/>
      <c r="F457" s="1307"/>
      <c r="G457" s="1340"/>
      <c r="H457" s="1340"/>
      <c r="I457" s="1309"/>
      <c r="J457" s="1307"/>
    </row>
    <row r="458" spans="2:10" ht="15.75" customHeight="1">
      <c r="B458" s="1307"/>
      <c r="D458" s="1307"/>
      <c r="E458" s="1307"/>
      <c r="F458" s="1307"/>
      <c r="G458" s="1340"/>
      <c r="H458" s="1340"/>
      <c r="I458" s="1309"/>
      <c r="J458" s="1307"/>
    </row>
    <row r="459" spans="2:10" ht="15.75" customHeight="1">
      <c r="B459" s="1307"/>
      <c r="D459" s="1307"/>
      <c r="E459" s="1307"/>
      <c r="F459" s="1307"/>
      <c r="G459" s="1340"/>
      <c r="H459" s="1340"/>
      <c r="I459" s="1309"/>
      <c r="J459" s="1307"/>
    </row>
    <row r="460" spans="2:10" ht="15.75" customHeight="1">
      <c r="B460" s="1307"/>
      <c r="D460" s="1307"/>
      <c r="E460" s="1307"/>
      <c r="F460" s="1307"/>
      <c r="G460" s="1340"/>
      <c r="H460" s="1340"/>
      <c r="I460" s="1309"/>
      <c r="J460" s="1307"/>
    </row>
    <row r="461" spans="2:10" ht="15.75" customHeight="1">
      <c r="B461" s="1307"/>
      <c r="D461" s="1307"/>
      <c r="E461" s="1307"/>
      <c r="F461" s="1307"/>
      <c r="G461" s="1340"/>
      <c r="H461" s="1340"/>
      <c r="I461" s="1309"/>
      <c r="J461" s="1307"/>
    </row>
    <row r="462" spans="2:10" ht="15.75" customHeight="1">
      <c r="B462" s="1307"/>
      <c r="D462" s="1307"/>
      <c r="E462" s="1307"/>
      <c r="F462" s="1307"/>
      <c r="G462" s="1340"/>
      <c r="H462" s="1340"/>
      <c r="I462" s="1309"/>
      <c r="J462" s="1307"/>
    </row>
    <row r="463" spans="2:10" ht="15.75" customHeight="1">
      <c r="B463" s="1307"/>
      <c r="D463" s="1307"/>
      <c r="E463" s="1307"/>
      <c r="F463" s="1307"/>
      <c r="G463" s="1340"/>
      <c r="H463" s="1340"/>
      <c r="I463" s="1309"/>
      <c r="J463" s="1307"/>
    </row>
    <row r="464" spans="2:10" ht="15.75" customHeight="1">
      <c r="B464" s="1307"/>
      <c r="D464" s="1307"/>
      <c r="E464" s="1307"/>
      <c r="F464" s="1307"/>
      <c r="G464" s="1340"/>
      <c r="H464" s="1340"/>
      <c r="I464" s="1309"/>
      <c r="J464" s="1307"/>
    </row>
    <row r="465" spans="2:10" ht="15.75" customHeight="1">
      <c r="B465" s="1307"/>
      <c r="D465" s="1307"/>
      <c r="E465" s="1307"/>
      <c r="F465" s="1307"/>
      <c r="G465" s="1340"/>
      <c r="H465" s="1340"/>
      <c r="I465" s="1309"/>
      <c r="J465" s="1307"/>
    </row>
    <row r="466" spans="2:10" ht="15.75" customHeight="1">
      <c r="B466" s="1307"/>
      <c r="D466" s="1307"/>
      <c r="E466" s="1307"/>
      <c r="F466" s="1307"/>
      <c r="G466" s="1340"/>
      <c r="H466" s="1340"/>
      <c r="I466" s="1309"/>
      <c r="J466" s="1307"/>
    </row>
    <row r="467" spans="2:10" ht="15.75" customHeight="1">
      <c r="B467" s="1307"/>
      <c r="D467" s="1307"/>
      <c r="E467" s="1307"/>
      <c r="F467" s="1307"/>
      <c r="G467" s="1340"/>
      <c r="H467" s="1340"/>
      <c r="I467" s="1309"/>
      <c r="J467" s="1307"/>
    </row>
    <row r="468" spans="2:10" ht="15.75" customHeight="1">
      <c r="B468" s="1307"/>
      <c r="D468" s="1307"/>
      <c r="E468" s="1307"/>
      <c r="F468" s="1307"/>
      <c r="G468" s="1340"/>
      <c r="H468" s="1340"/>
      <c r="I468" s="1309"/>
      <c r="J468" s="1307"/>
    </row>
    <row r="469" spans="2:10" ht="15.75" customHeight="1">
      <c r="B469" s="1307"/>
      <c r="D469" s="1307"/>
      <c r="E469" s="1307"/>
      <c r="F469" s="1307"/>
      <c r="G469" s="1340"/>
      <c r="H469" s="1340"/>
      <c r="I469" s="1309"/>
      <c r="J469" s="1307"/>
    </row>
    <row r="470" spans="2:10" ht="15.75" customHeight="1">
      <c r="B470" s="1307"/>
      <c r="D470" s="1307"/>
      <c r="E470" s="1307"/>
      <c r="F470" s="1307"/>
      <c r="G470" s="1340"/>
      <c r="H470" s="1340"/>
      <c r="I470" s="1309"/>
      <c r="J470" s="1307"/>
    </row>
    <row r="471" spans="2:10" ht="15.75" customHeight="1">
      <c r="B471" s="1307"/>
      <c r="D471" s="1307"/>
      <c r="E471" s="1307"/>
      <c r="F471" s="1307"/>
      <c r="G471" s="1340"/>
      <c r="H471" s="1340"/>
      <c r="I471" s="1309"/>
      <c r="J471" s="1307"/>
    </row>
    <row r="472" spans="2:10" ht="15.75" customHeight="1">
      <c r="B472" s="1307"/>
      <c r="D472" s="1307"/>
      <c r="E472" s="1307"/>
      <c r="F472" s="1307"/>
      <c r="G472" s="1340"/>
      <c r="H472" s="1340"/>
      <c r="I472" s="1309"/>
      <c r="J472" s="1307"/>
    </row>
    <row r="473" spans="2:10" ht="15.75" customHeight="1">
      <c r="B473" s="1307"/>
      <c r="D473" s="1307"/>
      <c r="E473" s="1307"/>
      <c r="F473" s="1307"/>
      <c r="G473" s="1340"/>
      <c r="H473" s="1340"/>
      <c r="I473" s="1309"/>
      <c r="J473" s="1307"/>
    </row>
    <row r="474" spans="2:10" ht="15.75" customHeight="1">
      <c r="B474" s="1307"/>
      <c r="D474" s="1307"/>
      <c r="E474" s="1307"/>
      <c r="F474" s="1307"/>
      <c r="G474" s="1340"/>
      <c r="H474" s="1340"/>
      <c r="I474" s="1309"/>
      <c r="J474" s="1307"/>
    </row>
    <row r="475" spans="2:10" ht="15.75" customHeight="1">
      <c r="B475" s="1307"/>
      <c r="D475" s="1307"/>
      <c r="E475" s="1307"/>
      <c r="F475" s="1307"/>
      <c r="G475" s="1340"/>
      <c r="H475" s="1340"/>
      <c r="I475" s="1309"/>
      <c r="J475" s="1307"/>
    </row>
    <row r="476" spans="2:10" ht="15.75" customHeight="1">
      <c r="B476" s="1307"/>
      <c r="D476" s="1307"/>
      <c r="E476" s="1307"/>
      <c r="F476" s="1307"/>
      <c r="G476" s="1340"/>
      <c r="H476" s="1340"/>
      <c r="I476" s="1309"/>
      <c r="J476" s="1307"/>
    </row>
    <row r="477" spans="2:10" ht="15.75" customHeight="1">
      <c r="B477" s="1307"/>
      <c r="D477" s="1307"/>
      <c r="E477" s="1307"/>
      <c r="F477" s="1307"/>
      <c r="G477" s="1340"/>
      <c r="H477" s="1340"/>
      <c r="I477" s="1309"/>
      <c r="J477" s="1307"/>
    </row>
    <row r="478" spans="2:10" ht="15.75" customHeight="1">
      <c r="B478" s="1307"/>
      <c r="D478" s="1307"/>
      <c r="E478" s="1307"/>
      <c r="F478" s="1307"/>
      <c r="G478" s="1340"/>
      <c r="H478" s="1340"/>
      <c r="I478" s="1309"/>
      <c r="J478" s="1307"/>
    </row>
    <row r="479" spans="2:10" ht="15.75" customHeight="1">
      <c r="B479" s="1307"/>
      <c r="D479" s="1307"/>
      <c r="E479" s="1307"/>
      <c r="F479" s="1307"/>
      <c r="G479" s="1340"/>
      <c r="H479" s="1340"/>
      <c r="I479" s="1309"/>
      <c r="J479" s="1307"/>
    </row>
    <row r="480" spans="2:10" ht="15.75" customHeight="1">
      <c r="B480" s="1307"/>
      <c r="D480" s="1307"/>
      <c r="E480" s="1307"/>
      <c r="F480" s="1307"/>
      <c r="G480" s="1340"/>
      <c r="H480" s="1340"/>
      <c r="I480" s="1309"/>
      <c r="J480" s="1307"/>
    </row>
    <row r="481" spans="2:10" ht="15.75" customHeight="1">
      <c r="B481" s="1307"/>
      <c r="D481" s="1307"/>
      <c r="E481" s="1307"/>
      <c r="F481" s="1307"/>
      <c r="G481" s="1340"/>
      <c r="H481" s="1340"/>
      <c r="I481" s="1309"/>
      <c r="J481" s="1307"/>
    </row>
    <row r="482" spans="2:10" ht="15.75" customHeight="1">
      <c r="B482" s="1307"/>
      <c r="D482" s="1307"/>
      <c r="E482" s="1307"/>
      <c r="F482" s="1307"/>
      <c r="G482" s="1340"/>
      <c r="H482" s="1340"/>
      <c r="I482" s="1309"/>
      <c r="J482" s="1307"/>
    </row>
    <row r="483" spans="2:10" ht="15.75" customHeight="1">
      <c r="B483" s="1307"/>
      <c r="D483" s="1307"/>
      <c r="E483" s="1307"/>
      <c r="F483" s="1307"/>
      <c r="G483" s="1340"/>
      <c r="H483" s="1340"/>
      <c r="I483" s="1309"/>
      <c r="J483" s="1307"/>
    </row>
    <row r="484" spans="2:10" ht="15.75" customHeight="1">
      <c r="B484" s="1307"/>
      <c r="D484" s="1307"/>
      <c r="E484" s="1307"/>
      <c r="F484" s="1307"/>
      <c r="G484" s="1340"/>
      <c r="H484" s="1340"/>
      <c r="I484" s="1309"/>
      <c r="J484" s="1307"/>
    </row>
    <row r="485" spans="2:10" ht="15.75" customHeight="1">
      <c r="B485" s="1307"/>
      <c r="D485" s="1307"/>
      <c r="E485" s="1307"/>
      <c r="F485" s="1307"/>
      <c r="G485" s="1340"/>
      <c r="H485" s="1340"/>
      <c r="I485" s="1309"/>
      <c r="J485" s="1307"/>
    </row>
    <row r="486" spans="2:10" ht="15.75" customHeight="1">
      <c r="B486" s="1307"/>
      <c r="D486" s="1307"/>
      <c r="E486" s="1307"/>
      <c r="F486" s="1307"/>
      <c r="G486" s="1340"/>
      <c r="H486" s="1340"/>
      <c r="I486" s="1309"/>
      <c r="J486" s="1307"/>
    </row>
    <row r="487" spans="2:10" ht="15.75" customHeight="1">
      <c r="B487" s="1307"/>
      <c r="D487" s="1307"/>
      <c r="E487" s="1307"/>
      <c r="F487" s="1307"/>
      <c r="G487" s="1340"/>
      <c r="H487" s="1340"/>
      <c r="I487" s="1309"/>
      <c r="J487" s="1307"/>
    </row>
    <row r="488" spans="2:10" ht="15.75" customHeight="1">
      <c r="B488" s="1307"/>
      <c r="D488" s="1307"/>
      <c r="E488" s="1307"/>
      <c r="F488" s="1307"/>
      <c r="G488" s="1340"/>
      <c r="H488" s="1340"/>
      <c r="I488" s="1309"/>
      <c r="J488" s="1307"/>
    </row>
    <row r="489" spans="2:10" ht="15.75" customHeight="1">
      <c r="B489" s="1307"/>
      <c r="D489" s="1307"/>
      <c r="E489" s="1307"/>
      <c r="F489" s="1307"/>
      <c r="G489" s="1340"/>
      <c r="H489" s="1340"/>
      <c r="I489" s="1309"/>
      <c r="J489" s="1307"/>
    </row>
    <row r="490" spans="2:10" ht="15.75" customHeight="1">
      <c r="B490" s="1307"/>
      <c r="D490" s="1307"/>
      <c r="E490" s="1307"/>
      <c r="F490" s="1307"/>
      <c r="G490" s="1340"/>
      <c r="H490" s="1340"/>
      <c r="I490" s="1309"/>
      <c r="J490" s="1307"/>
    </row>
    <row r="491" spans="2:10" ht="15.75" customHeight="1">
      <c r="B491" s="1307"/>
      <c r="D491" s="1307"/>
      <c r="E491" s="1307"/>
      <c r="F491" s="1307"/>
      <c r="G491" s="1340"/>
      <c r="H491" s="1340"/>
      <c r="I491" s="1309"/>
      <c r="J491" s="1307"/>
    </row>
    <row r="492" spans="2:10" ht="15.75" customHeight="1">
      <c r="B492" s="1307"/>
      <c r="D492" s="1307"/>
      <c r="E492" s="1307"/>
      <c r="F492" s="1307"/>
      <c r="G492" s="1340"/>
      <c r="H492" s="1340"/>
      <c r="I492" s="1309"/>
      <c r="J492" s="1307"/>
    </row>
    <row r="493" spans="2:10" ht="15.75" customHeight="1">
      <c r="B493" s="1307"/>
      <c r="D493" s="1307"/>
      <c r="E493" s="1307"/>
      <c r="F493" s="1307"/>
      <c r="G493" s="1340"/>
      <c r="H493" s="1340"/>
      <c r="I493" s="1309"/>
      <c r="J493" s="1307"/>
    </row>
    <row r="494" spans="2:10" ht="15.75" customHeight="1">
      <c r="B494" s="1307"/>
      <c r="D494" s="1307"/>
      <c r="E494" s="1307"/>
      <c r="F494" s="1307"/>
      <c r="G494" s="1340"/>
      <c r="H494" s="1340"/>
      <c r="I494" s="1309"/>
      <c r="J494" s="1307"/>
    </row>
    <row r="495" spans="2:10" ht="15.75" customHeight="1">
      <c r="B495" s="1307"/>
      <c r="D495" s="1307"/>
      <c r="E495" s="1307"/>
      <c r="F495" s="1307"/>
      <c r="G495" s="1340"/>
      <c r="H495" s="1340"/>
      <c r="I495" s="1309"/>
      <c r="J495" s="1307"/>
    </row>
    <row r="496" spans="2:10" ht="15.75" customHeight="1">
      <c r="B496" s="1307"/>
      <c r="D496" s="1307"/>
      <c r="E496" s="1307"/>
      <c r="F496" s="1307"/>
      <c r="G496" s="1340"/>
      <c r="H496" s="1340"/>
      <c r="I496" s="1309"/>
      <c r="J496" s="1307"/>
    </row>
    <row r="497" spans="2:10" ht="15.75" customHeight="1">
      <c r="B497" s="1307"/>
      <c r="D497" s="1307"/>
      <c r="E497" s="1307"/>
      <c r="F497" s="1307"/>
      <c r="G497" s="1340"/>
      <c r="H497" s="1340"/>
      <c r="I497" s="1309"/>
      <c r="J497" s="1307"/>
    </row>
    <row r="498" spans="2:10" ht="15.75" customHeight="1">
      <c r="B498" s="1307"/>
      <c r="D498" s="1307"/>
      <c r="E498" s="1307"/>
      <c r="F498" s="1307"/>
      <c r="G498" s="1340"/>
      <c r="H498" s="1340"/>
      <c r="I498" s="1309"/>
      <c r="J498" s="1307"/>
    </row>
    <row r="499" spans="2:10" ht="15.75" customHeight="1">
      <c r="B499" s="1307"/>
      <c r="D499" s="1307"/>
      <c r="E499" s="1307"/>
      <c r="F499" s="1307"/>
      <c r="G499" s="1340"/>
      <c r="H499" s="1340"/>
      <c r="I499" s="1309"/>
      <c r="J499" s="1307"/>
    </row>
    <row r="500" spans="2:10" ht="15.75" customHeight="1">
      <c r="B500" s="1307"/>
      <c r="D500" s="1307"/>
      <c r="E500" s="1307"/>
      <c r="F500" s="1307"/>
      <c r="G500" s="1340"/>
      <c r="H500" s="1340"/>
      <c r="I500" s="1309"/>
      <c r="J500" s="1307"/>
    </row>
    <row r="501" spans="2:10" ht="15.75" customHeight="1">
      <c r="B501" s="1307"/>
      <c r="D501" s="1307"/>
      <c r="E501" s="1307"/>
      <c r="F501" s="1307"/>
      <c r="G501" s="1340"/>
      <c r="H501" s="1340"/>
      <c r="I501" s="1309"/>
      <c r="J501" s="1307"/>
    </row>
    <row r="502" spans="2:10" ht="15.75" customHeight="1">
      <c r="B502" s="1307"/>
      <c r="D502" s="1307"/>
      <c r="E502" s="1307"/>
      <c r="F502" s="1307"/>
      <c r="G502" s="1340"/>
      <c r="H502" s="1340"/>
      <c r="I502" s="1309"/>
      <c r="J502" s="1307"/>
    </row>
    <row r="503" spans="2:10" ht="15.75" customHeight="1">
      <c r="B503" s="1307"/>
      <c r="D503" s="1307"/>
      <c r="E503" s="1307"/>
      <c r="F503" s="1307"/>
      <c r="G503" s="1340"/>
      <c r="H503" s="1340"/>
      <c r="I503" s="1309"/>
      <c r="J503" s="1307"/>
    </row>
    <row r="504" spans="2:10" ht="15.75" customHeight="1">
      <c r="B504" s="1307"/>
      <c r="D504" s="1307"/>
      <c r="E504" s="1307"/>
      <c r="F504" s="1307"/>
      <c r="G504" s="1340"/>
      <c r="H504" s="1340"/>
      <c r="I504" s="1309"/>
      <c r="J504" s="1307"/>
    </row>
    <row r="505" spans="2:10" ht="15.75" customHeight="1">
      <c r="B505" s="1307"/>
      <c r="D505" s="1307"/>
      <c r="E505" s="1307"/>
      <c r="F505" s="1307"/>
      <c r="G505" s="1340"/>
      <c r="H505" s="1340"/>
      <c r="I505" s="1309"/>
      <c r="J505" s="1307"/>
    </row>
    <row r="506" spans="2:10" ht="15.75" customHeight="1">
      <c r="B506" s="1307"/>
      <c r="D506" s="1307"/>
      <c r="E506" s="1307"/>
      <c r="F506" s="1307"/>
      <c r="G506" s="1340"/>
      <c r="H506" s="1340"/>
      <c r="I506" s="1309"/>
      <c r="J506" s="1307"/>
    </row>
    <row r="507" spans="2:10" ht="15.75" customHeight="1">
      <c r="B507" s="1307"/>
      <c r="D507" s="1307"/>
      <c r="E507" s="1307"/>
      <c r="F507" s="1307"/>
      <c r="G507" s="1340"/>
      <c r="H507" s="1340"/>
      <c r="I507" s="1309"/>
      <c r="J507" s="1307"/>
    </row>
    <row r="508" spans="2:10" ht="15.75" customHeight="1">
      <c r="B508" s="1307"/>
      <c r="D508" s="1307"/>
      <c r="E508" s="1307"/>
      <c r="F508" s="1307"/>
      <c r="G508" s="1340"/>
      <c r="H508" s="1340"/>
      <c r="I508" s="1309"/>
      <c r="J508" s="1307"/>
    </row>
    <row r="509" spans="2:10" ht="15.75" customHeight="1">
      <c r="B509" s="1307"/>
      <c r="D509" s="1307"/>
      <c r="E509" s="1307"/>
      <c r="F509" s="1307"/>
      <c r="G509" s="1340"/>
      <c r="H509" s="1340"/>
      <c r="I509" s="1309"/>
      <c r="J509" s="1307"/>
    </row>
    <row r="510" spans="2:10" ht="15.75" customHeight="1">
      <c r="B510" s="1307"/>
      <c r="D510" s="1307"/>
      <c r="E510" s="1307"/>
      <c r="F510" s="1307"/>
      <c r="G510" s="1340"/>
      <c r="H510" s="1340"/>
      <c r="I510" s="1309"/>
      <c r="J510" s="1307"/>
    </row>
    <row r="511" spans="2:10" ht="15.75" customHeight="1">
      <c r="B511" s="1307"/>
      <c r="D511" s="1307"/>
      <c r="E511" s="1307"/>
      <c r="F511" s="1307"/>
      <c r="G511" s="1340"/>
      <c r="H511" s="1340"/>
      <c r="I511" s="1309"/>
      <c r="J511" s="1307"/>
    </row>
    <row r="512" spans="2:10" ht="15.75" customHeight="1">
      <c r="B512" s="1307"/>
      <c r="D512" s="1307"/>
      <c r="E512" s="1307"/>
      <c r="F512" s="1307"/>
      <c r="G512" s="1340"/>
      <c r="H512" s="1340"/>
      <c r="I512" s="1309"/>
      <c r="J512" s="1307"/>
    </row>
    <row r="513" spans="2:10" ht="15.75" customHeight="1">
      <c r="B513" s="1307"/>
      <c r="D513" s="1307"/>
      <c r="E513" s="1307"/>
      <c r="F513" s="1307"/>
      <c r="G513" s="1340"/>
      <c r="H513" s="1340"/>
      <c r="I513" s="1309"/>
      <c r="J513" s="1307"/>
    </row>
    <row r="514" spans="2:10" ht="15.75" customHeight="1">
      <c r="B514" s="1307"/>
      <c r="D514" s="1307"/>
      <c r="E514" s="1307"/>
      <c r="F514" s="1307"/>
      <c r="G514" s="1340"/>
      <c r="H514" s="1340"/>
      <c r="I514" s="1309"/>
      <c r="J514" s="1307"/>
    </row>
    <row r="515" spans="2:10" ht="15.75" customHeight="1">
      <c r="B515" s="1307"/>
      <c r="D515" s="1307"/>
      <c r="E515" s="1307"/>
      <c r="F515" s="1307"/>
      <c r="G515" s="1340"/>
      <c r="H515" s="1340"/>
      <c r="I515" s="1309"/>
      <c r="J515" s="1307"/>
    </row>
    <row r="516" spans="2:10" ht="15.75" customHeight="1">
      <c r="B516" s="1307"/>
      <c r="D516" s="1307"/>
      <c r="E516" s="1307"/>
      <c r="F516" s="1307"/>
      <c r="G516" s="1340"/>
      <c r="H516" s="1340"/>
      <c r="I516" s="1309"/>
      <c r="J516" s="1307"/>
    </row>
    <row r="517" spans="2:10" ht="15.75" customHeight="1">
      <c r="B517" s="1307"/>
      <c r="D517" s="1307"/>
      <c r="E517" s="1307"/>
      <c r="F517" s="1307"/>
      <c r="G517" s="1340"/>
      <c r="H517" s="1340"/>
      <c r="I517" s="1309"/>
      <c r="J517" s="1307"/>
    </row>
    <row r="518" spans="2:10" ht="15.75" customHeight="1">
      <c r="B518" s="1307"/>
      <c r="D518" s="1307"/>
      <c r="E518" s="1307"/>
      <c r="F518" s="1307"/>
      <c r="G518" s="1340"/>
      <c r="H518" s="1340"/>
      <c r="I518" s="1309"/>
      <c r="J518" s="1307"/>
    </row>
    <row r="519" spans="2:10" ht="15.75" customHeight="1">
      <c r="B519" s="1307"/>
      <c r="D519" s="1307"/>
      <c r="E519" s="1307"/>
      <c r="F519" s="1307"/>
      <c r="G519" s="1340"/>
      <c r="H519" s="1340"/>
      <c r="I519" s="1309"/>
      <c r="J519" s="1307"/>
    </row>
    <row r="520" spans="2:10" ht="15.75" customHeight="1">
      <c r="B520" s="1307"/>
      <c r="D520" s="1307"/>
      <c r="E520" s="1307"/>
      <c r="F520" s="1307"/>
      <c r="G520" s="1340"/>
      <c r="H520" s="1340"/>
      <c r="I520" s="1309"/>
      <c r="J520" s="1307"/>
    </row>
    <row r="521" spans="2:10" ht="15.75" customHeight="1">
      <c r="B521" s="1307"/>
      <c r="D521" s="1307"/>
      <c r="E521" s="1307"/>
      <c r="F521" s="1307"/>
      <c r="G521" s="1340"/>
      <c r="H521" s="1340"/>
      <c r="I521" s="1309"/>
      <c r="J521" s="1307"/>
    </row>
    <row r="522" spans="2:10" ht="15.75" customHeight="1">
      <c r="B522" s="1307"/>
      <c r="D522" s="1307"/>
      <c r="E522" s="1307"/>
      <c r="F522" s="1307"/>
      <c r="G522" s="1340"/>
      <c r="H522" s="1340"/>
      <c r="I522" s="1309"/>
      <c r="J522" s="1307"/>
    </row>
    <row r="523" spans="2:10" ht="15.75" customHeight="1">
      <c r="B523" s="1307"/>
      <c r="D523" s="1307"/>
      <c r="E523" s="1307"/>
      <c r="F523" s="1307"/>
      <c r="G523" s="1340"/>
      <c r="H523" s="1340"/>
      <c r="I523" s="1309"/>
      <c r="J523" s="1307"/>
    </row>
    <row r="524" spans="2:10" ht="15.75" customHeight="1">
      <c r="B524" s="1307"/>
      <c r="D524" s="1307"/>
      <c r="E524" s="1307"/>
      <c r="F524" s="1307"/>
      <c r="G524" s="1340"/>
      <c r="H524" s="1340"/>
      <c r="I524" s="1309"/>
      <c r="J524" s="1307"/>
    </row>
    <row r="525" spans="2:10" ht="15.75" customHeight="1">
      <c r="B525" s="1307"/>
      <c r="D525" s="1307"/>
      <c r="E525" s="1307"/>
      <c r="F525" s="1307"/>
      <c r="G525" s="1340"/>
      <c r="H525" s="1340"/>
      <c r="I525" s="1309"/>
      <c r="J525" s="1307"/>
    </row>
    <row r="526" spans="2:10" ht="15.75" customHeight="1">
      <c r="B526" s="1307"/>
      <c r="D526" s="1307"/>
      <c r="E526" s="1307"/>
      <c r="F526" s="1307"/>
      <c r="G526" s="1340"/>
      <c r="H526" s="1340"/>
      <c r="I526" s="1309"/>
      <c r="J526" s="1307"/>
    </row>
    <row r="527" spans="2:10" ht="15.75" customHeight="1">
      <c r="B527" s="1307"/>
      <c r="D527" s="1307"/>
      <c r="E527" s="1307"/>
      <c r="F527" s="1307"/>
      <c r="G527" s="1340"/>
      <c r="H527" s="1340"/>
      <c r="I527" s="1309"/>
      <c r="J527" s="1307"/>
    </row>
    <row r="528" spans="2:10" ht="15.75" customHeight="1">
      <c r="B528" s="1307"/>
      <c r="D528" s="1307"/>
      <c r="E528" s="1307"/>
      <c r="F528" s="1307"/>
      <c r="G528" s="1340"/>
      <c r="H528" s="1340"/>
      <c r="I528" s="1309"/>
      <c r="J528" s="1307"/>
    </row>
    <row r="529" spans="2:10" ht="15.75" customHeight="1">
      <c r="B529" s="1307"/>
      <c r="D529" s="1307"/>
      <c r="E529" s="1307"/>
      <c r="F529" s="1307"/>
      <c r="G529" s="1340"/>
      <c r="H529" s="1340"/>
      <c r="I529" s="1309"/>
      <c r="J529" s="1307"/>
    </row>
    <row r="530" spans="2:10" ht="15.75" customHeight="1">
      <c r="B530" s="1307"/>
      <c r="D530" s="1307"/>
      <c r="E530" s="1307"/>
      <c r="F530" s="1307"/>
      <c r="G530" s="1340"/>
      <c r="H530" s="1340"/>
      <c r="I530" s="1309"/>
      <c r="J530" s="1307"/>
    </row>
    <row r="531" spans="2:10" ht="15.75" customHeight="1">
      <c r="B531" s="1307"/>
      <c r="D531" s="1307"/>
      <c r="E531" s="1307"/>
      <c r="F531" s="1307"/>
      <c r="G531" s="1340"/>
      <c r="H531" s="1340"/>
      <c r="I531" s="1309"/>
      <c r="J531" s="1307"/>
    </row>
    <row r="532" spans="2:10" ht="15.75" customHeight="1">
      <c r="B532" s="1307"/>
      <c r="D532" s="1307"/>
      <c r="E532" s="1307"/>
      <c r="F532" s="1307"/>
      <c r="G532" s="1340"/>
      <c r="H532" s="1340"/>
      <c r="I532" s="1309"/>
      <c r="J532" s="1307"/>
    </row>
    <row r="533" spans="2:10" ht="15.75" customHeight="1">
      <c r="B533" s="1307"/>
      <c r="D533" s="1307"/>
      <c r="E533" s="1307"/>
      <c r="F533" s="1307"/>
      <c r="G533" s="1340"/>
      <c r="H533" s="1340"/>
      <c r="I533" s="1309"/>
      <c r="J533" s="1307"/>
    </row>
    <row r="534" spans="2:10" ht="15.75" customHeight="1">
      <c r="B534" s="1307"/>
      <c r="D534" s="1307"/>
      <c r="E534" s="1307"/>
      <c r="F534" s="1307"/>
      <c r="G534" s="1340"/>
      <c r="H534" s="1340"/>
      <c r="I534" s="1309"/>
      <c r="J534" s="1307"/>
    </row>
    <row r="535" spans="2:10" ht="15.75" customHeight="1">
      <c r="B535" s="1307"/>
      <c r="D535" s="1307"/>
      <c r="E535" s="1307"/>
      <c r="F535" s="1307"/>
      <c r="G535" s="1340"/>
      <c r="H535" s="1340"/>
      <c r="I535" s="1309"/>
      <c r="J535" s="1307"/>
    </row>
    <row r="536" spans="2:10" ht="15.75" customHeight="1">
      <c r="B536" s="1307"/>
      <c r="D536" s="1307"/>
      <c r="E536" s="1307"/>
      <c r="F536" s="1307"/>
      <c r="G536" s="1340"/>
      <c r="H536" s="1340"/>
      <c r="I536" s="1309"/>
      <c r="J536" s="1307"/>
    </row>
    <row r="537" spans="2:10" ht="15.75" customHeight="1">
      <c r="B537" s="1307"/>
      <c r="D537" s="1307"/>
      <c r="E537" s="1307"/>
      <c r="F537" s="1307"/>
      <c r="G537" s="1340"/>
      <c r="H537" s="1340"/>
      <c r="I537" s="1309"/>
      <c r="J537" s="1307"/>
    </row>
    <row r="538" spans="2:10" ht="15.75" customHeight="1">
      <c r="B538" s="1307"/>
      <c r="D538" s="1307"/>
      <c r="E538" s="1307"/>
      <c r="F538" s="1307"/>
      <c r="G538" s="1340"/>
      <c r="H538" s="1340"/>
      <c r="I538" s="1309"/>
      <c r="J538" s="1307"/>
    </row>
    <row r="539" spans="2:10" ht="15.75" customHeight="1">
      <c r="B539" s="1307"/>
      <c r="D539" s="1307"/>
      <c r="E539" s="1307"/>
      <c r="F539" s="1307"/>
      <c r="G539" s="1340"/>
      <c r="H539" s="1340"/>
      <c r="I539" s="1309"/>
      <c r="J539" s="1307"/>
    </row>
    <row r="540" spans="2:10" ht="15.75" customHeight="1">
      <c r="B540" s="1307"/>
      <c r="D540" s="1307"/>
      <c r="E540" s="1307"/>
      <c r="F540" s="1307"/>
      <c r="G540" s="1340"/>
      <c r="H540" s="1340"/>
      <c r="I540" s="1309"/>
      <c r="J540" s="1307"/>
    </row>
    <row r="541" spans="2:10" ht="15.75" customHeight="1">
      <c r="B541" s="1307"/>
      <c r="D541" s="1307"/>
      <c r="E541" s="1307"/>
      <c r="F541" s="1307"/>
      <c r="G541" s="1340"/>
      <c r="H541" s="1340"/>
      <c r="I541" s="1309"/>
      <c r="J541" s="1307"/>
    </row>
    <row r="542" spans="2:10" ht="15.75" customHeight="1">
      <c r="B542" s="1307"/>
      <c r="D542" s="1307"/>
      <c r="E542" s="1307"/>
      <c r="F542" s="1307"/>
      <c r="G542" s="1340"/>
      <c r="H542" s="1340"/>
      <c r="I542" s="1309"/>
      <c r="J542" s="1307"/>
    </row>
    <row r="543" spans="2:10" ht="15.75" customHeight="1">
      <c r="B543" s="1307"/>
      <c r="D543" s="1307"/>
      <c r="E543" s="1307"/>
      <c r="F543" s="1307"/>
      <c r="G543" s="1340"/>
      <c r="H543" s="1340"/>
      <c r="I543" s="1309"/>
      <c r="J543" s="1307"/>
    </row>
    <row r="544" spans="2:10" ht="15.75" customHeight="1">
      <c r="B544" s="1307"/>
      <c r="D544" s="1307"/>
      <c r="E544" s="1307"/>
      <c r="F544" s="1307"/>
      <c r="G544" s="1340"/>
      <c r="H544" s="1340"/>
      <c r="I544" s="1309"/>
      <c r="J544" s="1307"/>
    </row>
    <row r="545" spans="2:10" ht="15.75" customHeight="1">
      <c r="B545" s="1307"/>
      <c r="D545" s="1307"/>
      <c r="E545" s="1307"/>
      <c r="F545" s="1307"/>
      <c r="G545" s="1340"/>
      <c r="H545" s="1340"/>
      <c r="I545" s="1309"/>
      <c r="J545" s="1307"/>
    </row>
    <row r="546" spans="2:10" ht="15.75" customHeight="1">
      <c r="B546" s="1307"/>
      <c r="D546" s="1307"/>
      <c r="E546" s="1307"/>
      <c r="F546" s="1307"/>
      <c r="G546" s="1340"/>
      <c r="H546" s="1340"/>
      <c r="I546" s="1309"/>
      <c r="J546" s="1307"/>
    </row>
    <row r="547" spans="2:10" ht="15.75" customHeight="1">
      <c r="B547" s="1307"/>
      <c r="D547" s="1307"/>
      <c r="E547" s="1307"/>
      <c r="F547" s="1307"/>
      <c r="G547" s="1340"/>
      <c r="H547" s="1340"/>
      <c r="I547" s="1309"/>
      <c r="J547" s="1307"/>
    </row>
    <row r="548" spans="2:10" ht="15.75" customHeight="1">
      <c r="B548" s="1307"/>
      <c r="D548" s="1307"/>
      <c r="E548" s="1307"/>
      <c r="F548" s="1307"/>
      <c r="G548" s="1340"/>
      <c r="H548" s="1340"/>
      <c r="I548" s="1309"/>
      <c r="J548" s="1307"/>
    </row>
    <row r="549" spans="2:10" ht="15.75" customHeight="1">
      <c r="B549" s="1307"/>
      <c r="D549" s="1307"/>
      <c r="E549" s="1307"/>
      <c r="F549" s="1307"/>
      <c r="G549" s="1340"/>
      <c r="H549" s="1340"/>
      <c r="I549" s="1309"/>
      <c r="J549" s="1307"/>
    </row>
    <row r="550" spans="2:10" ht="15.75" customHeight="1">
      <c r="B550" s="1307"/>
      <c r="D550" s="1307"/>
      <c r="E550" s="1307"/>
      <c r="F550" s="1307"/>
      <c r="G550" s="1340"/>
      <c r="H550" s="1340"/>
      <c r="I550" s="1309"/>
      <c r="J550" s="1307"/>
    </row>
    <row r="551" spans="2:10" ht="15.75" customHeight="1">
      <c r="B551" s="1307"/>
      <c r="D551" s="1307"/>
      <c r="E551" s="1307"/>
      <c r="F551" s="1307"/>
      <c r="G551" s="1340"/>
      <c r="H551" s="1340"/>
      <c r="I551" s="1309"/>
      <c r="J551" s="1307"/>
    </row>
    <row r="552" spans="2:10" ht="15.75" customHeight="1">
      <c r="B552" s="1307"/>
      <c r="D552" s="1307"/>
      <c r="E552" s="1307"/>
      <c r="F552" s="1307"/>
      <c r="G552" s="1340"/>
      <c r="H552" s="1340"/>
      <c r="I552" s="1309"/>
      <c r="J552" s="1307"/>
    </row>
    <row r="553" spans="2:10" ht="15.75" customHeight="1">
      <c r="B553" s="1307"/>
      <c r="D553" s="1307"/>
      <c r="E553" s="1307"/>
      <c r="F553" s="1307"/>
      <c r="G553" s="1340"/>
      <c r="H553" s="1340"/>
      <c r="I553" s="1309"/>
      <c r="J553" s="1307"/>
    </row>
    <row r="554" spans="2:10" ht="15.75" customHeight="1">
      <c r="B554" s="1307"/>
      <c r="D554" s="1307"/>
      <c r="E554" s="1307"/>
      <c r="F554" s="1307"/>
      <c r="G554" s="1340"/>
      <c r="H554" s="1340"/>
      <c r="I554" s="1447"/>
      <c r="J554" s="1307"/>
    </row>
    <row r="555" spans="2:10" ht="15.75" customHeight="1">
      <c r="B555" s="1307"/>
      <c r="D555" s="1307"/>
      <c r="E555" s="1307"/>
      <c r="F555" s="1307"/>
      <c r="G555" s="1340"/>
      <c r="H555" s="1340"/>
      <c r="I555" s="1309"/>
      <c r="J555" s="1307"/>
    </row>
    <row r="556" spans="2:10" ht="15.75" customHeight="1">
      <c r="B556" s="1307"/>
      <c r="D556" s="1307"/>
      <c r="E556" s="1307"/>
      <c r="F556" s="1307"/>
      <c r="G556" s="1340"/>
      <c r="H556" s="1340"/>
      <c r="I556" s="1309"/>
      <c r="J556" s="1307"/>
    </row>
    <row r="557" spans="2:10" ht="15.75" customHeight="1">
      <c r="B557" s="1307"/>
      <c r="D557" s="1307"/>
      <c r="E557" s="1307"/>
      <c r="F557" s="1307"/>
      <c r="G557" s="1340"/>
      <c r="H557" s="1340"/>
      <c r="I557" s="1309"/>
      <c r="J557" s="1307"/>
    </row>
    <row r="558" spans="2:10" ht="15.75" customHeight="1">
      <c r="B558" s="1307"/>
      <c r="D558" s="1307"/>
      <c r="E558" s="1307"/>
      <c r="F558" s="1307"/>
      <c r="G558" s="1340"/>
      <c r="H558" s="1340"/>
      <c r="I558" s="1309"/>
      <c r="J558" s="1307"/>
    </row>
    <row r="559" spans="2:10" ht="15.75" customHeight="1">
      <c r="B559" s="1307"/>
      <c r="D559" s="1307"/>
      <c r="E559" s="1307"/>
      <c r="F559" s="1307"/>
      <c r="G559" s="1340"/>
      <c r="H559" s="1340"/>
      <c r="I559" s="1309"/>
      <c r="J559" s="1307"/>
    </row>
    <row r="560" spans="2:10" ht="15.75" customHeight="1">
      <c r="B560" s="1307"/>
      <c r="D560" s="1307"/>
      <c r="E560" s="1307"/>
      <c r="F560" s="1307"/>
      <c r="G560" s="1340"/>
      <c r="H560" s="1340"/>
      <c r="I560" s="1309"/>
      <c r="J560" s="1307"/>
    </row>
    <row r="561" spans="2:10" ht="15.75" customHeight="1">
      <c r="B561" s="1307"/>
      <c r="D561" s="1307"/>
      <c r="E561" s="1307"/>
      <c r="F561" s="1307"/>
      <c r="G561" s="1340"/>
      <c r="H561" s="1340"/>
      <c r="I561" s="1309"/>
      <c r="J561" s="1307"/>
    </row>
    <row r="562" spans="2:10" ht="15.75" customHeight="1">
      <c r="B562" s="1307"/>
      <c r="D562" s="1307"/>
      <c r="E562" s="1307"/>
      <c r="F562" s="1307"/>
      <c r="G562" s="1340"/>
      <c r="H562" s="1340"/>
      <c r="I562" s="1309"/>
      <c r="J562" s="1307"/>
    </row>
    <row r="563" spans="2:10" ht="15.75" customHeight="1">
      <c r="B563" s="1307"/>
      <c r="D563" s="1307"/>
      <c r="E563" s="1307"/>
      <c r="F563" s="1307"/>
      <c r="G563" s="1340"/>
      <c r="H563" s="1340"/>
      <c r="I563" s="1309"/>
      <c r="J563" s="1307"/>
    </row>
    <row r="564" spans="2:10" ht="15.75" customHeight="1">
      <c r="B564" s="1307"/>
      <c r="D564" s="1307"/>
      <c r="E564" s="1307"/>
      <c r="F564" s="1307"/>
      <c r="G564" s="1340"/>
      <c r="H564" s="1340"/>
      <c r="I564" s="1309"/>
      <c r="J564" s="1307"/>
    </row>
    <row r="565" spans="2:10" ht="15.75" customHeight="1">
      <c r="B565" s="1307"/>
      <c r="D565" s="1307"/>
      <c r="E565" s="1307"/>
      <c r="F565" s="1307"/>
      <c r="G565" s="1340"/>
      <c r="H565" s="1340"/>
      <c r="I565" s="1309"/>
      <c r="J565" s="1307"/>
    </row>
    <row r="566" spans="2:10" ht="15.75" customHeight="1">
      <c r="B566" s="1307"/>
      <c r="D566" s="1307"/>
      <c r="E566" s="1307"/>
      <c r="F566" s="1307"/>
      <c r="G566" s="1340"/>
      <c r="H566" s="1340"/>
      <c r="I566" s="1309"/>
      <c r="J566" s="1307"/>
    </row>
    <row r="567" spans="2:10" ht="15.75" customHeight="1">
      <c r="B567" s="1307"/>
      <c r="D567" s="1307"/>
      <c r="E567" s="1307"/>
      <c r="F567" s="1307"/>
      <c r="G567" s="1340"/>
      <c r="H567" s="1340"/>
      <c r="I567" s="1309"/>
      <c r="J567" s="1307"/>
    </row>
    <row r="568" spans="2:10" ht="15.75" customHeight="1">
      <c r="B568" s="1307"/>
      <c r="D568" s="1307"/>
      <c r="E568" s="1307"/>
      <c r="F568" s="1307"/>
      <c r="G568" s="1340"/>
      <c r="H568" s="1340"/>
      <c r="I568" s="1309"/>
      <c r="J568" s="1307"/>
    </row>
    <row r="569" spans="2:10" ht="15.75" customHeight="1">
      <c r="B569" s="1307"/>
      <c r="D569" s="1307"/>
      <c r="E569" s="1307"/>
      <c r="F569" s="1307"/>
      <c r="G569" s="1340"/>
      <c r="H569" s="1340"/>
      <c r="I569" s="1309"/>
      <c r="J569" s="1307"/>
    </row>
    <row r="570" spans="2:10" ht="15.75" customHeight="1">
      <c r="B570" s="1307"/>
      <c r="D570" s="1307"/>
      <c r="E570" s="1307"/>
      <c r="F570" s="1307"/>
      <c r="G570" s="1340"/>
      <c r="H570" s="1340"/>
      <c r="I570" s="1309"/>
      <c r="J570" s="1307"/>
    </row>
    <row r="571" spans="2:10" ht="15.75" customHeight="1">
      <c r="B571" s="1307"/>
      <c r="D571" s="1307"/>
      <c r="E571" s="1307"/>
      <c r="F571" s="1307"/>
      <c r="G571" s="1340"/>
      <c r="H571" s="1340"/>
      <c r="I571" s="1309"/>
      <c r="J571" s="1307"/>
    </row>
    <row r="572" spans="2:10" ht="15.75" customHeight="1">
      <c r="B572" s="1307"/>
      <c r="D572" s="1307"/>
      <c r="E572" s="1307"/>
      <c r="F572" s="1307"/>
      <c r="G572" s="1340"/>
      <c r="H572" s="1340"/>
      <c r="I572" s="1309"/>
      <c r="J572" s="1307"/>
    </row>
    <row r="573" spans="2:10" ht="15.75" customHeight="1">
      <c r="B573" s="1307"/>
      <c r="D573" s="1307"/>
      <c r="E573" s="1307"/>
      <c r="F573" s="1307"/>
      <c r="G573" s="1340"/>
      <c r="H573" s="1340"/>
      <c r="I573" s="1309"/>
      <c r="J573" s="1307"/>
    </row>
    <row r="574" spans="2:10" ht="15.75" customHeight="1">
      <c r="B574" s="1307"/>
      <c r="D574" s="1307"/>
      <c r="E574" s="1307"/>
      <c r="F574" s="1307"/>
      <c r="G574" s="1340"/>
      <c r="H574" s="1340"/>
      <c r="I574" s="1309"/>
      <c r="J574" s="1307"/>
    </row>
    <row r="575" spans="2:10" ht="15.75" customHeight="1">
      <c r="B575" s="1307"/>
      <c r="D575" s="1307"/>
      <c r="E575" s="1307"/>
      <c r="F575" s="1307"/>
      <c r="G575" s="1340"/>
      <c r="H575" s="1340"/>
      <c r="I575" s="1309"/>
      <c r="J575" s="1307"/>
    </row>
    <row r="576" spans="2:10" ht="15.75" customHeight="1">
      <c r="B576" s="1307"/>
      <c r="D576" s="1307"/>
      <c r="E576" s="1307"/>
      <c r="F576" s="1307"/>
      <c r="G576" s="1340"/>
      <c r="H576" s="1340"/>
      <c r="I576" s="1309"/>
      <c r="J576" s="1307"/>
    </row>
    <row r="577" spans="2:10" ht="15.75" customHeight="1">
      <c r="B577" s="1307"/>
      <c r="D577" s="1307"/>
      <c r="E577" s="1307"/>
      <c r="F577" s="1307"/>
      <c r="G577" s="1340"/>
      <c r="H577" s="1340"/>
      <c r="I577" s="1309"/>
      <c r="J577" s="1307"/>
    </row>
    <row r="578" spans="2:10" ht="15.75" customHeight="1">
      <c r="B578" s="1307"/>
      <c r="D578" s="1307"/>
      <c r="E578" s="1307"/>
      <c r="F578" s="1307"/>
      <c r="G578" s="1340"/>
      <c r="H578" s="1340"/>
      <c r="I578" s="1309"/>
      <c r="J578" s="1307"/>
    </row>
    <row r="579" spans="2:10" ht="15.75" customHeight="1">
      <c r="B579" s="1307"/>
      <c r="D579" s="1307"/>
      <c r="E579" s="1307"/>
      <c r="F579" s="1307"/>
      <c r="G579" s="1340"/>
      <c r="H579" s="1340"/>
      <c r="I579" s="1309"/>
      <c r="J579" s="1307"/>
    </row>
    <row r="580" spans="2:10" ht="15.75" customHeight="1">
      <c r="B580" s="1307"/>
      <c r="D580" s="1307"/>
      <c r="E580" s="1307"/>
      <c r="F580" s="1307"/>
      <c r="G580" s="1340"/>
      <c r="H580" s="1340"/>
      <c r="I580" s="1309"/>
      <c r="J580" s="1307"/>
    </row>
    <row r="581" spans="2:10" ht="15.75" customHeight="1">
      <c r="B581" s="1307"/>
      <c r="D581" s="1307"/>
      <c r="E581" s="1307"/>
      <c r="F581" s="1307"/>
      <c r="G581" s="1340"/>
      <c r="H581" s="1340"/>
      <c r="I581" s="1309"/>
      <c r="J581" s="1307"/>
    </row>
    <row r="582" spans="2:10" ht="15.75" customHeight="1">
      <c r="B582" s="1307"/>
      <c r="D582" s="1307"/>
      <c r="E582" s="1307"/>
      <c r="F582" s="1307"/>
      <c r="G582" s="1340"/>
      <c r="H582" s="1340"/>
      <c r="I582" s="1309"/>
      <c r="J582" s="1307"/>
    </row>
    <row r="583" spans="2:10" ht="15.75" customHeight="1">
      <c r="B583" s="1307"/>
      <c r="D583" s="1307"/>
      <c r="E583" s="1307"/>
      <c r="F583" s="1307"/>
      <c r="G583" s="1340"/>
      <c r="H583" s="1340"/>
      <c r="I583" s="1309"/>
      <c r="J583" s="1307"/>
    </row>
    <row r="584" spans="2:10" ht="15.75" customHeight="1">
      <c r="B584" s="1307"/>
      <c r="D584" s="1307"/>
      <c r="E584" s="1307"/>
      <c r="F584" s="1307"/>
      <c r="G584" s="1340"/>
      <c r="H584" s="1340"/>
      <c r="I584" s="1309"/>
      <c r="J584" s="1307"/>
    </row>
    <row r="585" spans="2:10" ht="15.75" customHeight="1">
      <c r="B585" s="1307"/>
      <c r="D585" s="1307"/>
      <c r="E585" s="1307"/>
      <c r="F585" s="1307"/>
      <c r="G585" s="1340"/>
      <c r="H585" s="1340"/>
      <c r="I585" s="1309"/>
      <c r="J585" s="1307"/>
    </row>
    <row r="586" spans="2:10" ht="15.75" customHeight="1">
      <c r="B586" s="1307"/>
      <c r="D586" s="1307"/>
      <c r="E586" s="1307"/>
      <c r="F586" s="1307"/>
      <c r="G586" s="1340"/>
      <c r="H586" s="1340"/>
      <c r="I586" s="1309"/>
      <c r="J586" s="1307"/>
    </row>
    <row r="587" spans="2:10" ht="15.75" customHeight="1">
      <c r="B587" s="1307"/>
      <c r="D587" s="1307"/>
      <c r="E587" s="1307"/>
      <c r="F587" s="1307"/>
      <c r="G587" s="1340"/>
      <c r="H587" s="1340"/>
      <c r="I587" s="1309"/>
      <c r="J587" s="1307"/>
    </row>
    <row r="588" spans="2:10" ht="15.75" customHeight="1">
      <c r="B588" s="1307"/>
      <c r="D588" s="1307"/>
      <c r="E588" s="1307"/>
      <c r="F588" s="1307"/>
      <c r="G588" s="1340"/>
      <c r="H588" s="1340"/>
      <c r="I588" s="1309"/>
      <c r="J588" s="1307"/>
    </row>
    <row r="589" spans="2:10" ht="15.75" customHeight="1">
      <c r="B589" s="1307"/>
      <c r="D589" s="1307"/>
      <c r="E589" s="1307"/>
      <c r="F589" s="1307"/>
      <c r="G589" s="1340"/>
      <c r="H589" s="1340"/>
      <c r="I589" s="1309"/>
      <c r="J589" s="1307"/>
    </row>
    <row r="590" spans="2:10" ht="15.75" customHeight="1">
      <c r="B590" s="1307"/>
      <c r="D590" s="1307"/>
      <c r="E590" s="1307"/>
      <c r="F590" s="1307"/>
      <c r="G590" s="1340"/>
      <c r="H590" s="1340"/>
      <c r="I590" s="1309"/>
      <c r="J590" s="1307"/>
    </row>
    <row r="591" spans="2:10" ht="15.75" customHeight="1">
      <c r="B591" s="1307"/>
      <c r="D591" s="1307"/>
      <c r="E591" s="1307"/>
      <c r="F591" s="1307"/>
      <c r="G591" s="1340"/>
      <c r="H591" s="1340"/>
      <c r="I591" s="1309"/>
      <c r="J591" s="1307"/>
    </row>
    <row r="592" spans="2:10" ht="15.75" customHeight="1">
      <c r="B592" s="1307"/>
      <c r="D592" s="1307"/>
      <c r="E592" s="1307"/>
      <c r="F592" s="1307"/>
      <c r="G592" s="1340"/>
      <c r="H592" s="1340"/>
      <c r="I592" s="1309"/>
      <c r="J592" s="1307"/>
    </row>
    <row r="593" spans="2:10" ht="15.75" customHeight="1">
      <c r="B593" s="1307"/>
      <c r="D593" s="1307"/>
      <c r="E593" s="1307"/>
      <c r="F593" s="1307"/>
      <c r="G593" s="1340"/>
      <c r="H593" s="1340"/>
      <c r="I593" s="1309"/>
      <c r="J593" s="1307"/>
    </row>
    <row r="594" spans="2:10" ht="15.75" customHeight="1">
      <c r="B594" s="1307"/>
      <c r="D594" s="1307"/>
      <c r="E594" s="1307"/>
      <c r="F594" s="1307"/>
      <c r="G594" s="1340"/>
      <c r="H594" s="1340"/>
      <c r="I594" s="1309"/>
      <c r="J594" s="1307"/>
    </row>
    <row r="595" spans="2:10" ht="15.75" customHeight="1">
      <c r="B595" s="1307"/>
      <c r="D595" s="1307"/>
      <c r="E595" s="1307"/>
      <c r="F595" s="1307"/>
      <c r="G595" s="1340"/>
      <c r="H595" s="1340"/>
      <c r="I595" s="1309"/>
      <c r="J595" s="1307"/>
    </row>
    <row r="596" spans="2:10" ht="15.75" customHeight="1">
      <c r="B596" s="1307"/>
      <c r="D596" s="1307"/>
      <c r="E596" s="1307"/>
      <c r="F596" s="1307"/>
      <c r="G596" s="1340"/>
      <c r="H596" s="1340"/>
      <c r="I596" s="1309"/>
      <c r="J596" s="1307"/>
    </row>
    <row r="597" spans="2:10" ht="15.75" customHeight="1">
      <c r="B597" s="1307"/>
      <c r="D597" s="1307"/>
      <c r="E597" s="1307"/>
      <c r="F597" s="1307"/>
      <c r="G597" s="1340"/>
      <c r="H597" s="1340"/>
      <c r="I597" s="1309"/>
      <c r="J597" s="1307"/>
    </row>
    <row r="598" spans="2:10" ht="15.75" customHeight="1">
      <c r="B598" s="1307"/>
      <c r="D598" s="1307"/>
      <c r="E598" s="1307"/>
      <c r="F598" s="1307"/>
      <c r="G598" s="1340"/>
      <c r="H598" s="1340"/>
      <c r="I598" s="1309"/>
      <c r="J598" s="1307"/>
    </row>
    <row r="599" spans="2:10" ht="15.75" customHeight="1">
      <c r="B599" s="1307"/>
      <c r="D599" s="1307"/>
      <c r="E599" s="1307"/>
      <c r="F599" s="1307"/>
      <c r="G599" s="1340"/>
      <c r="H599" s="1340"/>
      <c r="I599" s="1309"/>
      <c r="J599" s="1307"/>
    </row>
    <row r="600" spans="2:10" ht="15.75" customHeight="1">
      <c r="B600" s="1307"/>
      <c r="D600" s="1307"/>
      <c r="E600" s="1307"/>
      <c r="F600" s="1307"/>
      <c r="G600" s="1340"/>
      <c r="H600" s="1340"/>
      <c r="I600" s="1309"/>
      <c r="J600" s="1307"/>
    </row>
    <row r="601" spans="2:10" ht="15.75" customHeight="1">
      <c r="B601" s="1307"/>
      <c r="D601" s="1307"/>
      <c r="E601" s="1307"/>
      <c r="F601" s="1307"/>
      <c r="G601" s="1340"/>
      <c r="H601" s="1340"/>
      <c r="I601" s="1309"/>
      <c r="J601" s="1307"/>
    </row>
    <row r="602" spans="2:10" ht="15.75" customHeight="1">
      <c r="B602" s="1307"/>
      <c r="D602" s="1307"/>
      <c r="E602" s="1307"/>
      <c r="F602" s="1307"/>
      <c r="G602" s="1340"/>
      <c r="H602" s="1340"/>
      <c r="I602" s="1309"/>
      <c r="J602" s="1307"/>
    </row>
    <row r="603" spans="2:10" ht="15.75" customHeight="1">
      <c r="B603" s="1307"/>
      <c r="D603" s="1307"/>
      <c r="E603" s="1307"/>
      <c r="F603" s="1307"/>
      <c r="G603" s="1340"/>
      <c r="H603" s="1340"/>
      <c r="I603" s="1309"/>
      <c r="J603" s="1307"/>
    </row>
    <row r="604" spans="2:10" ht="15.75" customHeight="1">
      <c r="B604" s="1307"/>
      <c r="D604" s="1307"/>
      <c r="E604" s="1307"/>
      <c r="F604" s="1307"/>
      <c r="G604" s="1340"/>
      <c r="H604" s="1340"/>
      <c r="I604" s="1309"/>
      <c r="J604" s="1307"/>
    </row>
    <row r="605" spans="2:10" ht="15.75" customHeight="1">
      <c r="B605" s="1307"/>
      <c r="D605" s="1307"/>
      <c r="E605" s="1307"/>
      <c r="F605" s="1307"/>
      <c r="G605" s="1340"/>
      <c r="H605" s="1340"/>
      <c r="I605" s="1309"/>
      <c r="J605" s="1307"/>
    </row>
    <row r="606" spans="2:10" ht="15.75" customHeight="1">
      <c r="B606" s="1307"/>
      <c r="D606" s="1307"/>
      <c r="E606" s="1307"/>
      <c r="F606" s="1307"/>
      <c r="G606" s="1340"/>
      <c r="H606" s="1340"/>
      <c r="I606" s="1309"/>
      <c r="J606" s="1307"/>
    </row>
    <row r="607" spans="2:10" ht="15.75" customHeight="1">
      <c r="B607" s="1307"/>
      <c r="D607" s="1307"/>
      <c r="E607" s="1307"/>
      <c r="F607" s="1307"/>
      <c r="G607" s="1340"/>
      <c r="H607" s="1340"/>
      <c r="I607" s="1309"/>
      <c r="J607" s="1307"/>
    </row>
    <row r="608" spans="2:10" ht="15.75" customHeight="1">
      <c r="B608" s="1307"/>
      <c r="D608" s="1307"/>
      <c r="E608" s="1307"/>
      <c r="F608" s="1307"/>
      <c r="G608" s="1340"/>
      <c r="H608" s="1340"/>
      <c r="I608" s="1309"/>
      <c r="J608" s="1307"/>
    </row>
    <row r="609" spans="2:10" ht="15.75" customHeight="1">
      <c r="B609" s="1307"/>
      <c r="D609" s="1307"/>
      <c r="E609" s="1307"/>
      <c r="F609" s="1307"/>
      <c r="G609" s="1340"/>
      <c r="H609" s="1340"/>
      <c r="I609" s="1309"/>
      <c r="J609" s="1307"/>
    </row>
    <row r="610" spans="2:10" ht="15.75" customHeight="1">
      <c r="B610" s="1307"/>
      <c r="D610" s="1307"/>
      <c r="E610" s="1307"/>
      <c r="F610" s="1307"/>
      <c r="G610" s="1340"/>
      <c r="H610" s="1340"/>
      <c r="I610" s="1309"/>
      <c r="J610" s="1307"/>
    </row>
    <row r="611" spans="2:10" ht="15.75" customHeight="1">
      <c r="B611" s="1307"/>
      <c r="D611" s="1307"/>
      <c r="E611" s="1307"/>
      <c r="F611" s="1307"/>
      <c r="G611" s="1340"/>
      <c r="H611" s="1340"/>
      <c r="I611" s="1309"/>
      <c r="J611" s="1307"/>
    </row>
    <row r="612" spans="2:10" ht="15.75" customHeight="1">
      <c r="B612" s="1307"/>
      <c r="D612" s="1307"/>
      <c r="E612" s="1307"/>
      <c r="F612" s="1307"/>
      <c r="G612" s="1340"/>
      <c r="H612" s="1340"/>
      <c r="I612" s="1309"/>
      <c r="J612" s="1307"/>
    </row>
    <row r="613" spans="2:10" ht="15.75" customHeight="1">
      <c r="B613" s="1307"/>
      <c r="D613" s="1307"/>
      <c r="E613" s="1307"/>
      <c r="F613" s="1307"/>
      <c r="G613" s="1340"/>
      <c r="H613" s="1340"/>
      <c r="I613" s="1309"/>
      <c r="J613" s="1307"/>
    </row>
    <row r="614" spans="2:10" ht="15.75" customHeight="1">
      <c r="B614" s="1307"/>
      <c r="D614" s="1307"/>
      <c r="E614" s="1307"/>
      <c r="F614" s="1307"/>
      <c r="G614" s="1340"/>
      <c r="H614" s="1340"/>
      <c r="I614" s="1309"/>
      <c r="J614" s="1307"/>
    </row>
    <row r="615" spans="2:10" ht="15.75" customHeight="1">
      <c r="B615" s="1307"/>
      <c r="D615" s="1307"/>
      <c r="E615" s="1307"/>
      <c r="F615" s="1307"/>
      <c r="G615" s="1340"/>
      <c r="H615" s="1340"/>
      <c r="I615" s="1309"/>
      <c r="J615" s="1307"/>
    </row>
    <row r="616" spans="2:10" ht="15.75" customHeight="1">
      <c r="B616" s="1307"/>
      <c r="D616" s="1307"/>
      <c r="E616" s="1307"/>
      <c r="F616" s="1307"/>
      <c r="G616" s="1340"/>
      <c r="H616" s="1340"/>
      <c r="I616" s="1309"/>
      <c r="J616" s="1307"/>
    </row>
    <row r="617" spans="2:10" ht="15.75" customHeight="1">
      <c r="B617" s="1307"/>
      <c r="D617" s="1307"/>
      <c r="E617" s="1307"/>
      <c r="F617" s="1307"/>
      <c r="G617" s="1340"/>
      <c r="H617" s="1340"/>
      <c r="I617" s="1309"/>
      <c r="J617" s="1307"/>
    </row>
    <row r="618" spans="2:10" ht="15.75" customHeight="1">
      <c r="B618" s="1307"/>
      <c r="D618" s="1307"/>
      <c r="E618" s="1307"/>
      <c r="F618" s="1307"/>
      <c r="G618" s="1340"/>
      <c r="H618" s="1340"/>
      <c r="I618" s="1309"/>
      <c r="J618" s="1307"/>
    </row>
    <row r="619" spans="2:10" ht="15.75" customHeight="1">
      <c r="B619" s="1307"/>
      <c r="D619" s="1307"/>
      <c r="E619" s="1307"/>
      <c r="F619" s="1307"/>
      <c r="G619" s="1340"/>
      <c r="H619" s="1340"/>
      <c r="I619" s="1309"/>
      <c r="J619" s="1307"/>
    </row>
    <row r="620" spans="2:10" ht="15.75" customHeight="1">
      <c r="B620" s="1307"/>
      <c r="D620" s="1307"/>
      <c r="E620" s="1307"/>
      <c r="F620" s="1307"/>
      <c r="G620" s="1340"/>
      <c r="H620" s="1340"/>
      <c r="I620" s="1309"/>
      <c r="J620" s="1307"/>
    </row>
    <row r="621" spans="2:10" ht="15.75" customHeight="1">
      <c r="B621" s="1307"/>
      <c r="D621" s="1307"/>
      <c r="E621" s="1307"/>
      <c r="F621" s="1307"/>
      <c r="G621" s="1340"/>
      <c r="H621" s="1340"/>
      <c r="I621" s="1309"/>
      <c r="J621" s="1307"/>
    </row>
    <row r="622" spans="2:10" ht="15.75" customHeight="1">
      <c r="B622" s="1307"/>
      <c r="D622" s="1307"/>
      <c r="E622" s="1307"/>
      <c r="F622" s="1307"/>
      <c r="G622" s="1340"/>
      <c r="H622" s="1340"/>
      <c r="I622" s="1309"/>
      <c r="J622" s="1307"/>
    </row>
    <row r="623" spans="2:10" ht="15.75" customHeight="1">
      <c r="B623" s="1307"/>
      <c r="D623" s="1307"/>
      <c r="E623" s="1307"/>
      <c r="F623" s="1307"/>
      <c r="G623" s="1340"/>
      <c r="H623" s="1340"/>
      <c r="I623" s="1309"/>
      <c r="J623" s="1307"/>
    </row>
    <row r="624" spans="2:10" ht="15.75" customHeight="1">
      <c r="B624" s="1307"/>
      <c r="D624" s="1307"/>
      <c r="E624" s="1307"/>
      <c r="F624" s="1307"/>
      <c r="G624" s="1340"/>
      <c r="H624" s="1340"/>
      <c r="I624" s="1309"/>
      <c r="J624" s="1307"/>
    </row>
    <row r="625" spans="2:10" ht="15.75" customHeight="1">
      <c r="B625" s="1307"/>
      <c r="D625" s="1307"/>
      <c r="E625" s="1307"/>
      <c r="F625" s="1307"/>
      <c r="G625" s="1340"/>
      <c r="H625" s="1340"/>
      <c r="I625" s="1309"/>
      <c r="J625" s="1307"/>
    </row>
    <row r="626" spans="2:10" ht="15.75" customHeight="1">
      <c r="B626" s="1307"/>
      <c r="D626" s="1307"/>
      <c r="E626" s="1307"/>
      <c r="F626" s="1307"/>
      <c r="G626" s="1340"/>
      <c r="H626" s="1340"/>
      <c r="I626" s="1309"/>
      <c r="J626" s="1307"/>
    </row>
    <row r="627" spans="2:10" ht="15.75" customHeight="1">
      <c r="B627" s="1307"/>
      <c r="D627" s="1307"/>
      <c r="E627" s="1307"/>
      <c r="F627" s="1307"/>
      <c r="G627" s="1340"/>
      <c r="H627" s="1340"/>
      <c r="I627" s="1309"/>
      <c r="J627" s="1307"/>
    </row>
    <row r="628" spans="2:10" ht="15.75" customHeight="1">
      <c r="B628" s="1307"/>
      <c r="D628" s="1307"/>
      <c r="E628" s="1307"/>
      <c r="F628" s="1307"/>
      <c r="G628" s="1340"/>
      <c r="H628" s="1340"/>
      <c r="I628" s="1309"/>
      <c r="J628" s="1307"/>
    </row>
    <row r="629" spans="2:10" ht="15.75" customHeight="1">
      <c r="B629" s="1307"/>
      <c r="D629" s="1307"/>
      <c r="E629" s="1307"/>
      <c r="F629" s="1307"/>
      <c r="G629" s="1340"/>
      <c r="H629" s="1340"/>
      <c r="I629" s="1309"/>
      <c r="J629" s="1307"/>
    </row>
    <row r="630" spans="2:10" ht="15.75" customHeight="1">
      <c r="B630" s="1307"/>
      <c r="D630" s="1307"/>
      <c r="E630" s="1307"/>
      <c r="F630" s="1307"/>
      <c r="G630" s="1340"/>
      <c r="H630" s="1340"/>
      <c r="I630" s="1309"/>
      <c r="J630" s="1307"/>
    </row>
    <row r="631" spans="2:10" ht="15.75" customHeight="1">
      <c r="B631" s="1307"/>
      <c r="D631" s="1307"/>
      <c r="E631" s="1307"/>
      <c r="F631" s="1307"/>
      <c r="G631" s="1340"/>
      <c r="H631" s="1340"/>
      <c r="I631" s="1309"/>
      <c r="J631" s="1307"/>
    </row>
    <row r="632" spans="2:10" ht="15.75" customHeight="1">
      <c r="B632" s="1307"/>
      <c r="D632" s="1307"/>
      <c r="E632" s="1307"/>
      <c r="F632" s="1307"/>
      <c r="G632" s="1340"/>
      <c r="H632" s="1340"/>
      <c r="I632" s="1309"/>
      <c r="J632" s="1307"/>
    </row>
    <row r="633" spans="2:10" ht="15.75" customHeight="1">
      <c r="B633" s="1307"/>
      <c r="D633" s="1307"/>
      <c r="E633" s="1307"/>
      <c r="F633" s="1307"/>
      <c r="G633" s="1340"/>
      <c r="H633" s="1340"/>
      <c r="I633" s="1309"/>
      <c r="J633" s="1307"/>
    </row>
    <row r="634" spans="2:10" ht="15.75" customHeight="1">
      <c r="B634" s="1307"/>
      <c r="D634" s="1307"/>
      <c r="E634" s="1307"/>
      <c r="F634" s="1307"/>
      <c r="G634" s="1340"/>
      <c r="H634" s="1340"/>
      <c r="I634" s="1309"/>
      <c r="J634" s="1307"/>
    </row>
    <row r="635" spans="2:10" ht="15.75" customHeight="1">
      <c r="B635" s="1307"/>
      <c r="D635" s="1307"/>
      <c r="E635" s="1307"/>
      <c r="F635" s="1307"/>
      <c r="G635" s="1340"/>
      <c r="H635" s="1340"/>
      <c r="I635" s="1309"/>
      <c r="J635" s="1307"/>
    </row>
    <row r="636" spans="2:10" ht="15.75" customHeight="1">
      <c r="B636" s="1307"/>
      <c r="D636" s="1307"/>
      <c r="E636" s="1307"/>
      <c r="F636" s="1307"/>
      <c r="G636" s="1340"/>
      <c r="H636" s="1340"/>
      <c r="I636" s="1309"/>
      <c r="J636" s="1307"/>
    </row>
    <row r="637" spans="2:10" ht="15.75" customHeight="1">
      <c r="B637" s="1307"/>
      <c r="D637" s="1307"/>
      <c r="E637" s="1307"/>
      <c r="F637" s="1307"/>
      <c r="G637" s="1340"/>
      <c r="H637" s="1340"/>
      <c r="I637" s="1309"/>
      <c r="J637" s="1307"/>
    </row>
    <row r="638" spans="2:10" ht="15.75" customHeight="1">
      <c r="B638" s="1307"/>
      <c r="D638" s="1307"/>
      <c r="E638" s="1307"/>
      <c r="F638" s="1307"/>
      <c r="G638" s="1340"/>
      <c r="H638" s="1340"/>
      <c r="I638" s="1309"/>
      <c r="J638" s="1307"/>
    </row>
    <row r="639" spans="2:10" ht="15.75" customHeight="1">
      <c r="B639" s="1307"/>
      <c r="D639" s="1307"/>
      <c r="E639" s="1307"/>
      <c r="F639" s="1307"/>
      <c r="G639" s="1340"/>
      <c r="H639" s="1340"/>
      <c r="I639" s="1309"/>
      <c r="J639" s="1307"/>
    </row>
    <row r="640" spans="2:10" ht="15.75" customHeight="1">
      <c r="B640" s="1307"/>
      <c r="D640" s="1307"/>
      <c r="E640" s="1307"/>
      <c r="F640" s="1307"/>
      <c r="G640" s="1340"/>
      <c r="H640" s="1340"/>
      <c r="I640" s="1309"/>
      <c r="J640" s="1307"/>
    </row>
    <row r="641" spans="2:10" ht="15.75" customHeight="1">
      <c r="B641" s="1307"/>
      <c r="D641" s="1307"/>
      <c r="E641" s="1307"/>
      <c r="F641" s="1307"/>
      <c r="G641" s="1340"/>
      <c r="H641" s="1340"/>
      <c r="I641" s="1309"/>
      <c r="J641" s="1307"/>
    </row>
    <row r="642" spans="2:10" ht="15.75" customHeight="1">
      <c r="B642" s="1307"/>
      <c r="D642" s="1307"/>
      <c r="E642" s="1307"/>
      <c r="F642" s="1307"/>
      <c r="G642" s="1340"/>
      <c r="H642" s="1340"/>
      <c r="I642" s="1309"/>
      <c r="J642" s="1307"/>
    </row>
    <row r="643" spans="2:10" ht="15.75" customHeight="1">
      <c r="B643" s="1307"/>
      <c r="D643" s="1307"/>
      <c r="E643" s="1307"/>
      <c r="F643" s="1307"/>
      <c r="G643" s="1340"/>
      <c r="H643" s="1340"/>
      <c r="I643" s="1309"/>
      <c r="J643" s="1307"/>
    </row>
    <row r="644" spans="2:10" ht="15.75" customHeight="1">
      <c r="B644" s="1307"/>
      <c r="D644" s="1307"/>
      <c r="E644" s="1307"/>
      <c r="F644" s="1307"/>
      <c r="G644" s="1340"/>
      <c r="H644" s="1340"/>
      <c r="I644" s="1309"/>
      <c r="J644" s="1307"/>
    </row>
    <row r="645" spans="2:10" ht="15.75" customHeight="1">
      <c r="B645" s="1307"/>
      <c r="D645" s="1307"/>
      <c r="E645" s="1307"/>
      <c r="F645" s="1307"/>
      <c r="G645" s="1340"/>
      <c r="H645" s="1340"/>
      <c r="I645" s="1309"/>
      <c r="J645" s="1307"/>
    </row>
    <row r="646" spans="2:10" ht="15.75" customHeight="1">
      <c r="B646" s="1307"/>
      <c r="D646" s="1307"/>
      <c r="E646" s="1307"/>
      <c r="F646" s="1307"/>
      <c r="G646" s="1340"/>
      <c r="H646" s="1340"/>
      <c r="I646" s="1309"/>
      <c r="J646" s="1307"/>
    </row>
    <row r="647" spans="2:10" ht="15.75" customHeight="1">
      <c r="B647" s="1307"/>
      <c r="D647" s="1307"/>
      <c r="E647" s="1307"/>
      <c r="F647" s="1307"/>
      <c r="G647" s="1340"/>
      <c r="H647" s="1340"/>
      <c r="I647" s="1309"/>
      <c r="J647" s="1307"/>
    </row>
    <row r="648" spans="2:10" ht="15.75" customHeight="1">
      <c r="B648" s="1307"/>
      <c r="D648" s="1307"/>
      <c r="E648" s="1307"/>
      <c r="F648" s="1307"/>
      <c r="G648" s="1340"/>
      <c r="H648" s="1340"/>
      <c r="I648" s="1309"/>
      <c r="J648" s="1307"/>
    </row>
    <row r="649" spans="2:10" ht="15.75" customHeight="1">
      <c r="B649" s="1307"/>
      <c r="D649" s="1307"/>
      <c r="E649" s="1307"/>
      <c r="F649" s="1307"/>
      <c r="G649" s="1340"/>
      <c r="H649" s="1340"/>
      <c r="I649" s="1309"/>
      <c r="J649" s="1307"/>
    </row>
    <row r="650" spans="2:10" ht="15.75" customHeight="1">
      <c r="B650" s="1307"/>
      <c r="D650" s="1307"/>
      <c r="E650" s="1307"/>
      <c r="F650" s="1307"/>
      <c r="G650" s="1340"/>
      <c r="H650" s="1340"/>
      <c r="I650" s="1309"/>
      <c r="J650" s="1307"/>
    </row>
    <row r="651" spans="2:10" ht="15.75" customHeight="1">
      <c r="B651" s="1307"/>
      <c r="D651" s="1307"/>
      <c r="E651" s="1307"/>
      <c r="F651" s="1307"/>
      <c r="G651" s="1340"/>
      <c r="H651" s="1340"/>
      <c r="I651" s="1309"/>
      <c r="J651" s="1307"/>
    </row>
    <row r="652" spans="2:10" ht="15.75" customHeight="1">
      <c r="B652" s="1307"/>
      <c r="D652" s="1307"/>
      <c r="E652" s="1307"/>
      <c r="F652" s="1307"/>
      <c r="G652" s="1340"/>
      <c r="H652" s="1340"/>
      <c r="I652" s="1309"/>
      <c r="J652" s="1307"/>
    </row>
    <row r="653" spans="2:10" ht="15.75" customHeight="1">
      <c r="B653" s="1307"/>
      <c r="D653" s="1307"/>
      <c r="E653" s="1307"/>
      <c r="F653" s="1307"/>
      <c r="G653" s="1340"/>
      <c r="H653" s="1340"/>
      <c r="I653" s="1309"/>
      <c r="J653" s="1307"/>
    </row>
    <row r="654" spans="2:10" ht="15.75" customHeight="1">
      <c r="B654" s="1307"/>
      <c r="D654" s="1307"/>
      <c r="E654" s="1307"/>
      <c r="F654" s="1307"/>
      <c r="G654" s="1340"/>
      <c r="H654" s="1340"/>
      <c r="I654" s="1309"/>
      <c r="J654" s="1307"/>
    </row>
    <row r="655" spans="2:10" ht="15.75" customHeight="1">
      <c r="B655" s="1307"/>
      <c r="D655" s="1307"/>
      <c r="E655" s="1307"/>
      <c r="F655" s="1307"/>
      <c r="G655" s="1340"/>
      <c r="H655" s="1340"/>
      <c r="I655" s="1309"/>
      <c r="J655" s="1307"/>
    </row>
    <row r="656" spans="2:10" ht="15.75" customHeight="1">
      <c r="B656" s="1307"/>
      <c r="D656" s="1307"/>
      <c r="E656" s="1307"/>
      <c r="F656" s="1307"/>
      <c r="G656" s="1340"/>
      <c r="H656" s="1340"/>
      <c r="I656" s="1309"/>
      <c r="J656" s="1307"/>
    </row>
    <row r="657" spans="2:10" ht="15.75" customHeight="1">
      <c r="B657" s="1307"/>
      <c r="D657" s="1307"/>
      <c r="E657" s="1307"/>
      <c r="F657" s="1307"/>
      <c r="G657" s="1340"/>
      <c r="H657" s="1340"/>
      <c r="I657" s="1309"/>
      <c r="J657" s="1307"/>
    </row>
    <row r="658" spans="2:10" ht="15.75" customHeight="1">
      <c r="B658" s="1307"/>
      <c r="D658" s="1307"/>
      <c r="E658" s="1307"/>
      <c r="F658" s="1307"/>
      <c r="G658" s="1340"/>
      <c r="H658" s="1340"/>
      <c r="I658" s="1309"/>
      <c r="J658" s="1307"/>
    </row>
    <row r="659" spans="2:10" ht="15.75" customHeight="1">
      <c r="B659" s="1307"/>
      <c r="D659" s="1307"/>
      <c r="E659" s="1307"/>
      <c r="F659" s="1307"/>
      <c r="G659" s="1340"/>
      <c r="H659" s="1340"/>
      <c r="I659" s="1309"/>
      <c r="J659" s="1307"/>
    </row>
    <row r="660" spans="2:10" ht="15.75" customHeight="1">
      <c r="B660" s="1307"/>
      <c r="D660" s="1307"/>
      <c r="E660" s="1307"/>
      <c r="F660" s="1307"/>
      <c r="G660" s="1340"/>
      <c r="H660" s="1340"/>
      <c r="I660" s="1309"/>
      <c r="J660" s="1307"/>
    </row>
    <row r="661" spans="2:10" ht="15.75" customHeight="1">
      <c r="B661" s="1307"/>
      <c r="D661" s="1307"/>
      <c r="E661" s="1307"/>
      <c r="F661" s="1307"/>
      <c r="G661" s="1340"/>
      <c r="H661" s="1340"/>
      <c r="I661" s="1309"/>
      <c r="J661" s="1307"/>
    </row>
    <row r="662" spans="2:10" ht="15.75" customHeight="1">
      <c r="B662" s="1307"/>
      <c r="D662" s="1307"/>
      <c r="E662" s="1307"/>
      <c r="F662" s="1307"/>
      <c r="G662" s="1340"/>
      <c r="H662" s="1340"/>
      <c r="I662" s="1309"/>
      <c r="J662" s="1307"/>
    </row>
    <row r="663" spans="2:10" ht="15.75" customHeight="1">
      <c r="B663" s="1307"/>
      <c r="D663" s="1307"/>
      <c r="E663" s="1307"/>
      <c r="F663" s="1307"/>
      <c r="G663" s="1340"/>
      <c r="H663" s="1340"/>
      <c r="I663" s="1309"/>
      <c r="J663" s="1307"/>
    </row>
    <row r="664" spans="2:10" ht="15.75" customHeight="1">
      <c r="B664" s="1307"/>
      <c r="D664" s="1307"/>
      <c r="E664" s="1307"/>
      <c r="F664" s="1307"/>
      <c r="G664" s="1340"/>
      <c r="H664" s="1340"/>
      <c r="I664" s="1309"/>
      <c r="J664" s="1307"/>
    </row>
    <row r="665" spans="2:10" ht="15.75" customHeight="1">
      <c r="B665" s="1307"/>
      <c r="D665" s="1307"/>
      <c r="E665" s="1307"/>
      <c r="F665" s="1307"/>
      <c r="G665" s="1340"/>
      <c r="H665" s="1340"/>
      <c r="I665" s="1309"/>
      <c r="J665" s="1307"/>
    </row>
    <row r="666" spans="2:10" ht="15.75" customHeight="1">
      <c r="B666" s="1307"/>
      <c r="D666" s="1307"/>
      <c r="E666" s="1307"/>
      <c r="F666" s="1307"/>
      <c r="G666" s="1340"/>
      <c r="H666" s="1340"/>
      <c r="I666" s="1309"/>
      <c r="J666" s="1307"/>
    </row>
    <row r="667" spans="2:10" ht="15.75" customHeight="1">
      <c r="B667" s="1307"/>
      <c r="D667" s="1307"/>
      <c r="E667" s="1307"/>
      <c r="F667" s="1307"/>
      <c r="G667" s="1340"/>
      <c r="H667" s="1340"/>
      <c r="I667" s="1309"/>
      <c r="J667" s="1307"/>
    </row>
    <row r="668" spans="2:10" ht="15.75" customHeight="1">
      <c r="B668" s="1307"/>
      <c r="D668" s="1307"/>
      <c r="E668" s="1307"/>
      <c r="F668" s="1307"/>
      <c r="G668" s="1340"/>
      <c r="H668" s="1340"/>
      <c r="I668" s="1309"/>
      <c r="J668" s="1307"/>
    </row>
    <row r="669" spans="2:10" ht="15.75" customHeight="1">
      <c r="B669" s="1307"/>
      <c r="D669" s="1307"/>
      <c r="E669" s="1307"/>
      <c r="F669" s="1307"/>
      <c r="G669" s="1340"/>
      <c r="H669" s="1340"/>
      <c r="I669" s="1309"/>
      <c r="J669" s="1307"/>
    </row>
    <row r="670" spans="2:10" ht="15.75" customHeight="1">
      <c r="B670" s="1307"/>
      <c r="D670" s="1307"/>
      <c r="E670" s="1307"/>
      <c r="F670" s="1307"/>
      <c r="G670" s="1340"/>
      <c r="H670" s="1340"/>
      <c r="I670" s="1309"/>
      <c r="J670" s="1307"/>
    </row>
    <row r="671" spans="2:10" ht="15.75" customHeight="1">
      <c r="B671" s="1307"/>
      <c r="D671" s="1307"/>
      <c r="E671" s="1307"/>
      <c r="F671" s="1307"/>
      <c r="G671" s="1340"/>
      <c r="H671" s="1340"/>
      <c r="I671" s="1309"/>
      <c r="J671" s="1307"/>
    </row>
    <row r="672" spans="2:10" ht="15.75" customHeight="1">
      <c r="B672" s="1307"/>
      <c r="D672" s="1307"/>
      <c r="E672" s="1307"/>
      <c r="F672" s="1307"/>
      <c r="G672" s="1340"/>
      <c r="H672" s="1340"/>
      <c r="I672" s="1309"/>
      <c r="J672" s="1307"/>
    </row>
    <row r="673" spans="2:10" ht="15.75" customHeight="1">
      <c r="B673" s="1307"/>
      <c r="D673" s="1307"/>
      <c r="E673" s="1307"/>
      <c r="F673" s="1307"/>
      <c r="G673" s="1340"/>
      <c r="H673" s="1340"/>
      <c r="I673" s="1309"/>
      <c r="J673" s="1307"/>
    </row>
    <row r="674" spans="2:10" ht="15.75" customHeight="1">
      <c r="B674" s="1307"/>
      <c r="D674" s="1307"/>
      <c r="E674" s="1307"/>
      <c r="F674" s="1307"/>
      <c r="G674" s="1340"/>
      <c r="H674" s="1340"/>
      <c r="I674" s="1309"/>
      <c r="J674" s="1307"/>
    </row>
    <row r="675" spans="2:10" ht="15.75" customHeight="1">
      <c r="B675" s="1307"/>
      <c r="D675" s="1307"/>
      <c r="E675" s="1307"/>
      <c r="F675" s="1307"/>
      <c r="G675" s="1340"/>
      <c r="H675" s="1340"/>
      <c r="I675" s="1309"/>
      <c r="J675" s="1307"/>
    </row>
    <row r="676" spans="2:10" ht="15.75" customHeight="1">
      <c r="B676" s="1307"/>
      <c r="D676" s="1307"/>
      <c r="E676" s="1307"/>
      <c r="F676" s="1307"/>
      <c r="G676" s="1340"/>
      <c r="H676" s="1340"/>
      <c r="I676" s="1309"/>
      <c r="J676" s="1307"/>
    </row>
    <row r="677" spans="2:10" ht="15.75" customHeight="1">
      <c r="B677" s="1307"/>
      <c r="D677" s="1307"/>
      <c r="E677" s="1307"/>
      <c r="F677" s="1307"/>
      <c r="G677" s="1340"/>
      <c r="H677" s="1340"/>
      <c r="I677" s="1309"/>
      <c r="J677" s="1307"/>
    </row>
    <row r="678" spans="2:10" ht="15.75" customHeight="1">
      <c r="B678" s="1307"/>
      <c r="D678" s="1307"/>
      <c r="E678" s="1307"/>
      <c r="F678" s="1307"/>
      <c r="G678" s="1340"/>
      <c r="H678" s="1340"/>
      <c r="I678" s="1309"/>
      <c r="J678" s="1307"/>
    </row>
    <row r="679" spans="2:10" ht="15.75" customHeight="1">
      <c r="B679" s="1307"/>
      <c r="D679" s="1307"/>
      <c r="E679" s="1307"/>
      <c r="F679" s="1307"/>
      <c r="G679" s="1340"/>
      <c r="H679" s="1340"/>
      <c r="I679" s="1309"/>
      <c r="J679" s="1307"/>
    </row>
    <row r="680" spans="2:10" ht="15.75" customHeight="1">
      <c r="B680" s="1307"/>
      <c r="D680" s="1307"/>
      <c r="E680" s="1307"/>
      <c r="F680" s="1307"/>
      <c r="G680" s="1340"/>
      <c r="H680" s="1340"/>
      <c r="I680" s="1309"/>
      <c r="J680" s="1307"/>
    </row>
    <row r="681" spans="2:10" ht="15.75" customHeight="1">
      <c r="B681" s="1307"/>
      <c r="D681" s="1307"/>
      <c r="E681" s="1307"/>
      <c r="F681" s="1307"/>
      <c r="G681" s="1340"/>
      <c r="H681" s="1340"/>
      <c r="I681" s="1309"/>
      <c r="J681" s="1307"/>
    </row>
    <row r="682" spans="2:10" ht="15.75" customHeight="1">
      <c r="B682" s="1307"/>
      <c r="D682" s="1307"/>
      <c r="E682" s="1307"/>
      <c r="F682" s="1307"/>
      <c r="G682" s="1340"/>
      <c r="H682" s="1340"/>
      <c r="I682" s="1309"/>
      <c r="J682" s="1307"/>
    </row>
    <row r="683" spans="2:10" ht="15.75" customHeight="1">
      <c r="B683" s="1307"/>
      <c r="D683" s="1307"/>
      <c r="E683" s="1307"/>
      <c r="F683" s="1307"/>
      <c r="G683" s="1340"/>
      <c r="H683" s="1340"/>
      <c r="I683" s="1309"/>
      <c r="J683" s="1307"/>
    </row>
    <row r="684" spans="2:10" ht="15.75" customHeight="1">
      <c r="B684" s="1307"/>
      <c r="D684" s="1307"/>
      <c r="E684" s="1307"/>
      <c r="F684" s="1307"/>
      <c r="G684" s="1340"/>
      <c r="H684" s="1340"/>
      <c r="I684" s="1309"/>
      <c r="J684" s="1307"/>
    </row>
    <row r="685" spans="2:10" ht="15.75" customHeight="1">
      <c r="B685" s="1307"/>
      <c r="D685" s="1307"/>
      <c r="E685" s="1307"/>
      <c r="F685" s="1307"/>
      <c r="G685" s="1340"/>
      <c r="H685" s="1340"/>
      <c r="I685" s="1309"/>
      <c r="J685" s="1307"/>
    </row>
    <row r="686" spans="2:10" ht="15.75" customHeight="1">
      <c r="B686" s="1307"/>
      <c r="D686" s="1307"/>
      <c r="E686" s="1307"/>
      <c r="F686" s="1307"/>
      <c r="G686" s="1340"/>
      <c r="H686" s="1340"/>
      <c r="I686" s="1309"/>
      <c r="J686" s="1307"/>
    </row>
    <row r="687" spans="2:10" ht="15.75" customHeight="1">
      <c r="B687" s="1307"/>
      <c r="D687" s="1307"/>
      <c r="E687" s="1307"/>
      <c r="F687" s="1307"/>
      <c r="G687" s="1340"/>
      <c r="H687" s="1340"/>
      <c r="I687" s="1309"/>
      <c r="J687" s="1307"/>
    </row>
    <row r="688" spans="2:10" ht="15.75" customHeight="1">
      <c r="B688" s="1307"/>
      <c r="D688" s="1307"/>
      <c r="E688" s="1307"/>
      <c r="F688" s="1307"/>
      <c r="G688" s="1340"/>
      <c r="H688" s="1340"/>
      <c r="I688" s="1309"/>
      <c r="J688" s="1307"/>
    </row>
    <row r="689" spans="2:10" ht="15.75" customHeight="1">
      <c r="B689" s="1307"/>
      <c r="D689" s="1307"/>
      <c r="E689" s="1307"/>
      <c r="F689" s="1307"/>
      <c r="G689" s="1340"/>
      <c r="H689" s="1340"/>
      <c r="I689" s="1309"/>
      <c r="J689" s="1307"/>
    </row>
    <row r="690" spans="2:10" ht="15.75" customHeight="1">
      <c r="B690" s="1307"/>
      <c r="D690" s="1307"/>
      <c r="E690" s="1307"/>
      <c r="F690" s="1307"/>
      <c r="G690" s="1340"/>
      <c r="H690" s="1340"/>
      <c r="I690" s="1309"/>
      <c r="J690" s="1307"/>
    </row>
    <row r="691" spans="2:10" ht="15.75" customHeight="1">
      <c r="B691" s="1307"/>
      <c r="D691" s="1307"/>
      <c r="E691" s="1307"/>
      <c r="F691" s="1307"/>
      <c r="G691" s="1340"/>
      <c r="H691" s="1340"/>
      <c r="I691" s="1309"/>
      <c r="J691" s="1307"/>
    </row>
    <row r="692" spans="2:10" ht="15.75" customHeight="1">
      <c r="B692" s="1307"/>
      <c r="D692" s="1307"/>
      <c r="E692" s="1307"/>
      <c r="F692" s="1307"/>
      <c r="G692" s="1340"/>
      <c r="H692" s="1340"/>
      <c r="I692" s="1309"/>
      <c r="J692" s="1307"/>
    </row>
    <row r="693" spans="2:10" ht="15.75" customHeight="1">
      <c r="B693" s="1307"/>
      <c r="D693" s="1307"/>
      <c r="E693" s="1307"/>
      <c r="F693" s="1307"/>
      <c r="G693" s="1340"/>
      <c r="H693" s="1340"/>
      <c r="I693" s="1309"/>
      <c r="J693" s="1307"/>
    </row>
    <row r="694" spans="2:10" ht="15.75" customHeight="1">
      <c r="B694" s="1307"/>
      <c r="D694" s="1307"/>
      <c r="E694" s="1307"/>
      <c r="F694" s="1307"/>
      <c r="G694" s="1340"/>
      <c r="H694" s="1340"/>
      <c r="I694" s="1309"/>
      <c r="J694" s="1307"/>
    </row>
    <row r="695" spans="2:10" ht="15.75" customHeight="1">
      <c r="B695" s="1307"/>
      <c r="D695" s="1307"/>
      <c r="E695" s="1307"/>
      <c r="F695" s="1307"/>
      <c r="G695" s="1340"/>
      <c r="H695" s="1340"/>
      <c r="I695" s="1309"/>
      <c r="J695" s="1307"/>
    </row>
    <row r="696" spans="2:10" ht="15.75" customHeight="1">
      <c r="B696" s="1307"/>
      <c r="D696" s="1307"/>
      <c r="E696" s="1307"/>
      <c r="F696" s="1307"/>
      <c r="G696" s="1340"/>
      <c r="H696" s="1340"/>
      <c r="I696" s="1309"/>
      <c r="J696" s="1307"/>
    </row>
    <row r="697" spans="2:10" ht="15.75" customHeight="1">
      <c r="B697" s="1307"/>
      <c r="D697" s="1307"/>
      <c r="E697" s="1307"/>
      <c r="F697" s="1307"/>
      <c r="G697" s="1340"/>
      <c r="H697" s="1340"/>
      <c r="I697" s="1309"/>
      <c r="J697" s="1307"/>
    </row>
    <row r="698" spans="2:10" ht="15.75" customHeight="1">
      <c r="B698" s="1307"/>
      <c r="D698" s="1307"/>
      <c r="E698" s="1307"/>
      <c r="F698" s="1307"/>
      <c r="G698" s="1340"/>
      <c r="H698" s="1340"/>
      <c r="I698" s="1309"/>
      <c r="J698" s="1307"/>
    </row>
    <row r="699" spans="2:10" ht="15.75" customHeight="1">
      <c r="B699" s="1307"/>
      <c r="D699" s="1307"/>
      <c r="E699" s="1307"/>
      <c r="F699" s="1307"/>
      <c r="G699" s="1340"/>
      <c r="H699" s="1340"/>
      <c r="I699" s="1309"/>
      <c r="J699" s="1307"/>
    </row>
    <row r="700" spans="2:10" ht="15.75" customHeight="1">
      <c r="B700" s="1307"/>
      <c r="D700" s="1307"/>
      <c r="E700" s="1307"/>
      <c r="F700" s="1307"/>
      <c r="G700" s="1340"/>
      <c r="H700" s="1340"/>
      <c r="I700" s="1309"/>
      <c r="J700" s="1307"/>
    </row>
    <row r="701" spans="2:10" ht="15.75" customHeight="1">
      <c r="B701" s="1307"/>
      <c r="D701" s="1307"/>
      <c r="E701" s="1307"/>
      <c r="F701" s="1307"/>
      <c r="G701" s="1340"/>
      <c r="H701" s="1340"/>
      <c r="I701" s="1309"/>
      <c r="J701" s="1307"/>
    </row>
    <row r="702" spans="2:10" ht="15.75" customHeight="1">
      <c r="B702" s="1307"/>
      <c r="D702" s="1307"/>
      <c r="E702" s="1307"/>
      <c r="F702" s="1307"/>
      <c r="G702" s="1340"/>
      <c r="H702" s="1340"/>
      <c r="I702" s="1309"/>
      <c r="J702" s="1307"/>
    </row>
    <row r="703" spans="2:10" ht="15.75" customHeight="1">
      <c r="B703" s="1307"/>
      <c r="D703" s="1307"/>
      <c r="E703" s="1307"/>
      <c r="F703" s="1307"/>
      <c r="G703" s="1340"/>
      <c r="H703" s="1340"/>
      <c r="I703" s="1309"/>
      <c r="J703" s="1307"/>
    </row>
    <row r="704" spans="2:10" ht="15.75" customHeight="1">
      <c r="B704" s="1307"/>
      <c r="D704" s="1307"/>
      <c r="E704" s="1307"/>
      <c r="F704" s="1307"/>
      <c r="G704" s="1340"/>
      <c r="H704" s="1340"/>
      <c r="I704" s="1309"/>
      <c r="J704" s="1307"/>
    </row>
    <row r="705" spans="2:10" ht="15.75" customHeight="1">
      <c r="B705" s="1307"/>
      <c r="D705" s="1307"/>
      <c r="E705" s="1307"/>
      <c r="F705" s="1307"/>
      <c r="G705" s="1340"/>
      <c r="H705" s="1340"/>
      <c r="I705" s="1309"/>
      <c r="J705" s="1307"/>
    </row>
    <row r="706" spans="2:10" ht="15.75" customHeight="1">
      <c r="B706" s="1307"/>
      <c r="D706" s="1307"/>
      <c r="E706" s="1307"/>
      <c r="F706" s="1307"/>
      <c r="G706" s="1340"/>
      <c r="H706" s="1340"/>
      <c r="I706" s="1309"/>
      <c r="J706" s="1307"/>
    </row>
    <row r="707" spans="2:10" ht="15.75" customHeight="1">
      <c r="B707" s="1307"/>
      <c r="D707" s="1307"/>
      <c r="E707" s="1307"/>
      <c r="F707" s="1307"/>
      <c r="G707" s="1340"/>
      <c r="H707" s="1340"/>
      <c r="I707" s="1309"/>
      <c r="J707" s="1307"/>
    </row>
    <row r="708" spans="2:10" ht="15.75" customHeight="1">
      <c r="B708" s="1307"/>
      <c r="D708" s="1307"/>
      <c r="E708" s="1307"/>
      <c r="F708" s="1307"/>
      <c r="G708" s="1340"/>
      <c r="H708" s="1340"/>
      <c r="I708" s="1309"/>
      <c r="J708" s="1307"/>
    </row>
    <row r="709" spans="2:10" ht="15.75" customHeight="1">
      <c r="B709" s="1307"/>
      <c r="D709" s="1307"/>
      <c r="E709" s="1307"/>
      <c r="F709" s="1307"/>
      <c r="G709" s="1340"/>
      <c r="H709" s="1340"/>
      <c r="I709" s="1309"/>
      <c r="J709" s="1307"/>
    </row>
    <row r="710" spans="2:10" ht="15.75" customHeight="1">
      <c r="B710" s="1307"/>
      <c r="D710" s="1307"/>
      <c r="E710" s="1307"/>
      <c r="F710" s="1307"/>
      <c r="G710" s="1340"/>
      <c r="H710" s="1340"/>
      <c r="I710" s="1309"/>
      <c r="J710" s="1307"/>
    </row>
    <row r="711" spans="2:10" ht="15.75" customHeight="1">
      <c r="B711" s="1307"/>
      <c r="D711" s="1307"/>
      <c r="E711" s="1307"/>
      <c r="F711" s="1307"/>
      <c r="G711" s="1340"/>
      <c r="H711" s="1340"/>
      <c r="I711" s="1309"/>
      <c r="J711" s="1307"/>
    </row>
    <row r="712" spans="2:10" ht="15.75" customHeight="1">
      <c r="B712" s="1307"/>
      <c r="D712" s="1307"/>
      <c r="E712" s="1307"/>
      <c r="F712" s="1307"/>
      <c r="G712" s="1340"/>
      <c r="H712" s="1340"/>
      <c r="I712" s="1309"/>
      <c r="J712" s="1307"/>
    </row>
    <row r="713" spans="2:10" ht="15.75" customHeight="1">
      <c r="B713" s="1307"/>
      <c r="D713" s="1307"/>
      <c r="E713" s="1307"/>
      <c r="F713" s="1307"/>
      <c r="G713" s="1340"/>
      <c r="H713" s="1340"/>
      <c r="I713" s="1309"/>
      <c r="J713" s="1307"/>
    </row>
    <row r="714" spans="2:10" ht="15.75" customHeight="1">
      <c r="B714" s="1307"/>
      <c r="D714" s="1307"/>
      <c r="E714" s="1307"/>
      <c r="F714" s="1307"/>
      <c r="G714" s="1340"/>
      <c r="H714" s="1340"/>
      <c r="I714" s="1309"/>
      <c r="J714" s="1307"/>
    </row>
    <row r="715" spans="2:10" ht="15.75" customHeight="1">
      <c r="B715" s="1307"/>
      <c r="D715" s="1307"/>
      <c r="E715" s="1307"/>
      <c r="F715" s="1307"/>
      <c r="G715" s="1340"/>
      <c r="H715" s="1340"/>
      <c r="I715" s="1309"/>
      <c r="J715" s="1307"/>
    </row>
    <row r="716" spans="2:10" ht="15.75" customHeight="1">
      <c r="B716" s="1307"/>
      <c r="D716" s="1307"/>
      <c r="E716" s="1307"/>
      <c r="F716" s="1307"/>
      <c r="G716" s="1340"/>
      <c r="H716" s="1340"/>
      <c r="I716" s="1309"/>
      <c r="J716" s="1307"/>
    </row>
    <row r="717" spans="2:10" ht="15.75" customHeight="1">
      <c r="B717" s="1307"/>
      <c r="D717" s="1307"/>
      <c r="E717" s="1307"/>
      <c r="F717" s="1307"/>
      <c r="G717" s="1340"/>
      <c r="H717" s="1340"/>
      <c r="I717" s="1309"/>
      <c r="J717" s="1307"/>
    </row>
    <row r="718" spans="2:10" ht="15.75" customHeight="1">
      <c r="B718" s="1307"/>
      <c r="D718" s="1307"/>
      <c r="E718" s="1307"/>
      <c r="F718" s="1307"/>
      <c r="G718" s="1340"/>
      <c r="H718" s="1340"/>
      <c r="I718" s="1309"/>
      <c r="J718" s="1307"/>
    </row>
    <row r="719" spans="2:10" ht="15.75" customHeight="1">
      <c r="B719" s="1307"/>
      <c r="D719" s="1307"/>
      <c r="E719" s="1307"/>
      <c r="F719" s="1307"/>
      <c r="G719" s="1340"/>
      <c r="H719" s="1340"/>
      <c r="I719" s="1309"/>
      <c r="J719" s="1307"/>
    </row>
    <row r="720" spans="2:10" ht="15.75" customHeight="1">
      <c r="B720" s="1307"/>
      <c r="D720" s="1307"/>
      <c r="E720" s="1307"/>
      <c r="F720" s="1307"/>
      <c r="G720" s="1340"/>
      <c r="H720" s="1340"/>
      <c r="I720" s="1309"/>
      <c r="J720" s="1307"/>
    </row>
    <row r="721" spans="2:10" ht="15.75" customHeight="1">
      <c r="B721" s="1307"/>
      <c r="D721" s="1307"/>
      <c r="E721" s="1307"/>
      <c r="F721" s="1307"/>
      <c r="G721" s="1340"/>
      <c r="H721" s="1340"/>
      <c r="I721" s="1309"/>
      <c r="J721" s="1307"/>
    </row>
    <row r="722" spans="2:10" ht="15.75" customHeight="1">
      <c r="B722" s="1307"/>
      <c r="D722" s="1307"/>
      <c r="E722" s="1307"/>
      <c r="F722" s="1307"/>
      <c r="G722" s="1340"/>
      <c r="H722" s="1340"/>
      <c r="I722" s="1309"/>
      <c r="J722" s="1307"/>
    </row>
    <row r="723" spans="2:10" ht="15.75" customHeight="1">
      <c r="B723" s="1307"/>
      <c r="D723" s="1307"/>
      <c r="E723" s="1307"/>
      <c r="F723" s="1307"/>
      <c r="G723" s="1340"/>
      <c r="H723" s="1340"/>
      <c r="I723" s="1309"/>
      <c r="J723" s="1307"/>
    </row>
    <row r="724" spans="2:10" ht="15.75" customHeight="1">
      <c r="B724" s="1307"/>
      <c r="D724" s="1307"/>
      <c r="E724" s="1307"/>
      <c r="F724" s="1307"/>
      <c r="G724" s="1340"/>
      <c r="H724" s="1340"/>
      <c r="I724" s="1309"/>
      <c r="J724" s="1307"/>
    </row>
    <row r="725" spans="2:10" ht="15.75" customHeight="1">
      <c r="B725" s="1307"/>
      <c r="D725" s="1307"/>
      <c r="E725" s="1307"/>
      <c r="F725" s="1307"/>
      <c r="G725" s="1340"/>
      <c r="H725" s="1340"/>
      <c r="I725" s="1309"/>
      <c r="J725" s="1307"/>
    </row>
    <row r="726" spans="2:10" ht="15.75" customHeight="1">
      <c r="B726" s="1307"/>
      <c r="D726" s="1307"/>
      <c r="E726" s="1307"/>
      <c r="F726" s="1307"/>
      <c r="G726" s="1340"/>
      <c r="H726" s="1340"/>
      <c r="I726" s="1309"/>
      <c r="J726" s="1307"/>
    </row>
    <row r="727" spans="2:10" ht="15.75" customHeight="1">
      <c r="B727" s="1307"/>
      <c r="D727" s="1307"/>
      <c r="E727" s="1307"/>
      <c r="F727" s="1307"/>
      <c r="G727" s="1340"/>
      <c r="H727" s="1340"/>
      <c r="I727" s="1309"/>
      <c r="J727" s="1307"/>
    </row>
    <row r="728" spans="2:10" ht="15.75" customHeight="1">
      <c r="B728" s="1307"/>
      <c r="D728" s="1307"/>
      <c r="E728" s="1307"/>
      <c r="F728" s="1307"/>
      <c r="G728" s="1340"/>
      <c r="H728" s="1340"/>
      <c r="I728" s="1309"/>
      <c r="J728" s="1307"/>
    </row>
    <row r="729" spans="2:10" ht="15.75" customHeight="1">
      <c r="B729" s="1307"/>
      <c r="D729" s="1307"/>
      <c r="E729" s="1307"/>
      <c r="F729" s="1307"/>
      <c r="G729" s="1340"/>
      <c r="H729" s="1340"/>
      <c r="I729" s="1309"/>
      <c r="J729" s="1307"/>
    </row>
    <row r="730" spans="2:10" ht="15.75" customHeight="1">
      <c r="B730" s="1307"/>
      <c r="D730" s="1307"/>
      <c r="E730" s="1307"/>
      <c r="F730" s="1307"/>
      <c r="G730" s="1340"/>
      <c r="H730" s="1340"/>
      <c r="I730" s="1309"/>
      <c r="J730" s="1307"/>
    </row>
    <row r="731" spans="2:10" ht="15.75" customHeight="1">
      <c r="B731" s="1307"/>
      <c r="D731" s="1307"/>
      <c r="E731" s="1307"/>
      <c r="F731" s="1307"/>
      <c r="G731" s="1340"/>
      <c r="H731" s="1340"/>
      <c r="I731" s="1309"/>
      <c r="J731" s="1307"/>
    </row>
    <row r="732" spans="2:10" ht="15.75" customHeight="1">
      <c r="B732" s="1307"/>
      <c r="D732" s="1307"/>
      <c r="E732" s="1307"/>
      <c r="F732" s="1307"/>
      <c r="G732" s="1340"/>
      <c r="H732" s="1340"/>
      <c r="I732" s="1309"/>
      <c r="J732" s="1307"/>
    </row>
    <row r="733" spans="2:10" ht="15.75" customHeight="1">
      <c r="B733" s="1307"/>
      <c r="D733" s="1307"/>
      <c r="E733" s="1307"/>
      <c r="F733" s="1307"/>
      <c r="G733" s="1340"/>
      <c r="H733" s="1340"/>
      <c r="I733" s="1309"/>
      <c r="J733" s="1307"/>
    </row>
    <row r="734" spans="2:10" ht="15.75" customHeight="1">
      <c r="B734" s="1307"/>
      <c r="D734" s="1307"/>
      <c r="E734" s="1307"/>
      <c r="F734" s="1307"/>
      <c r="G734" s="1340"/>
      <c r="H734" s="1340"/>
      <c r="I734" s="1309"/>
      <c r="J734" s="1307"/>
    </row>
    <row r="735" spans="2:10" ht="15.75" customHeight="1">
      <c r="B735" s="1307"/>
      <c r="D735" s="1307"/>
      <c r="E735" s="1307"/>
      <c r="F735" s="1307"/>
      <c r="G735" s="1340"/>
      <c r="H735" s="1340"/>
      <c r="I735" s="1309"/>
      <c r="J735" s="1307"/>
    </row>
    <row r="736" spans="2:10" ht="15.75" customHeight="1">
      <c r="B736" s="1307"/>
      <c r="D736" s="1307"/>
      <c r="E736" s="1307"/>
      <c r="F736" s="1307"/>
      <c r="G736" s="1340"/>
      <c r="H736" s="1340"/>
      <c r="I736" s="1309"/>
      <c r="J736" s="1307"/>
    </row>
    <row r="737" spans="2:10" ht="15.75" customHeight="1">
      <c r="B737" s="1307"/>
      <c r="D737" s="1307"/>
      <c r="E737" s="1307"/>
      <c r="F737" s="1307"/>
      <c r="G737" s="1340"/>
      <c r="H737" s="1340"/>
      <c r="I737" s="1309"/>
      <c r="J737" s="1307"/>
    </row>
    <row r="738" spans="2:10" ht="15.75" customHeight="1">
      <c r="B738" s="1307"/>
      <c r="D738" s="1307"/>
      <c r="E738" s="1307"/>
      <c r="F738" s="1307"/>
      <c r="G738" s="1340"/>
      <c r="H738" s="1340"/>
      <c r="I738" s="1309"/>
      <c r="J738" s="1307"/>
    </row>
    <row r="739" spans="2:10" ht="15.75" customHeight="1">
      <c r="B739" s="1307"/>
      <c r="D739" s="1307"/>
      <c r="E739" s="1307"/>
      <c r="F739" s="1307"/>
      <c r="G739" s="1340"/>
      <c r="H739" s="1340"/>
      <c r="I739" s="1309"/>
      <c r="J739" s="1307"/>
    </row>
    <row r="740" spans="2:10" ht="15.75" customHeight="1">
      <c r="B740" s="1307"/>
      <c r="D740" s="1307"/>
      <c r="E740" s="1307"/>
      <c r="F740" s="1307"/>
      <c r="G740" s="1340"/>
      <c r="H740" s="1340"/>
      <c r="I740" s="1309"/>
      <c r="J740" s="1307"/>
    </row>
    <row r="741" spans="2:10" ht="15.75" customHeight="1">
      <c r="B741" s="1307"/>
      <c r="D741" s="1307"/>
      <c r="E741" s="1307"/>
      <c r="F741" s="1307"/>
      <c r="G741" s="1340"/>
      <c r="H741" s="1340"/>
      <c r="I741" s="1309"/>
      <c r="J741" s="1307"/>
    </row>
    <row r="742" spans="2:10" ht="15.75" customHeight="1">
      <c r="B742" s="1307"/>
      <c r="D742" s="1307"/>
      <c r="E742" s="1307"/>
      <c r="F742" s="1307"/>
      <c r="G742" s="1340"/>
      <c r="H742" s="1340"/>
      <c r="I742" s="1309"/>
      <c r="J742" s="1307"/>
    </row>
    <row r="743" spans="2:10" ht="15.75" customHeight="1">
      <c r="B743" s="1307"/>
      <c r="D743" s="1307"/>
      <c r="E743" s="1307"/>
      <c r="F743" s="1307"/>
      <c r="G743" s="1340"/>
      <c r="H743" s="1340"/>
      <c r="I743" s="1309"/>
      <c r="J743" s="1307"/>
    </row>
    <row r="744" spans="2:10" ht="15.75" customHeight="1">
      <c r="B744" s="1307"/>
      <c r="D744" s="1307"/>
      <c r="E744" s="1307"/>
      <c r="F744" s="1307"/>
      <c r="G744" s="1340"/>
      <c r="H744" s="1340"/>
      <c r="I744" s="1309"/>
      <c r="J744" s="1307"/>
    </row>
    <row r="745" spans="2:10" ht="15.75" customHeight="1">
      <c r="B745" s="1307"/>
      <c r="D745" s="1307"/>
      <c r="E745" s="1307"/>
      <c r="F745" s="1307"/>
      <c r="G745" s="1340"/>
      <c r="H745" s="1340"/>
      <c r="I745" s="1309"/>
      <c r="J745" s="1307"/>
    </row>
    <row r="746" spans="2:10" ht="15.75" customHeight="1">
      <c r="B746" s="1307"/>
      <c r="D746" s="1307"/>
      <c r="E746" s="1307"/>
      <c r="F746" s="1307"/>
      <c r="G746" s="1340"/>
      <c r="H746" s="1340"/>
      <c r="I746" s="1309"/>
      <c r="J746" s="1307"/>
    </row>
    <row r="747" spans="2:10" ht="15.75" customHeight="1">
      <c r="B747" s="1307"/>
      <c r="D747" s="1307"/>
      <c r="E747" s="1307"/>
      <c r="F747" s="1307"/>
      <c r="G747" s="1340"/>
      <c r="H747" s="1340"/>
      <c r="I747" s="1309"/>
      <c r="J747" s="1307"/>
    </row>
    <row r="748" spans="2:10" ht="15.75" customHeight="1">
      <c r="B748" s="1307"/>
      <c r="D748" s="1307"/>
      <c r="E748" s="1307"/>
      <c r="F748" s="1307"/>
      <c r="G748" s="1340"/>
      <c r="H748" s="1340"/>
      <c r="I748" s="1309"/>
      <c r="J748" s="1307"/>
    </row>
    <row r="749" spans="2:10" ht="15.75" customHeight="1">
      <c r="B749" s="1307"/>
      <c r="D749" s="1307"/>
      <c r="E749" s="1307"/>
      <c r="F749" s="1307"/>
      <c r="G749" s="1340"/>
      <c r="H749" s="1340"/>
      <c r="I749" s="1309"/>
      <c r="J749" s="1307"/>
    </row>
    <row r="750" spans="2:10" ht="15.75" customHeight="1">
      <c r="B750" s="1307"/>
      <c r="D750" s="1307"/>
      <c r="E750" s="1307"/>
      <c r="F750" s="1307"/>
      <c r="G750" s="1340"/>
      <c r="H750" s="1340"/>
      <c r="I750" s="1309"/>
      <c r="J750" s="1307"/>
    </row>
    <row r="751" spans="2:10" ht="15.75" customHeight="1">
      <c r="B751" s="1307"/>
      <c r="D751" s="1307"/>
      <c r="E751" s="1307"/>
      <c r="F751" s="1307"/>
      <c r="G751" s="1340"/>
      <c r="H751" s="1340"/>
      <c r="I751" s="1309"/>
      <c r="J751" s="1307"/>
    </row>
    <row r="752" spans="2:10" ht="15.75" customHeight="1">
      <c r="B752" s="1307"/>
      <c r="D752" s="1307"/>
      <c r="E752" s="1307"/>
      <c r="F752" s="1307"/>
      <c r="G752" s="1340"/>
      <c r="H752" s="1340"/>
      <c r="I752" s="1309"/>
      <c r="J752" s="1307"/>
    </row>
    <row r="753" spans="2:10" ht="15.75" customHeight="1">
      <c r="B753" s="1307"/>
      <c r="D753" s="1307"/>
      <c r="E753" s="1307"/>
      <c r="F753" s="1307"/>
      <c r="G753" s="1340"/>
      <c r="H753" s="1340"/>
      <c r="I753" s="1309"/>
      <c r="J753" s="1307"/>
    </row>
    <row r="754" spans="2:10" ht="15.75" customHeight="1">
      <c r="B754" s="1307"/>
      <c r="D754" s="1307"/>
      <c r="E754" s="1307"/>
      <c r="F754" s="1307"/>
      <c r="G754" s="1340"/>
      <c r="H754" s="1340"/>
      <c r="I754" s="1309"/>
      <c r="J754" s="1307"/>
    </row>
    <row r="755" spans="2:10" ht="15.75" customHeight="1">
      <c r="B755" s="1307"/>
      <c r="D755" s="1307"/>
      <c r="E755" s="1307"/>
      <c r="F755" s="1307"/>
      <c r="G755" s="1340"/>
      <c r="H755" s="1340"/>
      <c r="I755" s="1309"/>
      <c r="J755" s="1307"/>
    </row>
    <row r="756" spans="2:10" ht="15.75" customHeight="1">
      <c r="B756" s="1307"/>
      <c r="D756" s="1307"/>
      <c r="E756" s="1307"/>
      <c r="F756" s="1307"/>
      <c r="G756" s="1340"/>
      <c r="H756" s="1340"/>
      <c r="I756" s="1309"/>
      <c r="J756" s="1307"/>
    </row>
    <row r="757" spans="2:10" ht="15.75" customHeight="1">
      <c r="B757" s="1307"/>
      <c r="D757" s="1307"/>
      <c r="E757" s="1307"/>
      <c r="F757" s="1307"/>
      <c r="G757" s="1340"/>
      <c r="H757" s="1340"/>
      <c r="I757" s="1309"/>
      <c r="J757" s="1307"/>
    </row>
    <row r="758" spans="2:10" ht="15.75" customHeight="1">
      <c r="B758" s="1307"/>
      <c r="D758" s="1307"/>
      <c r="E758" s="1307"/>
      <c r="F758" s="1307"/>
      <c r="G758" s="1340"/>
      <c r="H758" s="1340"/>
      <c r="I758" s="1309"/>
      <c r="J758" s="1307"/>
    </row>
    <row r="759" spans="2:10" ht="15.75" customHeight="1">
      <c r="B759" s="1307"/>
      <c r="D759" s="1307"/>
      <c r="E759" s="1307"/>
      <c r="F759" s="1307"/>
      <c r="G759" s="1340"/>
      <c r="H759" s="1340"/>
      <c r="I759" s="1309"/>
      <c r="J759" s="1307"/>
    </row>
    <row r="760" spans="2:10" ht="15.75" customHeight="1">
      <c r="B760" s="1307"/>
      <c r="D760" s="1307"/>
      <c r="E760" s="1307"/>
      <c r="F760" s="1307"/>
      <c r="G760" s="1340"/>
      <c r="H760" s="1340"/>
      <c r="I760" s="1309"/>
      <c r="J760" s="1307"/>
    </row>
    <row r="761" spans="2:10" ht="15.75" customHeight="1">
      <c r="B761" s="1307"/>
      <c r="D761" s="1307"/>
      <c r="E761" s="1307"/>
      <c r="F761" s="1307"/>
      <c r="G761" s="1340"/>
      <c r="H761" s="1340"/>
      <c r="I761" s="1309"/>
      <c r="J761" s="1307"/>
    </row>
    <row r="762" spans="2:10" ht="15.75" customHeight="1">
      <c r="B762" s="1307"/>
      <c r="D762" s="1307"/>
      <c r="E762" s="1307"/>
      <c r="F762" s="1307"/>
      <c r="G762" s="1340"/>
      <c r="H762" s="1340"/>
      <c r="I762" s="1309"/>
      <c r="J762" s="1307"/>
    </row>
    <row r="763" spans="2:10" ht="15.75" customHeight="1">
      <c r="B763" s="1307"/>
      <c r="D763" s="1307"/>
      <c r="E763" s="1307"/>
      <c r="F763" s="1307"/>
      <c r="G763" s="1340"/>
      <c r="H763" s="1340"/>
      <c r="I763" s="1309"/>
      <c r="J763" s="1307"/>
    </row>
    <row r="764" spans="2:10" ht="15.75" customHeight="1">
      <c r="B764" s="1307"/>
      <c r="D764" s="1307"/>
      <c r="E764" s="1307"/>
      <c r="F764" s="1307"/>
      <c r="G764" s="1340"/>
      <c r="H764" s="1340"/>
      <c r="I764" s="1309"/>
      <c r="J764" s="1307"/>
    </row>
    <row r="765" spans="2:10" ht="15.75" customHeight="1">
      <c r="B765" s="1307"/>
      <c r="D765" s="1307"/>
      <c r="E765" s="1307"/>
      <c r="F765" s="1307"/>
      <c r="G765" s="1340"/>
      <c r="H765" s="1340"/>
      <c r="I765" s="1309"/>
      <c r="J765" s="1307"/>
    </row>
    <row r="766" spans="2:10" ht="15.75" customHeight="1">
      <c r="B766" s="1307"/>
      <c r="D766" s="1307"/>
      <c r="E766" s="1307"/>
      <c r="F766" s="1307"/>
      <c r="G766" s="1340"/>
      <c r="H766" s="1340"/>
      <c r="I766" s="1309"/>
      <c r="J766" s="1307"/>
    </row>
    <row r="767" spans="2:10" ht="15.75" customHeight="1">
      <c r="B767" s="1307"/>
      <c r="D767" s="1307"/>
      <c r="E767" s="1307"/>
      <c r="F767" s="1307"/>
      <c r="G767" s="1340"/>
      <c r="H767" s="1340"/>
      <c r="I767" s="1309"/>
      <c r="J767" s="1307"/>
    </row>
    <row r="768" spans="2:10" ht="15.75" customHeight="1">
      <c r="B768" s="1307"/>
      <c r="D768" s="1307"/>
      <c r="E768" s="1307"/>
      <c r="F768" s="1307"/>
      <c r="G768" s="1340"/>
      <c r="H768" s="1340"/>
      <c r="I768" s="1309"/>
      <c r="J768" s="1307"/>
    </row>
    <row r="769" spans="2:10" ht="15.75" customHeight="1">
      <c r="B769" s="1307"/>
      <c r="D769" s="1307"/>
      <c r="E769" s="1307"/>
      <c r="F769" s="1307"/>
      <c r="G769" s="1340"/>
      <c r="H769" s="1340"/>
      <c r="I769" s="1309"/>
      <c r="J769" s="1307"/>
    </row>
    <row r="770" spans="2:10" ht="15.75" customHeight="1">
      <c r="B770" s="1307"/>
      <c r="D770" s="1307"/>
      <c r="E770" s="1307"/>
      <c r="F770" s="1307"/>
      <c r="G770" s="1340"/>
      <c r="H770" s="1340"/>
      <c r="I770" s="1309"/>
      <c r="J770" s="1307"/>
    </row>
    <row r="771" spans="2:10" ht="15.75" customHeight="1">
      <c r="B771" s="1307"/>
      <c r="D771" s="1307"/>
      <c r="E771" s="1307"/>
      <c r="F771" s="1307"/>
      <c r="G771" s="1340"/>
      <c r="H771" s="1340"/>
      <c r="I771" s="1309"/>
      <c r="J771" s="1307"/>
    </row>
    <row r="772" spans="2:10" ht="15.75" customHeight="1">
      <c r="B772" s="1307"/>
      <c r="D772" s="1307"/>
      <c r="E772" s="1307"/>
      <c r="F772" s="1307"/>
      <c r="G772" s="1340"/>
      <c r="H772" s="1340"/>
      <c r="I772" s="1309"/>
      <c r="J772" s="1307"/>
    </row>
    <row r="773" spans="2:10" ht="15.75" customHeight="1">
      <c r="B773" s="1307"/>
      <c r="D773" s="1307"/>
      <c r="E773" s="1307"/>
      <c r="F773" s="1307"/>
      <c r="G773" s="1340"/>
      <c r="H773" s="1340"/>
      <c r="I773" s="1309"/>
      <c r="J773" s="1307"/>
    </row>
    <row r="774" spans="2:10" ht="15.75" customHeight="1">
      <c r="B774" s="1307"/>
      <c r="D774" s="1307"/>
      <c r="E774" s="1307"/>
      <c r="F774" s="1307"/>
      <c r="G774" s="1340"/>
      <c r="H774" s="1340"/>
      <c r="I774" s="1309"/>
      <c r="J774" s="1307"/>
    </row>
    <row r="775" spans="2:10" ht="15.75" customHeight="1">
      <c r="B775" s="1307"/>
      <c r="D775" s="1307"/>
      <c r="E775" s="1307"/>
      <c r="F775" s="1307"/>
      <c r="G775" s="1340"/>
      <c r="H775" s="1340"/>
      <c r="I775" s="1309"/>
      <c r="J775" s="1307"/>
    </row>
    <row r="776" spans="2:10" ht="15.75" customHeight="1">
      <c r="B776" s="1307"/>
      <c r="D776" s="1307"/>
      <c r="E776" s="1307"/>
      <c r="F776" s="1307"/>
      <c r="G776" s="1340"/>
      <c r="H776" s="1340"/>
      <c r="I776" s="1309"/>
      <c r="J776" s="1307"/>
    </row>
    <row r="777" spans="2:10" ht="15.75" customHeight="1">
      <c r="B777" s="1307"/>
      <c r="D777" s="1307"/>
      <c r="E777" s="1307"/>
      <c r="F777" s="1307"/>
      <c r="G777" s="1340"/>
      <c r="H777" s="1340"/>
      <c r="I777" s="1309"/>
      <c r="J777" s="1307"/>
    </row>
    <row r="778" spans="2:10" ht="15.75" customHeight="1">
      <c r="B778" s="1307"/>
      <c r="D778" s="1307"/>
      <c r="E778" s="1307"/>
      <c r="F778" s="1307"/>
      <c r="G778" s="1340"/>
      <c r="H778" s="1340"/>
      <c r="I778" s="1309"/>
      <c r="J778" s="1307"/>
    </row>
    <row r="779" spans="2:10" ht="15.75" customHeight="1">
      <c r="B779" s="1307"/>
      <c r="D779" s="1307"/>
      <c r="E779" s="1307"/>
      <c r="F779" s="1307"/>
      <c r="G779" s="1340"/>
      <c r="H779" s="1340"/>
      <c r="I779" s="1309"/>
      <c r="J779" s="1307"/>
    </row>
    <row r="780" spans="2:10" ht="15.75" customHeight="1">
      <c r="B780" s="1307"/>
      <c r="D780" s="1307"/>
      <c r="E780" s="1307"/>
      <c r="F780" s="1307"/>
      <c r="G780" s="1340"/>
      <c r="H780" s="1340"/>
      <c r="I780" s="1309"/>
      <c r="J780" s="1307"/>
    </row>
    <row r="781" spans="2:10" ht="15.75" customHeight="1">
      <c r="B781" s="1307"/>
      <c r="D781" s="1307"/>
      <c r="E781" s="1307"/>
      <c r="F781" s="1307"/>
      <c r="G781" s="1340"/>
      <c r="H781" s="1340"/>
      <c r="I781" s="1309"/>
      <c r="J781" s="1307"/>
    </row>
    <row r="782" spans="2:10" ht="15.75" customHeight="1">
      <c r="B782" s="1307"/>
      <c r="D782" s="1307"/>
      <c r="E782" s="1307"/>
      <c r="F782" s="1307"/>
      <c r="G782" s="1340"/>
      <c r="H782" s="1340"/>
      <c r="I782" s="1309"/>
      <c r="J782" s="1307"/>
    </row>
    <row r="783" spans="2:10" ht="15.75" customHeight="1">
      <c r="B783" s="1307"/>
      <c r="D783" s="1307"/>
      <c r="E783" s="1307"/>
      <c r="F783" s="1307"/>
      <c r="G783" s="1340"/>
      <c r="H783" s="1340"/>
      <c r="I783" s="1309"/>
      <c r="J783" s="1307"/>
    </row>
    <row r="784" spans="2:10" ht="15.75" customHeight="1">
      <c r="B784" s="1307"/>
      <c r="D784" s="1307"/>
      <c r="E784" s="1307"/>
      <c r="F784" s="1307"/>
      <c r="G784" s="1340"/>
      <c r="H784" s="1340"/>
      <c r="I784" s="1309"/>
      <c r="J784" s="1307"/>
    </row>
    <row r="785" spans="2:10" ht="15.75" customHeight="1">
      <c r="B785" s="1307"/>
      <c r="D785" s="1307"/>
      <c r="E785" s="1307"/>
      <c r="F785" s="1307"/>
      <c r="G785" s="1340"/>
      <c r="H785" s="1340"/>
      <c r="I785" s="1309"/>
      <c r="J785" s="1307"/>
    </row>
    <row r="786" spans="2:10" ht="15.75" customHeight="1">
      <c r="B786" s="1307"/>
      <c r="D786" s="1307"/>
      <c r="E786" s="1307"/>
      <c r="F786" s="1307"/>
      <c r="G786" s="1340"/>
      <c r="H786" s="1340"/>
      <c r="I786" s="1309"/>
      <c r="J786" s="1307"/>
    </row>
    <row r="787" spans="2:10" ht="15.75" customHeight="1">
      <c r="B787" s="1307"/>
      <c r="D787" s="1307"/>
      <c r="E787" s="1307"/>
      <c r="F787" s="1307"/>
      <c r="G787" s="1340"/>
      <c r="H787" s="1340"/>
      <c r="I787" s="1309"/>
      <c r="J787" s="1307"/>
    </row>
    <row r="788" spans="2:10" ht="15.75" customHeight="1">
      <c r="B788" s="1307"/>
      <c r="D788" s="1307"/>
      <c r="E788" s="1307"/>
      <c r="F788" s="1307"/>
      <c r="G788" s="1340"/>
      <c r="H788" s="1340"/>
      <c r="I788" s="1309"/>
      <c r="J788" s="1307"/>
    </row>
    <row r="789" spans="2:10" ht="15.75" customHeight="1">
      <c r="B789" s="1307"/>
      <c r="D789" s="1307"/>
      <c r="E789" s="1307"/>
      <c r="F789" s="1307"/>
      <c r="G789" s="1340"/>
      <c r="H789" s="1340"/>
      <c r="I789" s="1309"/>
      <c r="J789" s="1307"/>
    </row>
    <row r="790" spans="2:10" ht="15.75" customHeight="1">
      <c r="B790" s="1307"/>
      <c r="D790" s="1307"/>
      <c r="E790" s="1307"/>
      <c r="F790" s="1307"/>
      <c r="G790" s="1340"/>
      <c r="H790" s="1340"/>
      <c r="I790" s="1309"/>
      <c r="J790" s="1307"/>
    </row>
    <row r="791" spans="2:10" ht="15.75" customHeight="1">
      <c r="B791" s="1307"/>
      <c r="D791" s="1307"/>
      <c r="E791" s="1307"/>
      <c r="F791" s="1307"/>
      <c r="G791" s="1340"/>
      <c r="H791" s="1340"/>
      <c r="I791" s="1309"/>
      <c r="J791" s="1307"/>
    </row>
    <row r="792" spans="2:10" ht="15.75" customHeight="1">
      <c r="B792" s="1307"/>
      <c r="D792" s="1307"/>
      <c r="E792" s="1307"/>
      <c r="F792" s="1307"/>
      <c r="G792" s="1340"/>
      <c r="H792" s="1340"/>
      <c r="I792" s="1309"/>
      <c r="J792" s="1307"/>
    </row>
    <row r="793" spans="2:10" ht="15.75" customHeight="1">
      <c r="B793" s="1307"/>
      <c r="D793" s="1307"/>
      <c r="E793" s="1307"/>
      <c r="F793" s="1307"/>
      <c r="G793" s="1340"/>
      <c r="H793" s="1340"/>
      <c r="I793" s="1309"/>
      <c r="J793" s="1307"/>
    </row>
    <row r="794" spans="2:10" ht="15.75" customHeight="1">
      <c r="B794" s="1307"/>
      <c r="D794" s="1307"/>
      <c r="E794" s="1307"/>
      <c r="F794" s="1307"/>
      <c r="G794" s="1340"/>
      <c r="H794" s="1340"/>
      <c r="I794" s="1309"/>
      <c r="J794" s="1307"/>
    </row>
    <row r="795" spans="2:10" ht="15.75" customHeight="1">
      <c r="B795" s="1307"/>
      <c r="D795" s="1307"/>
      <c r="E795" s="1307"/>
      <c r="F795" s="1307"/>
      <c r="G795" s="1340"/>
      <c r="H795" s="1340"/>
      <c r="I795" s="1309"/>
      <c r="J795" s="1307"/>
    </row>
    <row r="796" spans="2:10" ht="15.75" customHeight="1">
      <c r="B796" s="1307"/>
      <c r="D796" s="1307"/>
      <c r="E796" s="1307"/>
      <c r="F796" s="1307"/>
      <c r="G796" s="1340"/>
      <c r="H796" s="1340"/>
      <c r="I796" s="1309"/>
      <c r="J796" s="1307"/>
    </row>
    <row r="797" spans="2:10" ht="15.75" customHeight="1">
      <c r="B797" s="1307"/>
      <c r="D797" s="1307"/>
      <c r="E797" s="1307"/>
      <c r="F797" s="1307"/>
      <c r="G797" s="1340"/>
      <c r="H797" s="1340"/>
      <c r="I797" s="1309"/>
      <c r="J797" s="1307"/>
    </row>
    <row r="798" spans="2:10" ht="15.75" customHeight="1">
      <c r="B798" s="1307"/>
      <c r="D798" s="1307"/>
      <c r="E798" s="1307"/>
      <c r="F798" s="1307"/>
      <c r="G798" s="1340"/>
      <c r="H798" s="1340"/>
      <c r="I798" s="1309"/>
      <c r="J798" s="1307"/>
    </row>
    <row r="799" spans="2:10" ht="15.75" customHeight="1">
      <c r="B799" s="1307"/>
      <c r="D799" s="1307"/>
      <c r="E799" s="1307"/>
      <c r="F799" s="1307"/>
      <c r="G799" s="1340"/>
      <c r="H799" s="1340"/>
      <c r="I799" s="1309"/>
      <c r="J799" s="1307"/>
    </row>
    <row r="800" spans="2:10" ht="15.75" customHeight="1">
      <c r="B800" s="1307"/>
      <c r="D800" s="1307"/>
      <c r="E800" s="1307"/>
      <c r="F800" s="1307"/>
      <c r="G800" s="1340"/>
      <c r="H800" s="1340"/>
      <c r="I800" s="1309"/>
      <c r="J800" s="1307"/>
    </row>
    <row r="801" spans="2:10" ht="15.75" customHeight="1">
      <c r="B801" s="1307"/>
      <c r="D801" s="1307"/>
      <c r="E801" s="1307"/>
      <c r="F801" s="1307"/>
      <c r="G801" s="1340"/>
      <c r="H801" s="1340"/>
      <c r="I801" s="1309"/>
      <c r="J801" s="1307"/>
    </row>
    <row r="802" spans="2:10" ht="15.75" customHeight="1">
      <c r="B802" s="1307"/>
      <c r="D802" s="1307"/>
      <c r="E802" s="1307"/>
      <c r="F802" s="1307"/>
      <c r="G802" s="1340"/>
      <c r="H802" s="1340"/>
      <c r="I802" s="1309"/>
      <c r="J802" s="1307"/>
    </row>
    <row r="803" spans="2:10" ht="15.75" customHeight="1">
      <c r="B803" s="1307"/>
      <c r="D803" s="1307"/>
      <c r="E803" s="1307"/>
      <c r="F803" s="1307"/>
      <c r="G803" s="1340"/>
      <c r="H803" s="1340"/>
      <c r="I803" s="1309"/>
      <c r="J803" s="1307"/>
    </row>
    <row r="804" spans="2:10" ht="15.75" customHeight="1">
      <c r="B804" s="1307"/>
      <c r="D804" s="1307"/>
      <c r="E804" s="1307"/>
      <c r="F804" s="1307"/>
      <c r="G804" s="1340"/>
      <c r="H804" s="1340"/>
      <c r="I804" s="1309"/>
      <c r="J804" s="1307"/>
    </row>
    <row r="805" spans="2:10" ht="15.75" customHeight="1">
      <c r="B805" s="1307"/>
      <c r="D805" s="1307"/>
      <c r="E805" s="1307"/>
      <c r="F805" s="1307"/>
      <c r="G805" s="1340"/>
      <c r="H805" s="1340"/>
      <c r="I805" s="1309"/>
      <c r="J805" s="1307"/>
    </row>
    <row r="806" spans="2:10" ht="15.75" customHeight="1">
      <c r="B806" s="1307"/>
      <c r="D806" s="1307"/>
      <c r="E806" s="1307"/>
      <c r="F806" s="1307"/>
      <c r="G806" s="1340"/>
      <c r="H806" s="1340"/>
      <c r="I806" s="1309"/>
      <c r="J806" s="1307"/>
    </row>
    <row r="807" spans="2:10" ht="15.75" customHeight="1">
      <c r="B807" s="1307"/>
      <c r="D807" s="1307"/>
      <c r="E807" s="1307"/>
      <c r="F807" s="1307"/>
      <c r="G807" s="1340"/>
      <c r="H807" s="1340"/>
      <c r="I807" s="1309"/>
      <c r="J807" s="1307"/>
    </row>
    <row r="808" spans="2:10" ht="15.75" customHeight="1">
      <c r="B808" s="1307"/>
      <c r="D808" s="1307"/>
      <c r="E808" s="1307"/>
      <c r="F808" s="1307"/>
      <c r="G808" s="1340"/>
      <c r="H808" s="1340"/>
      <c r="I808" s="1309"/>
      <c r="J808" s="1307"/>
    </row>
    <row r="809" spans="2:10" ht="15.75" customHeight="1">
      <c r="B809" s="1307"/>
      <c r="D809" s="1307"/>
      <c r="E809" s="1307"/>
      <c r="F809" s="1307"/>
      <c r="G809" s="1340"/>
      <c r="H809" s="1340"/>
      <c r="I809" s="1309"/>
      <c r="J809" s="1307"/>
    </row>
    <row r="810" spans="2:10" ht="15.75" customHeight="1">
      <c r="B810" s="1307"/>
      <c r="D810" s="1307"/>
      <c r="E810" s="1307"/>
      <c r="F810" s="1307"/>
      <c r="G810" s="1340"/>
      <c r="H810" s="1340"/>
      <c r="I810" s="1309"/>
      <c r="J810" s="1307"/>
    </row>
    <row r="811" spans="2:10" ht="15.75" customHeight="1">
      <c r="B811" s="1307"/>
      <c r="D811" s="1307"/>
      <c r="E811" s="1307"/>
      <c r="F811" s="1307"/>
      <c r="G811" s="1340"/>
      <c r="H811" s="1340"/>
      <c r="I811" s="1309"/>
      <c r="J811" s="1307"/>
    </row>
    <row r="812" spans="2:10" ht="15.75" customHeight="1">
      <c r="B812" s="1307"/>
      <c r="D812" s="1307"/>
      <c r="E812" s="1307"/>
      <c r="F812" s="1307"/>
      <c r="G812" s="1340"/>
      <c r="H812" s="1340"/>
      <c r="I812" s="1309"/>
      <c r="J812" s="1307"/>
    </row>
    <row r="813" spans="2:10" ht="15.75" customHeight="1">
      <c r="B813" s="1307"/>
      <c r="D813" s="1307"/>
      <c r="E813" s="1307"/>
      <c r="F813" s="1307"/>
      <c r="G813" s="1340"/>
      <c r="H813" s="1340"/>
      <c r="I813" s="1309"/>
      <c r="J813" s="1307"/>
    </row>
    <row r="814" spans="2:10" ht="15.75" customHeight="1">
      <c r="B814" s="1307"/>
      <c r="D814" s="1307"/>
      <c r="E814" s="1307"/>
      <c r="F814" s="1307"/>
      <c r="G814" s="1340"/>
      <c r="H814" s="1340"/>
      <c r="I814" s="1309"/>
      <c r="J814" s="1307"/>
    </row>
    <row r="815" spans="2:10" ht="15.75" customHeight="1">
      <c r="B815" s="1307"/>
      <c r="D815" s="1307"/>
      <c r="E815" s="1307"/>
      <c r="F815" s="1307"/>
      <c r="G815" s="1340"/>
      <c r="H815" s="1340"/>
      <c r="I815" s="1309"/>
      <c r="J815" s="1307"/>
    </row>
    <row r="816" spans="2:10" ht="15.75" customHeight="1">
      <c r="B816" s="1307"/>
      <c r="D816" s="1307"/>
      <c r="E816" s="1307"/>
      <c r="F816" s="1307"/>
      <c r="G816" s="1340"/>
      <c r="H816" s="1340"/>
      <c r="I816" s="1309"/>
      <c r="J816" s="1307"/>
    </row>
    <row r="817" spans="2:10" ht="15.75" customHeight="1">
      <c r="B817" s="1307"/>
      <c r="D817" s="1307"/>
      <c r="E817" s="1307"/>
      <c r="F817" s="1307"/>
      <c r="G817" s="1340"/>
      <c r="H817" s="1340"/>
      <c r="I817" s="1309"/>
      <c r="J817" s="1307"/>
    </row>
    <row r="818" spans="2:10" ht="15.75" customHeight="1">
      <c r="B818" s="1307"/>
      <c r="D818" s="1307"/>
      <c r="E818" s="1307"/>
      <c r="F818" s="1307"/>
      <c r="G818" s="1340"/>
      <c r="H818" s="1340"/>
      <c r="I818" s="1309"/>
      <c r="J818" s="1307"/>
    </row>
    <row r="819" spans="2:10" ht="15.75" customHeight="1">
      <c r="B819" s="1307"/>
      <c r="D819" s="1307"/>
      <c r="E819" s="1307"/>
      <c r="F819" s="1307"/>
      <c r="G819" s="1340"/>
      <c r="H819" s="1340"/>
      <c r="I819" s="1309"/>
      <c r="J819" s="1307"/>
    </row>
    <row r="820" spans="2:10" ht="15.75" customHeight="1">
      <c r="B820" s="1307"/>
      <c r="D820" s="1307"/>
      <c r="E820" s="1307"/>
      <c r="F820" s="1307"/>
      <c r="G820" s="1340"/>
      <c r="H820" s="1340"/>
      <c r="I820" s="1309"/>
      <c r="J820" s="1307"/>
    </row>
    <row r="821" spans="2:10" ht="15.75" customHeight="1">
      <c r="B821" s="1307"/>
      <c r="D821" s="1307"/>
      <c r="E821" s="1307"/>
      <c r="F821" s="1307"/>
      <c r="G821" s="1340"/>
      <c r="H821" s="1340"/>
      <c r="I821" s="1309"/>
      <c r="J821" s="1307"/>
    </row>
    <row r="822" spans="2:10" ht="15.75" customHeight="1">
      <c r="B822" s="1307"/>
      <c r="D822" s="1307"/>
      <c r="E822" s="1307"/>
      <c r="F822" s="1307"/>
      <c r="G822" s="1340"/>
      <c r="H822" s="1340"/>
      <c r="I822" s="1309"/>
      <c r="J822" s="1307"/>
    </row>
    <row r="823" spans="2:10" ht="15.75" customHeight="1">
      <c r="B823" s="1307"/>
      <c r="D823" s="1307"/>
      <c r="E823" s="1307"/>
      <c r="F823" s="1307"/>
      <c r="G823" s="1340"/>
      <c r="H823" s="1340"/>
      <c r="I823" s="1309"/>
      <c r="J823" s="1307"/>
    </row>
    <row r="824" spans="2:10" ht="15.75" customHeight="1">
      <c r="B824" s="1307"/>
      <c r="D824" s="1307"/>
      <c r="E824" s="1307"/>
      <c r="F824" s="1307"/>
      <c r="G824" s="1340"/>
      <c r="H824" s="1340"/>
      <c r="I824" s="1309"/>
      <c r="J824" s="1307"/>
    </row>
    <row r="825" spans="2:10" ht="15.75" customHeight="1">
      <c r="B825" s="1307"/>
      <c r="D825" s="1307"/>
      <c r="E825" s="1307"/>
      <c r="F825" s="1307"/>
      <c r="G825" s="1340"/>
      <c r="H825" s="1340"/>
      <c r="I825" s="1309"/>
      <c r="J825" s="1307"/>
    </row>
    <row r="826" spans="2:10" ht="15.75" customHeight="1">
      <c r="B826" s="1307"/>
      <c r="D826" s="1307"/>
      <c r="E826" s="1307"/>
      <c r="F826" s="1307"/>
      <c r="G826" s="1340"/>
      <c r="H826" s="1340"/>
      <c r="I826" s="1309"/>
      <c r="J826" s="1307"/>
    </row>
    <row r="827" spans="2:10" ht="15.75" customHeight="1">
      <c r="B827" s="1307"/>
      <c r="D827" s="1307"/>
      <c r="E827" s="1307"/>
      <c r="F827" s="1307"/>
      <c r="G827" s="1340"/>
      <c r="H827" s="1340"/>
      <c r="I827" s="1309"/>
      <c r="J827" s="1307"/>
    </row>
    <row r="828" spans="2:10" ht="15.75" customHeight="1">
      <c r="B828" s="1307"/>
      <c r="D828" s="1307"/>
      <c r="E828" s="1307"/>
      <c r="F828" s="1307"/>
      <c r="G828" s="1340"/>
      <c r="H828" s="1340"/>
      <c r="I828" s="1309"/>
      <c r="J828" s="1307"/>
    </row>
    <row r="829" spans="2:10" ht="15.75" customHeight="1">
      <c r="B829" s="1307"/>
      <c r="D829" s="1307"/>
      <c r="E829" s="1307"/>
      <c r="F829" s="1307"/>
      <c r="G829" s="1340"/>
      <c r="H829" s="1340"/>
      <c r="I829" s="1309"/>
      <c r="J829" s="1307"/>
    </row>
    <row r="830" spans="2:10" ht="15.75" customHeight="1">
      <c r="B830" s="1307"/>
      <c r="D830" s="1307"/>
      <c r="E830" s="1307"/>
      <c r="F830" s="1307"/>
      <c r="G830" s="1340"/>
      <c r="H830" s="1340"/>
      <c r="I830" s="1309"/>
      <c r="J830" s="1307"/>
    </row>
    <row r="831" spans="2:10" ht="15.75" customHeight="1">
      <c r="B831" s="1307"/>
      <c r="D831" s="1307"/>
      <c r="E831" s="1307"/>
      <c r="F831" s="1307"/>
      <c r="G831" s="1340"/>
      <c r="H831" s="1340"/>
      <c r="I831" s="1309"/>
      <c r="J831" s="1307"/>
    </row>
    <row r="832" spans="2:10" ht="15.75" customHeight="1">
      <c r="B832" s="1307"/>
      <c r="D832" s="1307"/>
      <c r="E832" s="1307"/>
      <c r="F832" s="1307"/>
      <c r="G832" s="1340"/>
      <c r="H832" s="1340"/>
      <c r="I832" s="1309"/>
      <c r="J832" s="1307"/>
    </row>
    <row r="833" spans="2:10" ht="15.75" customHeight="1">
      <c r="B833" s="1307"/>
      <c r="D833" s="1307"/>
      <c r="E833" s="1307"/>
      <c r="F833" s="1307"/>
      <c r="G833" s="1340"/>
      <c r="H833" s="1340"/>
      <c r="I833" s="1309"/>
      <c r="J833" s="1307"/>
    </row>
    <row r="834" spans="2:10" ht="15.75" customHeight="1">
      <c r="B834" s="1307"/>
      <c r="D834" s="1307"/>
      <c r="E834" s="1307"/>
      <c r="F834" s="1307"/>
      <c r="G834" s="1340"/>
      <c r="H834" s="1340"/>
      <c r="I834" s="1309"/>
      <c r="J834" s="1307"/>
    </row>
    <row r="835" spans="2:10" ht="15.75" customHeight="1">
      <c r="B835" s="1307"/>
      <c r="D835" s="1307"/>
      <c r="E835" s="1307"/>
      <c r="F835" s="1307"/>
      <c r="G835" s="1340"/>
      <c r="H835" s="1340"/>
      <c r="I835" s="1309"/>
      <c r="J835" s="1307"/>
    </row>
    <row r="836" spans="2:10" ht="15.75" customHeight="1">
      <c r="B836" s="1307"/>
      <c r="D836" s="1307"/>
      <c r="E836" s="1307"/>
      <c r="F836" s="1307"/>
      <c r="G836" s="1340"/>
      <c r="H836" s="1340"/>
      <c r="I836" s="1309"/>
      <c r="J836" s="1307"/>
    </row>
    <row r="837" spans="2:10" ht="15.75" customHeight="1">
      <c r="B837" s="1307"/>
      <c r="D837" s="1307"/>
      <c r="E837" s="1307"/>
      <c r="F837" s="1307"/>
      <c r="G837" s="1340"/>
      <c r="H837" s="1340"/>
      <c r="I837" s="1309"/>
      <c r="J837" s="1307"/>
    </row>
    <row r="838" spans="2:10" ht="15.75" customHeight="1">
      <c r="B838" s="1307"/>
      <c r="D838" s="1307"/>
      <c r="E838" s="1307"/>
      <c r="F838" s="1307"/>
      <c r="G838" s="1340"/>
      <c r="H838" s="1340"/>
      <c r="I838" s="1309"/>
      <c r="J838" s="1307"/>
    </row>
    <row r="839" spans="2:10" ht="15.75" customHeight="1">
      <c r="B839" s="1307"/>
      <c r="D839" s="1307"/>
      <c r="E839" s="1307"/>
      <c r="F839" s="1307"/>
      <c r="G839" s="1340"/>
      <c r="H839" s="1340"/>
      <c r="I839" s="1309"/>
      <c r="J839" s="1307"/>
    </row>
    <row r="840" spans="2:10" ht="15.75" customHeight="1">
      <c r="B840" s="1307"/>
      <c r="D840" s="1307"/>
      <c r="E840" s="1307"/>
      <c r="F840" s="1307"/>
      <c r="G840" s="1340"/>
      <c r="H840" s="1340"/>
      <c r="I840" s="1309"/>
      <c r="J840" s="1307"/>
    </row>
    <row r="841" spans="2:10" ht="15.75" customHeight="1">
      <c r="B841" s="1307"/>
      <c r="D841" s="1307"/>
      <c r="E841" s="1307"/>
      <c r="F841" s="1307"/>
      <c r="G841" s="1340"/>
      <c r="H841" s="1340"/>
      <c r="I841" s="1309"/>
      <c r="J841" s="1307"/>
    </row>
    <row r="842" spans="2:10" ht="15.75" customHeight="1">
      <c r="B842" s="1307"/>
      <c r="D842" s="1307"/>
      <c r="E842" s="1307"/>
      <c r="F842" s="1307"/>
      <c r="G842" s="1340"/>
      <c r="H842" s="1340"/>
      <c r="I842" s="1309"/>
      <c r="J842" s="1307"/>
    </row>
    <row r="843" spans="2:10" ht="15.75" customHeight="1">
      <c r="B843" s="1307"/>
      <c r="D843" s="1307"/>
      <c r="E843" s="1307"/>
      <c r="F843" s="1307"/>
      <c r="G843" s="1340"/>
      <c r="H843" s="1340"/>
      <c r="I843" s="1309"/>
      <c r="J843" s="1307"/>
    </row>
    <row r="844" spans="2:10" ht="15.75" customHeight="1">
      <c r="B844" s="1307"/>
      <c r="D844" s="1307"/>
      <c r="E844" s="1307"/>
      <c r="F844" s="1307"/>
      <c r="G844" s="1340"/>
      <c r="H844" s="1340"/>
      <c r="I844" s="1309"/>
      <c r="J844" s="1307"/>
    </row>
    <row r="845" spans="2:10" ht="15.75" customHeight="1">
      <c r="B845" s="1307"/>
      <c r="D845" s="1307"/>
      <c r="E845" s="1307"/>
      <c r="F845" s="1307"/>
      <c r="G845" s="1340"/>
      <c r="H845" s="1340"/>
      <c r="I845" s="1309"/>
      <c r="J845" s="1307"/>
    </row>
    <row r="846" spans="2:10" ht="15.75" customHeight="1">
      <c r="B846" s="1307"/>
      <c r="D846" s="1307"/>
      <c r="E846" s="1307"/>
      <c r="F846" s="1307"/>
      <c r="G846" s="1340"/>
      <c r="H846" s="1340"/>
      <c r="I846" s="1309"/>
      <c r="J846" s="1307"/>
    </row>
    <row r="847" spans="2:10" ht="15.75" customHeight="1">
      <c r="B847" s="1307"/>
      <c r="D847" s="1307"/>
      <c r="E847" s="1307"/>
      <c r="F847" s="1307"/>
      <c r="G847" s="1340"/>
      <c r="H847" s="1340"/>
      <c r="I847" s="1309"/>
      <c r="J847" s="1307"/>
    </row>
    <row r="848" spans="2:10" ht="15.75" customHeight="1">
      <c r="B848" s="1307"/>
      <c r="D848" s="1307"/>
      <c r="E848" s="1307"/>
      <c r="F848" s="1307"/>
      <c r="G848" s="1340"/>
      <c r="H848" s="1340"/>
      <c r="I848" s="1309"/>
      <c r="J848" s="1307"/>
    </row>
    <row r="849" spans="2:10" ht="15.75" customHeight="1">
      <c r="B849" s="1307"/>
      <c r="D849" s="1307"/>
      <c r="E849" s="1307"/>
      <c r="F849" s="1307"/>
      <c r="G849" s="1340"/>
      <c r="H849" s="1340"/>
      <c r="I849" s="1309"/>
      <c r="J849" s="1307"/>
    </row>
    <row r="850" spans="2:10" ht="15.75" customHeight="1">
      <c r="B850" s="1307"/>
      <c r="D850" s="1307"/>
      <c r="E850" s="1307"/>
      <c r="F850" s="1307"/>
      <c r="G850" s="1340"/>
      <c r="H850" s="1340"/>
      <c r="I850" s="1309"/>
      <c r="J850" s="1307"/>
    </row>
    <row r="851" spans="2:10" ht="15.75" customHeight="1">
      <c r="B851" s="1307"/>
      <c r="D851" s="1307"/>
      <c r="E851" s="1307"/>
      <c r="F851" s="1307"/>
      <c r="G851" s="1340"/>
      <c r="H851" s="1340"/>
      <c r="I851" s="1309"/>
      <c r="J851" s="1307"/>
    </row>
    <row r="852" spans="2:10" ht="15.75" customHeight="1">
      <c r="B852" s="1307"/>
      <c r="D852" s="1307"/>
      <c r="E852" s="1307"/>
      <c r="F852" s="1307"/>
      <c r="G852" s="1340"/>
      <c r="H852" s="1340"/>
      <c r="I852" s="1309"/>
      <c r="J852" s="1307"/>
    </row>
    <row r="853" spans="2:10" ht="15.75" customHeight="1">
      <c r="B853" s="1307"/>
      <c r="D853" s="1307"/>
      <c r="E853" s="1307"/>
      <c r="F853" s="1307"/>
      <c r="G853" s="1340"/>
      <c r="H853" s="1340"/>
      <c r="I853" s="1309"/>
      <c r="J853" s="1307"/>
    </row>
    <row r="854" spans="2:10" ht="15.75" customHeight="1">
      <c r="B854" s="1307"/>
      <c r="D854" s="1307"/>
      <c r="E854" s="1307"/>
      <c r="F854" s="1307"/>
      <c r="G854" s="1340"/>
      <c r="H854" s="1340"/>
      <c r="I854" s="1309"/>
      <c r="J854" s="1307"/>
    </row>
    <row r="855" spans="2:10" ht="15.75" customHeight="1">
      <c r="B855" s="1307"/>
      <c r="D855" s="1307"/>
      <c r="E855" s="1307"/>
      <c r="F855" s="1307"/>
      <c r="G855" s="1340"/>
      <c r="H855" s="1340"/>
      <c r="I855" s="1309"/>
      <c r="J855" s="1307"/>
    </row>
    <row r="856" spans="2:10" ht="15.75" customHeight="1">
      <c r="B856" s="1307"/>
      <c r="D856" s="1307"/>
      <c r="E856" s="1307"/>
      <c r="F856" s="1307"/>
      <c r="G856" s="1340"/>
      <c r="H856" s="1340"/>
      <c r="I856" s="1309"/>
      <c r="J856" s="1307"/>
    </row>
    <row r="857" spans="2:10" ht="15.75" customHeight="1">
      <c r="B857" s="1307"/>
      <c r="D857" s="1307"/>
      <c r="E857" s="1307"/>
      <c r="F857" s="1307"/>
      <c r="G857" s="1340"/>
      <c r="H857" s="1340"/>
      <c r="I857" s="1309"/>
      <c r="J857" s="1307"/>
    </row>
    <row r="858" spans="2:10" ht="15.75" customHeight="1">
      <c r="B858" s="1307"/>
      <c r="D858" s="1307"/>
      <c r="E858" s="1307"/>
      <c r="F858" s="1307"/>
      <c r="G858" s="1340"/>
      <c r="H858" s="1340"/>
      <c r="I858" s="1309"/>
      <c r="J858" s="1307"/>
    </row>
    <row r="859" spans="2:10" ht="15.75" customHeight="1">
      <c r="B859" s="1307"/>
      <c r="D859" s="1307"/>
      <c r="E859" s="1307"/>
      <c r="F859" s="1307"/>
      <c r="G859" s="1340"/>
      <c r="H859" s="1340"/>
      <c r="I859" s="1309"/>
      <c r="J859" s="1307"/>
    </row>
    <row r="860" spans="2:10" ht="15.75" customHeight="1">
      <c r="B860" s="1307"/>
      <c r="D860" s="1307"/>
      <c r="E860" s="1307"/>
      <c r="F860" s="1307"/>
      <c r="G860" s="1340"/>
      <c r="H860" s="1340"/>
      <c r="I860" s="1309"/>
      <c r="J860" s="1307"/>
    </row>
    <row r="861" spans="2:10" ht="15.75" customHeight="1">
      <c r="B861" s="1307"/>
      <c r="D861" s="1307"/>
      <c r="E861" s="1307"/>
      <c r="F861" s="1307"/>
      <c r="G861" s="1340"/>
      <c r="H861" s="1340"/>
      <c r="I861" s="1309"/>
      <c r="J861" s="1307"/>
    </row>
    <row r="862" spans="2:10" ht="15.75" customHeight="1">
      <c r="B862" s="1307"/>
      <c r="D862" s="1307"/>
      <c r="E862" s="1307"/>
      <c r="F862" s="1307"/>
      <c r="G862" s="1340"/>
      <c r="H862" s="1340"/>
      <c r="I862" s="1309"/>
      <c r="J862" s="1307"/>
    </row>
    <row r="863" spans="2:10" ht="15.75" customHeight="1">
      <c r="B863" s="1307"/>
      <c r="D863" s="1307"/>
      <c r="E863" s="1307"/>
      <c r="F863" s="1307"/>
      <c r="G863" s="1340"/>
      <c r="H863" s="1340"/>
      <c r="I863" s="1309"/>
      <c r="J863" s="1307"/>
    </row>
    <row r="864" spans="2:10" ht="15.75" customHeight="1">
      <c r="B864" s="1307"/>
      <c r="D864" s="1307"/>
      <c r="E864" s="1307"/>
      <c r="F864" s="1307"/>
      <c r="G864" s="1340"/>
      <c r="H864" s="1340"/>
      <c r="I864" s="1309"/>
      <c r="J864" s="1307"/>
    </row>
    <row r="865" spans="2:10" ht="15.75" customHeight="1">
      <c r="B865" s="1307"/>
      <c r="D865" s="1307"/>
      <c r="E865" s="1307"/>
      <c r="F865" s="1307"/>
      <c r="G865" s="1340"/>
      <c r="H865" s="1340"/>
      <c r="I865" s="1309"/>
      <c r="J865" s="1307"/>
    </row>
    <row r="866" spans="2:10" ht="15.75" customHeight="1">
      <c r="B866" s="1307"/>
      <c r="D866" s="1307"/>
      <c r="E866" s="1307"/>
      <c r="F866" s="1307"/>
      <c r="G866" s="1340"/>
      <c r="H866" s="1340"/>
      <c r="I866" s="1309"/>
      <c r="J866" s="1307"/>
    </row>
    <row r="867" spans="2:10" ht="15.75" customHeight="1">
      <c r="B867" s="1307"/>
      <c r="D867" s="1307"/>
      <c r="E867" s="1307"/>
      <c r="F867" s="1307"/>
      <c r="G867" s="1340"/>
      <c r="H867" s="1340"/>
      <c r="I867" s="1309"/>
      <c r="J867" s="1307"/>
    </row>
    <row r="868" spans="2:10" ht="15.75" customHeight="1">
      <c r="B868" s="1307"/>
      <c r="D868" s="1307"/>
      <c r="E868" s="1307"/>
      <c r="F868" s="1307"/>
      <c r="G868" s="1340"/>
      <c r="H868" s="1340"/>
      <c r="I868" s="1309"/>
      <c r="J868" s="1307"/>
    </row>
    <row r="869" spans="2:10" ht="15.75" customHeight="1">
      <c r="B869" s="1307"/>
      <c r="D869" s="1307"/>
      <c r="E869" s="1307"/>
      <c r="F869" s="1307"/>
      <c r="G869" s="1340"/>
      <c r="H869" s="1340"/>
      <c r="I869" s="1309"/>
      <c r="J869" s="1307"/>
    </row>
    <row r="870" spans="2:10" ht="15.75" customHeight="1">
      <c r="B870" s="1307"/>
      <c r="D870" s="1307"/>
      <c r="E870" s="1307"/>
      <c r="F870" s="1307"/>
      <c r="G870" s="1340"/>
      <c r="H870" s="1340"/>
      <c r="I870" s="1309"/>
      <c r="J870" s="1307"/>
    </row>
    <row r="871" spans="2:10" ht="15.75" customHeight="1">
      <c r="B871" s="1307"/>
      <c r="D871" s="1307"/>
      <c r="E871" s="1307"/>
      <c r="F871" s="1307"/>
      <c r="G871" s="1340"/>
      <c r="H871" s="1340"/>
      <c r="I871" s="1309"/>
      <c r="J871" s="1307"/>
    </row>
    <row r="872" spans="2:10" ht="15.75" customHeight="1">
      <c r="B872" s="1307"/>
      <c r="D872" s="1307"/>
      <c r="E872" s="1307"/>
      <c r="F872" s="1307"/>
      <c r="G872" s="1340"/>
      <c r="H872" s="1340"/>
      <c r="I872" s="1309"/>
      <c r="J872" s="1307"/>
    </row>
    <row r="873" spans="2:10" ht="15.75" customHeight="1">
      <c r="B873" s="1307"/>
      <c r="D873" s="1307"/>
      <c r="E873" s="1307"/>
      <c r="F873" s="1307"/>
      <c r="G873" s="1340"/>
      <c r="H873" s="1340"/>
      <c r="I873" s="1309"/>
      <c r="J873" s="1307"/>
    </row>
    <row r="874" spans="2:10" ht="15.75" customHeight="1">
      <c r="B874" s="1307"/>
      <c r="D874" s="1307"/>
      <c r="E874" s="1307"/>
      <c r="F874" s="1307"/>
      <c r="G874" s="1340"/>
      <c r="H874" s="1340"/>
      <c r="I874" s="1309"/>
      <c r="J874" s="1307"/>
    </row>
    <row r="875" spans="2:10" ht="15.75" customHeight="1">
      <c r="B875" s="1307"/>
      <c r="D875" s="1307"/>
      <c r="E875" s="1307"/>
      <c r="F875" s="1307"/>
      <c r="G875" s="1340"/>
      <c r="H875" s="1340"/>
      <c r="I875" s="1309"/>
      <c r="J875" s="1307"/>
    </row>
    <row r="876" spans="2:10" ht="15.75" customHeight="1">
      <c r="B876" s="1307"/>
      <c r="D876" s="1307"/>
      <c r="E876" s="1307"/>
      <c r="F876" s="1307"/>
      <c r="G876" s="1340"/>
      <c r="H876" s="1340"/>
      <c r="I876" s="1309"/>
      <c r="J876" s="1307"/>
    </row>
    <row r="877" spans="2:10" ht="15.75" customHeight="1">
      <c r="B877" s="1307"/>
      <c r="D877" s="1307"/>
      <c r="E877" s="1307"/>
      <c r="F877" s="1307"/>
      <c r="G877" s="1340"/>
      <c r="H877" s="1340"/>
      <c r="I877" s="1309"/>
      <c r="J877" s="1307"/>
    </row>
    <row r="878" spans="2:10" ht="15.75" customHeight="1">
      <c r="B878" s="1307"/>
      <c r="D878" s="1307"/>
      <c r="E878" s="1307"/>
      <c r="F878" s="1307"/>
      <c r="G878" s="1340"/>
      <c r="H878" s="1340"/>
      <c r="I878" s="1309"/>
      <c r="J878" s="1307"/>
    </row>
    <row r="879" spans="2:10" ht="15.75" customHeight="1">
      <c r="B879" s="1307"/>
      <c r="D879" s="1307"/>
      <c r="E879" s="1307"/>
      <c r="F879" s="1307"/>
      <c r="G879" s="1340"/>
      <c r="H879" s="1340"/>
      <c r="I879" s="1309"/>
      <c r="J879" s="1307"/>
    </row>
    <row r="880" spans="2:10" ht="15.75" customHeight="1">
      <c r="B880" s="1307"/>
      <c r="D880" s="1307"/>
      <c r="E880" s="1307"/>
      <c r="F880" s="1307"/>
      <c r="G880" s="1340"/>
      <c r="H880" s="1340"/>
      <c r="I880" s="1309"/>
      <c r="J880" s="1307"/>
    </row>
    <row r="881" spans="2:10" ht="15.75" customHeight="1">
      <c r="B881" s="1307"/>
      <c r="D881" s="1307"/>
      <c r="E881" s="1307"/>
      <c r="F881" s="1307"/>
      <c r="G881" s="1340"/>
      <c r="H881" s="1340"/>
      <c r="I881" s="1309"/>
      <c r="J881" s="1307"/>
    </row>
    <row r="882" spans="2:10" ht="15.75" customHeight="1">
      <c r="B882" s="1307"/>
      <c r="D882" s="1307"/>
      <c r="E882" s="1307"/>
      <c r="F882" s="1307"/>
      <c r="G882" s="1340"/>
      <c r="H882" s="1340"/>
      <c r="I882" s="1309"/>
      <c r="J882" s="1307"/>
    </row>
    <row r="883" spans="2:10" ht="15.75" customHeight="1">
      <c r="B883" s="1307"/>
      <c r="D883" s="1307"/>
      <c r="E883" s="1307"/>
      <c r="F883" s="1307"/>
      <c r="G883" s="1340"/>
      <c r="H883" s="1340"/>
      <c r="I883" s="1309"/>
      <c r="J883" s="1307"/>
    </row>
    <row r="884" spans="2:10" ht="15.75" customHeight="1">
      <c r="B884" s="1307"/>
      <c r="D884" s="1307"/>
      <c r="E884" s="1307"/>
      <c r="F884" s="1307"/>
      <c r="G884" s="1340"/>
      <c r="H884" s="1340"/>
      <c r="I884" s="1309"/>
      <c r="J884" s="1307"/>
    </row>
    <row r="885" spans="2:10" ht="15.75" customHeight="1">
      <c r="B885" s="1307"/>
      <c r="D885" s="1307"/>
      <c r="E885" s="1307"/>
      <c r="F885" s="1307"/>
      <c r="G885" s="1340"/>
      <c r="H885" s="1340"/>
      <c r="I885" s="1309"/>
      <c r="J885" s="1307"/>
    </row>
    <row r="886" spans="2:10" ht="15.75" customHeight="1">
      <c r="B886" s="1307"/>
      <c r="D886" s="1307"/>
      <c r="E886" s="1307"/>
      <c r="F886" s="1307"/>
      <c r="G886" s="1340"/>
      <c r="H886" s="1340"/>
      <c r="I886" s="1309"/>
      <c r="J886" s="1307"/>
    </row>
    <row r="887" spans="2:10" ht="15.75" customHeight="1">
      <c r="B887" s="1307"/>
      <c r="D887" s="1307"/>
      <c r="E887" s="1307"/>
      <c r="F887" s="1307"/>
      <c r="G887" s="1340"/>
      <c r="H887" s="1340"/>
      <c r="I887" s="1309"/>
      <c r="J887" s="1307"/>
    </row>
    <row r="888" spans="2:10" ht="15.75" customHeight="1">
      <c r="B888" s="1307"/>
      <c r="D888" s="1307"/>
      <c r="E888" s="1307"/>
      <c r="F888" s="1307"/>
      <c r="G888" s="1340"/>
      <c r="H888" s="1340"/>
      <c r="I888" s="1309"/>
      <c r="J888" s="1307"/>
    </row>
    <row r="889" spans="2:10" ht="15.75" customHeight="1">
      <c r="B889" s="1307"/>
      <c r="D889" s="1307"/>
      <c r="E889" s="1307"/>
      <c r="F889" s="1307"/>
      <c r="G889" s="1340"/>
      <c r="H889" s="1340"/>
      <c r="I889" s="1309"/>
      <c r="J889" s="1307"/>
    </row>
    <row r="890" spans="2:10" ht="15.75" customHeight="1">
      <c r="B890" s="1307"/>
      <c r="D890" s="1307"/>
      <c r="E890" s="1307"/>
      <c r="F890" s="1307"/>
      <c r="G890" s="1340"/>
      <c r="H890" s="1340"/>
      <c r="I890" s="1309"/>
      <c r="J890" s="1307"/>
    </row>
    <row r="891" spans="2:10" ht="15.75" customHeight="1">
      <c r="B891" s="1307"/>
      <c r="D891" s="1307"/>
      <c r="E891" s="1307"/>
      <c r="F891" s="1307"/>
      <c r="G891" s="1340"/>
      <c r="H891" s="1340"/>
      <c r="I891" s="1309"/>
      <c r="J891" s="1307"/>
    </row>
    <row r="892" spans="2:10" ht="15.75" customHeight="1">
      <c r="B892" s="1307"/>
      <c r="D892" s="1307"/>
      <c r="E892" s="1307"/>
      <c r="F892" s="1307"/>
      <c r="G892" s="1340"/>
      <c r="H892" s="1340"/>
      <c r="I892" s="1309"/>
      <c r="J892" s="1307"/>
    </row>
    <row r="893" spans="2:10" ht="15.75" customHeight="1">
      <c r="B893" s="1307"/>
      <c r="D893" s="1307"/>
      <c r="E893" s="1307"/>
      <c r="F893" s="1307"/>
      <c r="G893" s="1340"/>
      <c r="H893" s="1340"/>
      <c r="I893" s="1309"/>
      <c r="J893" s="1307"/>
    </row>
    <row r="894" spans="2:10" ht="15.75" customHeight="1">
      <c r="B894" s="1307"/>
      <c r="D894" s="1307"/>
      <c r="E894" s="1307"/>
      <c r="F894" s="1307"/>
      <c r="G894" s="1340"/>
      <c r="H894" s="1340"/>
      <c r="I894" s="1309"/>
      <c r="J894" s="1307"/>
    </row>
    <row r="895" spans="2:10" ht="15.75" customHeight="1">
      <c r="B895" s="1307"/>
      <c r="D895" s="1307"/>
      <c r="E895" s="1307"/>
      <c r="F895" s="1307"/>
      <c r="G895" s="1340"/>
      <c r="H895" s="1340"/>
      <c r="I895" s="1309"/>
      <c r="J895" s="1307"/>
    </row>
    <row r="896" spans="2:10" ht="15.75" customHeight="1">
      <c r="B896" s="1307"/>
      <c r="D896" s="1307"/>
      <c r="E896" s="1307"/>
      <c r="F896" s="1307"/>
      <c r="G896" s="1340"/>
      <c r="H896" s="1340"/>
      <c r="I896" s="1309"/>
      <c r="J896" s="1307"/>
    </row>
    <row r="897" spans="2:10" ht="15.75" customHeight="1">
      <c r="B897" s="1307"/>
      <c r="D897" s="1307"/>
      <c r="E897" s="1307"/>
      <c r="F897" s="1307"/>
      <c r="G897" s="1340"/>
      <c r="H897" s="1340"/>
      <c r="I897" s="1309"/>
      <c r="J897" s="1307"/>
    </row>
    <row r="898" spans="2:10" ht="15.75" customHeight="1">
      <c r="B898" s="1307"/>
      <c r="D898" s="1307"/>
      <c r="E898" s="1307"/>
      <c r="F898" s="1307"/>
      <c r="G898" s="1340"/>
      <c r="H898" s="1340"/>
      <c r="I898" s="1309"/>
      <c r="J898" s="1307"/>
    </row>
    <row r="899" spans="2:10" ht="15.75" customHeight="1">
      <c r="B899" s="1307"/>
      <c r="D899" s="1307"/>
      <c r="E899" s="1307"/>
      <c r="F899" s="1307"/>
      <c r="G899" s="1340"/>
      <c r="H899" s="1340"/>
      <c r="I899" s="1309"/>
      <c r="J899" s="1307"/>
    </row>
    <row r="900" spans="2:10" ht="15.75" customHeight="1">
      <c r="B900" s="1307"/>
      <c r="D900" s="1307"/>
      <c r="E900" s="1307"/>
      <c r="F900" s="1307"/>
      <c r="G900" s="1340"/>
      <c r="H900" s="1340"/>
      <c r="I900" s="1309"/>
      <c r="J900" s="1307"/>
    </row>
    <row r="901" spans="2:10" ht="15.75" customHeight="1">
      <c r="B901" s="1307"/>
      <c r="D901" s="1307"/>
      <c r="E901" s="1307"/>
      <c r="F901" s="1307"/>
      <c r="G901" s="1340"/>
      <c r="H901" s="1340"/>
      <c r="I901" s="1309"/>
      <c r="J901" s="1307"/>
    </row>
    <row r="902" spans="2:10" ht="15.75" customHeight="1">
      <c r="B902" s="1307"/>
      <c r="D902" s="1307"/>
      <c r="E902" s="1307"/>
      <c r="F902" s="1307"/>
      <c r="G902" s="1340"/>
      <c r="H902" s="1340"/>
      <c r="I902" s="1309"/>
      <c r="J902" s="1307"/>
    </row>
    <row r="903" spans="2:10" ht="15.75" customHeight="1">
      <c r="B903" s="1307"/>
      <c r="D903" s="1307"/>
      <c r="E903" s="1307"/>
      <c r="F903" s="1307"/>
      <c r="G903" s="1340"/>
      <c r="H903" s="1340"/>
      <c r="I903" s="1309"/>
      <c r="J903" s="1307"/>
    </row>
    <row r="904" spans="2:10" ht="15.75" customHeight="1">
      <c r="B904" s="1307"/>
      <c r="D904" s="1307"/>
      <c r="E904" s="1307"/>
      <c r="F904" s="1307"/>
      <c r="G904" s="1340"/>
      <c r="H904" s="1340"/>
      <c r="I904" s="1309"/>
      <c r="J904" s="1307"/>
    </row>
    <row r="905" spans="2:10" ht="15.75" customHeight="1">
      <c r="B905" s="1307"/>
      <c r="D905" s="1307"/>
      <c r="E905" s="1307"/>
      <c r="F905" s="1307"/>
      <c r="G905" s="1340"/>
      <c r="H905" s="1340"/>
      <c r="I905" s="1309"/>
      <c r="J905" s="1307"/>
    </row>
    <row r="906" spans="2:10" ht="15.75" customHeight="1">
      <c r="B906" s="1307"/>
      <c r="D906" s="1307"/>
      <c r="E906" s="1307"/>
      <c r="F906" s="1307"/>
      <c r="G906" s="1340"/>
      <c r="H906" s="1340"/>
      <c r="I906" s="1309"/>
      <c r="J906" s="1307"/>
    </row>
    <row r="907" spans="2:10" ht="15.75" customHeight="1">
      <c r="B907" s="1307"/>
      <c r="D907" s="1307"/>
      <c r="E907" s="1307"/>
      <c r="F907" s="1307"/>
      <c r="G907" s="1340"/>
      <c r="H907" s="1340"/>
      <c r="I907" s="1309"/>
      <c r="J907" s="1307"/>
    </row>
    <row r="908" spans="2:10" ht="15.75" customHeight="1">
      <c r="B908" s="1307"/>
      <c r="D908" s="1307"/>
      <c r="E908" s="1307"/>
      <c r="F908" s="1307"/>
      <c r="G908" s="1340"/>
      <c r="H908" s="1340"/>
      <c r="I908" s="1309"/>
      <c r="J908" s="1307"/>
    </row>
    <row r="909" spans="2:10" ht="15.75" customHeight="1">
      <c r="B909" s="1307"/>
      <c r="D909" s="1307"/>
      <c r="E909" s="1307"/>
      <c r="F909" s="1307"/>
      <c r="G909" s="1340"/>
      <c r="H909" s="1340"/>
      <c r="I909" s="1309"/>
      <c r="J909" s="1307"/>
    </row>
    <row r="910" spans="2:10" ht="15.75" customHeight="1">
      <c r="B910" s="1307"/>
      <c r="D910" s="1307"/>
      <c r="E910" s="1307"/>
      <c r="F910" s="1307"/>
      <c r="G910" s="1340"/>
      <c r="H910" s="1340"/>
      <c r="I910" s="1309"/>
      <c r="J910" s="1307"/>
    </row>
    <row r="911" spans="2:10" ht="15.75" customHeight="1">
      <c r="B911" s="1307"/>
      <c r="D911" s="1307"/>
      <c r="E911" s="1307"/>
      <c r="F911" s="1307"/>
      <c r="G911" s="1340"/>
      <c r="H911" s="1340"/>
      <c r="I911" s="1309"/>
      <c r="J911" s="1307"/>
    </row>
    <row r="912" spans="2:10" ht="15.75" customHeight="1">
      <c r="B912" s="1307"/>
      <c r="D912" s="1307"/>
      <c r="E912" s="1307"/>
      <c r="F912" s="1307"/>
      <c r="G912" s="1340"/>
      <c r="H912" s="1340"/>
      <c r="I912" s="1309"/>
      <c r="J912" s="1307"/>
    </row>
    <row r="913" spans="2:10" ht="15.75" customHeight="1">
      <c r="B913" s="1307"/>
      <c r="D913" s="1307"/>
      <c r="E913" s="1307"/>
      <c r="F913" s="1307"/>
      <c r="G913" s="1340"/>
      <c r="H913" s="1340"/>
      <c r="I913" s="1309"/>
      <c r="J913" s="1307"/>
    </row>
    <row r="914" spans="2:10" ht="15.75" customHeight="1">
      <c r="B914" s="1307"/>
      <c r="D914" s="1307"/>
      <c r="E914" s="1307"/>
      <c r="F914" s="1307"/>
      <c r="G914" s="1340"/>
      <c r="H914" s="1340"/>
      <c r="I914" s="1309"/>
      <c r="J914" s="1307"/>
    </row>
    <row r="915" spans="2:10" ht="15.75" customHeight="1">
      <c r="B915" s="1307"/>
      <c r="D915" s="1307"/>
      <c r="E915" s="1307"/>
      <c r="F915" s="1307"/>
      <c r="G915" s="1340"/>
      <c r="H915" s="1340"/>
      <c r="I915" s="1309"/>
      <c r="J915" s="1307"/>
    </row>
    <row r="916" spans="2:10" ht="15.75" customHeight="1">
      <c r="B916" s="1307"/>
      <c r="D916" s="1307"/>
      <c r="E916" s="1307"/>
      <c r="F916" s="1307"/>
      <c r="G916" s="1340"/>
      <c r="H916" s="1340"/>
      <c r="I916" s="1309"/>
      <c r="J916" s="1307"/>
    </row>
    <row r="917" spans="2:10" ht="15.75" customHeight="1">
      <c r="B917" s="1307"/>
      <c r="D917" s="1307"/>
      <c r="E917" s="1307"/>
      <c r="F917" s="1307"/>
      <c r="G917" s="1340"/>
      <c r="H917" s="1340"/>
      <c r="I917" s="1309"/>
      <c r="J917" s="1307"/>
    </row>
    <row r="918" spans="2:10" ht="15.75" customHeight="1">
      <c r="B918" s="1307"/>
      <c r="D918" s="1307"/>
      <c r="E918" s="1307"/>
      <c r="F918" s="1307"/>
      <c r="G918" s="1340"/>
      <c r="H918" s="1340"/>
      <c r="I918" s="1309"/>
      <c r="J918" s="1307"/>
    </row>
    <row r="919" spans="2:10" ht="15.75" customHeight="1">
      <c r="B919" s="1307"/>
      <c r="D919" s="1307"/>
      <c r="E919" s="1307"/>
      <c r="F919" s="1307"/>
      <c r="G919" s="1340"/>
      <c r="H919" s="1340"/>
      <c r="I919" s="1309"/>
      <c r="J919" s="1307"/>
    </row>
    <row r="920" spans="2:10" ht="15.75" customHeight="1">
      <c r="B920" s="1307"/>
      <c r="D920" s="1307"/>
      <c r="E920" s="1307"/>
      <c r="F920" s="1307"/>
      <c r="G920" s="1340"/>
      <c r="H920" s="1340"/>
      <c r="I920" s="1309"/>
      <c r="J920" s="1307"/>
    </row>
    <row r="921" spans="2:10" ht="15.75" customHeight="1">
      <c r="B921" s="1307"/>
      <c r="D921" s="1307"/>
      <c r="E921" s="1307"/>
      <c r="F921" s="1307"/>
      <c r="G921" s="1340"/>
      <c r="H921" s="1340"/>
      <c r="I921" s="1309"/>
      <c r="J921" s="1307"/>
    </row>
    <row r="922" spans="2:10" ht="15.75" customHeight="1">
      <c r="B922" s="1307"/>
      <c r="D922" s="1307"/>
      <c r="E922" s="1307"/>
      <c r="F922" s="1307"/>
      <c r="G922" s="1340"/>
      <c r="H922" s="1340"/>
      <c r="I922" s="1309"/>
      <c r="J922" s="1307"/>
    </row>
    <row r="923" spans="2:10" ht="15.75" customHeight="1">
      <c r="B923" s="1307"/>
      <c r="D923" s="1307"/>
      <c r="E923" s="1307"/>
      <c r="F923" s="1307"/>
      <c r="G923" s="1340"/>
      <c r="H923" s="1340"/>
      <c r="I923" s="1309"/>
      <c r="J923" s="1307"/>
    </row>
    <row r="924" spans="2:10" ht="15.75" customHeight="1">
      <c r="B924" s="1307"/>
      <c r="D924" s="1307"/>
      <c r="E924" s="1307"/>
      <c r="F924" s="1307"/>
      <c r="G924" s="1340"/>
      <c r="H924" s="1340"/>
      <c r="I924" s="1309"/>
      <c r="J924" s="1307"/>
    </row>
    <row r="925" spans="2:10" ht="15.75" customHeight="1">
      <c r="B925" s="1307"/>
      <c r="D925" s="1307"/>
      <c r="E925" s="1307"/>
      <c r="F925" s="1307"/>
      <c r="G925" s="1340"/>
      <c r="H925" s="1340"/>
      <c r="I925" s="1309"/>
      <c r="J925" s="1307"/>
    </row>
    <row r="926" spans="2:10" ht="15.75" customHeight="1">
      <c r="B926" s="1307"/>
      <c r="D926" s="1307"/>
      <c r="E926" s="1307"/>
      <c r="F926" s="1307"/>
      <c r="G926" s="1340"/>
      <c r="H926" s="1340"/>
      <c r="I926" s="1309"/>
      <c r="J926" s="1307"/>
    </row>
    <row r="927" spans="2:10" ht="15.75" customHeight="1">
      <c r="B927" s="1307"/>
      <c r="D927" s="1307"/>
      <c r="E927" s="1307"/>
      <c r="F927" s="1307"/>
      <c r="G927" s="1340"/>
      <c r="H927" s="1340"/>
      <c r="I927" s="1309"/>
      <c r="J927" s="1307"/>
    </row>
    <row r="928" spans="2:10" ht="15.75" customHeight="1">
      <c r="B928" s="1307"/>
      <c r="D928" s="1307"/>
      <c r="E928" s="1307"/>
      <c r="F928" s="1307"/>
      <c r="G928" s="1340"/>
      <c r="H928" s="1340"/>
      <c r="I928" s="1309"/>
      <c r="J928" s="1307"/>
    </row>
    <row r="929" spans="2:10" ht="15.75" customHeight="1">
      <c r="B929" s="1307"/>
      <c r="D929" s="1307"/>
      <c r="E929" s="1307"/>
      <c r="F929" s="1307"/>
      <c r="G929" s="1340"/>
      <c r="H929" s="1340"/>
      <c r="I929" s="1309"/>
      <c r="J929" s="1307"/>
    </row>
    <row r="930" spans="2:10" ht="15.75" customHeight="1">
      <c r="B930" s="1307"/>
      <c r="D930" s="1307"/>
      <c r="E930" s="1307"/>
      <c r="F930" s="1307"/>
      <c r="G930" s="1340"/>
      <c r="H930" s="1340"/>
      <c r="I930" s="1309"/>
      <c r="J930" s="1307"/>
    </row>
    <row r="931" spans="2:10" ht="15.75" customHeight="1">
      <c r="B931" s="1307"/>
      <c r="D931" s="1307"/>
      <c r="E931" s="1307"/>
      <c r="F931" s="1307"/>
      <c r="G931" s="1340"/>
      <c r="H931" s="1340"/>
      <c r="I931" s="1309"/>
      <c r="J931" s="1307"/>
    </row>
    <row r="932" spans="2:10" ht="15.75" customHeight="1">
      <c r="B932" s="1307"/>
      <c r="D932" s="1307"/>
      <c r="E932" s="1307"/>
      <c r="F932" s="1307"/>
      <c r="G932" s="1340"/>
      <c r="H932" s="1340"/>
      <c r="I932" s="1309"/>
      <c r="J932" s="1307"/>
    </row>
    <row r="933" spans="2:10" ht="15.75" customHeight="1">
      <c r="B933" s="1307"/>
      <c r="D933" s="1307"/>
      <c r="E933" s="1307"/>
      <c r="F933" s="1307"/>
      <c r="G933" s="1340"/>
      <c r="H933" s="1340"/>
      <c r="I933" s="1309"/>
      <c r="J933" s="1307"/>
    </row>
    <row r="934" spans="2:10" ht="15.75" customHeight="1">
      <c r="B934" s="1307"/>
      <c r="D934" s="1307"/>
      <c r="E934" s="1307"/>
      <c r="F934" s="1307"/>
      <c r="G934" s="1340"/>
      <c r="H934" s="1340"/>
      <c r="I934" s="1309"/>
      <c r="J934" s="1307"/>
    </row>
    <row r="935" spans="2:10" ht="15.75" customHeight="1">
      <c r="B935" s="1307"/>
      <c r="D935" s="1307"/>
      <c r="E935" s="1307"/>
      <c r="F935" s="1307"/>
      <c r="G935" s="1340"/>
      <c r="H935" s="1340"/>
      <c r="I935" s="1309"/>
      <c r="J935" s="1307"/>
    </row>
    <row r="936" spans="2:10" ht="15.75" customHeight="1">
      <c r="B936" s="1307"/>
      <c r="D936" s="1307"/>
      <c r="E936" s="1307"/>
      <c r="F936" s="1307"/>
      <c r="G936" s="1340"/>
      <c r="H936" s="1340"/>
      <c r="I936" s="1309"/>
      <c r="J936" s="1307"/>
    </row>
    <row r="937" spans="2:10" ht="15.75" customHeight="1">
      <c r="B937" s="1307"/>
      <c r="D937" s="1307"/>
      <c r="E937" s="1307"/>
      <c r="F937" s="1307"/>
      <c r="G937" s="1340"/>
      <c r="H937" s="1340"/>
      <c r="I937" s="1309"/>
      <c r="J937" s="1307"/>
    </row>
    <row r="938" spans="2:10" ht="15.75" customHeight="1">
      <c r="B938" s="1307"/>
      <c r="D938" s="1307"/>
      <c r="E938" s="1307"/>
      <c r="F938" s="1307"/>
      <c r="G938" s="1340"/>
      <c r="H938" s="1340"/>
      <c r="I938" s="1309"/>
      <c r="J938" s="1307"/>
    </row>
    <row r="939" spans="2:10" ht="15.75" customHeight="1">
      <c r="B939" s="1307"/>
      <c r="D939" s="1307"/>
      <c r="E939" s="1307"/>
      <c r="F939" s="1307"/>
      <c r="G939" s="1340"/>
      <c r="H939" s="1340"/>
      <c r="I939" s="1309"/>
      <c r="J939" s="1307"/>
    </row>
    <row r="940" spans="2:10" ht="15.75" customHeight="1">
      <c r="B940" s="1307"/>
      <c r="D940" s="1307"/>
      <c r="E940" s="1307"/>
      <c r="F940" s="1307"/>
      <c r="G940" s="1340"/>
      <c r="H940" s="1340"/>
      <c r="I940" s="1309"/>
      <c r="J940" s="1307"/>
    </row>
    <row r="941" spans="2:10" ht="15.75" customHeight="1">
      <c r="B941" s="1307"/>
      <c r="D941" s="1307"/>
      <c r="E941" s="1307"/>
      <c r="F941" s="1307"/>
      <c r="G941" s="1340"/>
      <c r="H941" s="1340"/>
      <c r="I941" s="1309"/>
      <c r="J941" s="1307"/>
    </row>
    <row r="942" spans="2:10" ht="15.75" customHeight="1">
      <c r="B942" s="1307"/>
      <c r="D942" s="1307"/>
      <c r="E942" s="1307"/>
      <c r="F942" s="1307"/>
      <c r="G942" s="1340"/>
      <c r="H942" s="1340"/>
      <c r="I942" s="1309"/>
      <c r="J942" s="1307"/>
    </row>
    <row r="943" spans="2:10" ht="15.75" customHeight="1">
      <c r="B943" s="1307"/>
      <c r="D943" s="1307"/>
      <c r="E943" s="1307"/>
      <c r="F943" s="1307"/>
      <c r="G943" s="1340"/>
      <c r="H943" s="1340"/>
      <c r="I943" s="1309"/>
      <c r="J943" s="1307"/>
    </row>
    <row r="944" spans="2:10" ht="15.75" customHeight="1">
      <c r="B944" s="1307"/>
      <c r="D944" s="1307"/>
      <c r="E944" s="1307"/>
      <c r="F944" s="1307"/>
      <c r="G944" s="1340"/>
      <c r="H944" s="1340"/>
      <c r="I944" s="1309"/>
      <c r="J944" s="1307"/>
    </row>
    <row r="945" spans="2:10" ht="15.75" customHeight="1">
      <c r="B945" s="1307"/>
      <c r="D945" s="1307"/>
      <c r="E945" s="1307"/>
      <c r="F945" s="1307"/>
      <c r="G945" s="1340"/>
      <c r="H945" s="1340"/>
      <c r="I945" s="1309"/>
      <c r="J945" s="1307"/>
    </row>
    <row r="946" spans="2:10" ht="15.75" customHeight="1">
      <c r="B946" s="1307"/>
      <c r="D946" s="1307"/>
      <c r="E946" s="1307"/>
      <c r="F946" s="1307"/>
      <c r="G946" s="1340"/>
      <c r="H946" s="1340"/>
      <c r="I946" s="1309"/>
      <c r="J946" s="1307"/>
    </row>
    <row r="947" spans="2:10" ht="15.75" customHeight="1">
      <c r="B947" s="1307"/>
      <c r="D947" s="1307"/>
      <c r="E947" s="1307"/>
      <c r="F947" s="1307"/>
      <c r="G947" s="1340"/>
      <c r="H947" s="1340"/>
      <c r="I947" s="1309"/>
      <c r="J947" s="1307"/>
    </row>
    <row r="948" spans="2:10" ht="15.75" customHeight="1">
      <c r="B948" s="1307"/>
      <c r="D948" s="1307"/>
      <c r="E948" s="1307"/>
      <c r="F948" s="1307"/>
      <c r="G948" s="1340"/>
      <c r="H948" s="1340"/>
      <c r="I948" s="1309"/>
      <c r="J948" s="1307"/>
    </row>
    <row r="949" spans="2:10" ht="15.75" customHeight="1">
      <c r="B949" s="1307"/>
      <c r="D949" s="1307"/>
      <c r="E949" s="1307"/>
      <c r="F949" s="1307"/>
      <c r="G949" s="1340"/>
      <c r="H949" s="1340"/>
      <c r="I949" s="1309"/>
      <c r="J949" s="1307"/>
    </row>
    <row r="950" spans="2:10" ht="15.75" customHeight="1">
      <c r="B950" s="1307"/>
      <c r="D950" s="1307"/>
      <c r="E950" s="1307"/>
      <c r="F950" s="1307"/>
      <c r="G950" s="1340"/>
      <c r="H950" s="1340"/>
      <c r="I950" s="1309"/>
      <c r="J950" s="1307"/>
    </row>
    <row r="951" spans="2:10" ht="15.75" customHeight="1">
      <c r="B951" s="1307"/>
      <c r="D951" s="1307"/>
      <c r="E951" s="1307"/>
      <c r="F951" s="1307"/>
      <c r="G951" s="1340"/>
      <c r="H951" s="1340"/>
      <c r="I951" s="1309"/>
      <c r="J951" s="1307"/>
    </row>
    <row r="952" spans="2:10" ht="15.75" customHeight="1">
      <c r="B952" s="1307"/>
      <c r="D952" s="1307"/>
      <c r="E952" s="1307"/>
      <c r="F952" s="1307"/>
      <c r="G952" s="1340"/>
      <c r="H952" s="1340"/>
      <c r="I952" s="1309"/>
      <c r="J952" s="1307"/>
    </row>
    <row r="953" spans="2:10" ht="15.75" customHeight="1">
      <c r="B953" s="1307"/>
      <c r="D953" s="1307"/>
      <c r="E953" s="1307"/>
      <c r="F953" s="1307"/>
      <c r="G953" s="1340"/>
      <c r="H953" s="1340"/>
      <c r="I953" s="1309"/>
      <c r="J953" s="1307"/>
    </row>
    <row r="954" spans="2:10" ht="15.75" customHeight="1">
      <c r="B954" s="1307"/>
      <c r="D954" s="1307"/>
      <c r="E954" s="1307"/>
      <c r="F954" s="1307"/>
      <c r="G954" s="1340"/>
      <c r="H954" s="1340"/>
      <c r="I954" s="1309"/>
      <c r="J954" s="1307"/>
    </row>
    <row r="955" spans="2:10" ht="15.75" customHeight="1">
      <c r="B955" s="1307"/>
      <c r="D955" s="1307"/>
      <c r="E955" s="1307"/>
      <c r="F955" s="1307"/>
      <c r="G955" s="1340"/>
      <c r="H955" s="1340"/>
      <c r="I955" s="1309"/>
      <c r="J955" s="1307"/>
    </row>
    <row r="956" spans="2:10" ht="15.75" customHeight="1">
      <c r="B956" s="1307"/>
      <c r="D956" s="1307"/>
      <c r="E956" s="1307"/>
      <c r="F956" s="1307"/>
      <c r="G956" s="1340"/>
      <c r="H956" s="1340"/>
      <c r="I956" s="1309"/>
      <c r="J956" s="1307"/>
    </row>
    <row r="957" spans="2:10" ht="15.75" customHeight="1">
      <c r="B957" s="1307"/>
      <c r="D957" s="1307"/>
      <c r="E957" s="1307"/>
      <c r="F957" s="1307"/>
      <c r="G957" s="1340"/>
      <c r="H957" s="1340"/>
      <c r="I957" s="1309"/>
      <c r="J957" s="1307"/>
    </row>
    <row r="958" spans="2:10" ht="15.75" customHeight="1">
      <c r="B958" s="1307"/>
      <c r="D958" s="1307"/>
      <c r="E958" s="1307"/>
      <c r="F958" s="1307"/>
      <c r="G958" s="1340"/>
      <c r="H958" s="1340"/>
      <c r="I958" s="1309"/>
      <c r="J958" s="1307"/>
    </row>
    <row r="959" spans="2:10" ht="15.75" customHeight="1">
      <c r="B959" s="1307"/>
      <c r="D959" s="1307"/>
      <c r="E959" s="1307"/>
      <c r="F959" s="1307"/>
      <c r="G959" s="1340"/>
      <c r="H959" s="1340"/>
      <c r="I959" s="1309"/>
      <c r="J959" s="1307"/>
    </row>
    <row r="960" spans="2:10" ht="15.75" customHeight="1">
      <c r="B960" s="1307"/>
      <c r="D960" s="1307"/>
      <c r="E960" s="1307"/>
      <c r="F960" s="1307"/>
      <c r="G960" s="1340"/>
      <c r="H960" s="1340"/>
      <c r="I960" s="1309"/>
      <c r="J960" s="1307"/>
    </row>
    <row r="961" spans="2:10" ht="15.75" customHeight="1">
      <c r="B961" s="1307"/>
      <c r="D961" s="1307"/>
      <c r="E961" s="1307"/>
      <c r="F961" s="1307"/>
      <c r="G961" s="1340"/>
      <c r="H961" s="1340"/>
      <c r="I961" s="1309"/>
      <c r="J961" s="1307"/>
    </row>
    <row r="962" spans="2:10" ht="15.75" customHeight="1">
      <c r="B962" s="1307"/>
      <c r="D962" s="1307"/>
      <c r="E962" s="1307"/>
      <c r="F962" s="1307"/>
      <c r="G962" s="1340"/>
      <c r="H962" s="1340"/>
      <c r="I962" s="1309"/>
      <c r="J962" s="1307"/>
    </row>
    <row r="963" spans="2:10" ht="15.75" customHeight="1">
      <c r="B963" s="1307"/>
      <c r="D963" s="1307"/>
      <c r="E963" s="1307"/>
      <c r="F963" s="1307"/>
      <c r="G963" s="1340"/>
      <c r="H963" s="1340"/>
      <c r="I963" s="1309"/>
      <c r="J963" s="1307"/>
    </row>
    <row r="964" spans="2:10" ht="15.75" customHeight="1">
      <c r="B964" s="1307"/>
      <c r="D964" s="1307"/>
      <c r="E964" s="1307"/>
      <c r="F964" s="1307"/>
      <c r="G964" s="1340"/>
      <c r="H964" s="1340"/>
      <c r="I964" s="1309"/>
      <c r="J964" s="1307"/>
    </row>
    <row r="965" spans="2:10" ht="15.75" customHeight="1">
      <c r="B965" s="1307"/>
      <c r="D965" s="1307"/>
      <c r="E965" s="1307"/>
      <c r="F965" s="1307"/>
      <c r="G965" s="1340"/>
      <c r="H965" s="1340"/>
      <c r="I965" s="1309"/>
      <c r="J965" s="1307"/>
    </row>
    <row r="966" spans="2:10" ht="15.75" customHeight="1">
      <c r="B966" s="1307"/>
      <c r="D966" s="1307"/>
      <c r="E966" s="1307"/>
      <c r="F966" s="1307"/>
      <c r="G966" s="1340"/>
      <c r="H966" s="1340"/>
      <c r="I966" s="1309"/>
      <c r="J966" s="1307"/>
    </row>
    <row r="967" spans="2:10" ht="15.75" customHeight="1">
      <c r="B967" s="1307"/>
      <c r="D967" s="1307"/>
      <c r="E967" s="1307"/>
      <c r="F967" s="1307"/>
      <c r="G967" s="1340"/>
      <c r="H967" s="1340"/>
      <c r="I967" s="1309"/>
      <c r="J967" s="1307"/>
    </row>
    <row r="968" spans="2:10" ht="15.75" customHeight="1">
      <c r="B968" s="1307"/>
      <c r="D968" s="1307"/>
      <c r="E968" s="1307"/>
      <c r="F968" s="1307"/>
      <c r="G968" s="1340"/>
      <c r="H968" s="1340"/>
      <c r="I968" s="1309"/>
      <c r="J968" s="1307"/>
    </row>
    <row r="969" spans="2:10" ht="15.75" customHeight="1">
      <c r="B969" s="1307"/>
      <c r="D969" s="1307"/>
      <c r="E969" s="1307"/>
      <c r="F969" s="1307"/>
      <c r="G969" s="1340"/>
      <c r="H969" s="1340"/>
      <c r="I969" s="1309"/>
      <c r="J969" s="1307"/>
    </row>
    <row r="970" spans="2:10" ht="15.75" customHeight="1">
      <c r="B970" s="1307"/>
      <c r="D970" s="1307"/>
      <c r="E970" s="1307"/>
      <c r="F970" s="1307"/>
      <c r="G970" s="1340"/>
      <c r="H970" s="1340"/>
      <c r="I970" s="1309"/>
      <c r="J970" s="1307"/>
    </row>
    <row r="971" spans="2:10" ht="15.75" customHeight="1">
      <c r="B971" s="1307"/>
      <c r="D971" s="1307"/>
      <c r="E971" s="1307"/>
      <c r="F971" s="1307"/>
      <c r="G971" s="1340"/>
      <c r="H971" s="1340"/>
      <c r="I971" s="1309"/>
      <c r="J971" s="1307"/>
    </row>
    <row r="972" spans="2:10" ht="15.75" customHeight="1">
      <c r="B972" s="1307"/>
      <c r="D972" s="1307"/>
      <c r="E972" s="1307"/>
      <c r="F972" s="1307"/>
      <c r="G972" s="1340"/>
      <c r="H972" s="1340"/>
      <c r="I972" s="1309"/>
      <c r="J972" s="1307"/>
    </row>
    <row r="973" spans="2:10" ht="15.75" customHeight="1">
      <c r="B973" s="1307"/>
      <c r="D973" s="1307"/>
      <c r="E973" s="1307"/>
      <c r="F973" s="1307"/>
      <c r="G973" s="1340"/>
      <c r="H973" s="1340"/>
      <c r="I973" s="1309"/>
      <c r="J973" s="1307"/>
    </row>
    <row r="974" spans="2:10" ht="15.75" customHeight="1">
      <c r="B974" s="1307"/>
      <c r="D974" s="1307"/>
      <c r="E974" s="1307"/>
      <c r="F974" s="1307"/>
      <c r="G974" s="1340"/>
      <c r="H974" s="1340"/>
      <c r="I974" s="1309"/>
      <c r="J974" s="1307"/>
    </row>
    <row r="975" spans="2:10" ht="15.75" customHeight="1">
      <c r="B975" s="1307"/>
      <c r="D975" s="1307"/>
      <c r="E975" s="1307"/>
      <c r="F975" s="1307"/>
      <c r="G975" s="1340"/>
      <c r="H975" s="1340"/>
      <c r="I975" s="1309"/>
      <c r="J975" s="1307"/>
    </row>
    <row r="976" spans="2:10" ht="15.75" customHeight="1">
      <c r="B976" s="1307"/>
      <c r="D976" s="1307"/>
      <c r="E976" s="1307"/>
      <c r="F976" s="1307"/>
      <c r="G976" s="1340"/>
      <c r="H976" s="1340"/>
      <c r="I976" s="1309"/>
      <c r="J976" s="1307"/>
    </row>
    <row r="977" spans="2:10" ht="15.75" customHeight="1">
      <c r="B977" s="1307"/>
      <c r="D977" s="1307"/>
      <c r="E977" s="1307"/>
      <c r="F977" s="1307"/>
      <c r="G977" s="1340"/>
      <c r="H977" s="1340"/>
      <c r="I977" s="1309"/>
      <c r="J977" s="1307"/>
    </row>
    <row r="978" spans="2:10" ht="15.75" customHeight="1">
      <c r="B978" s="1307"/>
      <c r="D978" s="1307"/>
      <c r="E978" s="1307"/>
      <c r="F978" s="1307"/>
      <c r="G978" s="1340"/>
      <c r="H978" s="1340"/>
      <c r="I978" s="1309"/>
      <c r="J978" s="1307"/>
    </row>
    <row r="979" spans="2:10" ht="15.75" customHeight="1">
      <c r="B979" s="1307"/>
      <c r="D979" s="1307"/>
      <c r="E979" s="1307"/>
      <c r="F979" s="1307"/>
      <c r="G979" s="1340"/>
      <c r="H979" s="1340"/>
      <c r="I979" s="1309"/>
      <c r="J979" s="1307"/>
    </row>
    <row r="980" spans="2:10" ht="15.75" customHeight="1">
      <c r="B980" s="1307"/>
      <c r="D980" s="1307"/>
      <c r="E980" s="1307"/>
      <c r="F980" s="1307"/>
      <c r="G980" s="1340"/>
      <c r="H980" s="1340"/>
      <c r="I980" s="1309"/>
      <c r="J980" s="1307"/>
    </row>
    <row r="981" spans="2:10" ht="15.75" customHeight="1">
      <c r="B981" s="1307"/>
      <c r="D981" s="1307"/>
      <c r="E981" s="1307"/>
      <c r="F981" s="1307"/>
      <c r="G981" s="1340"/>
      <c r="H981" s="1340"/>
      <c r="I981" s="1309"/>
      <c r="J981" s="1307"/>
    </row>
    <row r="982" spans="2:10" ht="15.75" customHeight="1">
      <c r="B982" s="1307"/>
      <c r="D982" s="1307"/>
      <c r="E982" s="1307"/>
      <c r="F982" s="1307"/>
      <c r="G982" s="1340"/>
      <c r="H982" s="1340"/>
      <c r="I982" s="1309"/>
      <c r="J982" s="1307"/>
    </row>
    <row r="983" spans="2:10" ht="15.75" customHeight="1">
      <c r="B983" s="1307"/>
      <c r="D983" s="1307"/>
      <c r="E983" s="1307"/>
      <c r="F983" s="1307"/>
      <c r="G983" s="1340"/>
      <c r="H983" s="1340"/>
      <c r="I983" s="1309"/>
      <c r="J983" s="1307"/>
    </row>
    <row r="984" spans="2:10" ht="15.75" customHeight="1">
      <c r="B984" s="1307"/>
      <c r="D984" s="1307"/>
      <c r="E984" s="1307"/>
      <c r="F984" s="1307"/>
      <c r="G984" s="1340"/>
      <c r="H984" s="1340"/>
      <c r="I984" s="1309"/>
      <c r="J984" s="1307"/>
    </row>
    <row r="985" spans="2:10" ht="15.75" customHeight="1">
      <c r="B985" s="1307"/>
      <c r="D985" s="1307"/>
      <c r="E985" s="1307"/>
      <c r="F985" s="1307"/>
      <c r="G985" s="1340"/>
      <c r="H985" s="1340"/>
      <c r="I985" s="1309"/>
      <c r="J985" s="1307"/>
    </row>
    <row r="986" spans="2:10" ht="15.75" customHeight="1">
      <c r="B986" s="1307"/>
      <c r="D986" s="1307"/>
      <c r="E986" s="1307"/>
      <c r="F986" s="1307"/>
      <c r="G986" s="1340"/>
      <c r="H986" s="1340"/>
      <c r="I986" s="1309"/>
      <c r="J986" s="1307"/>
    </row>
    <row r="987" spans="2:10" ht="15.75" customHeight="1">
      <c r="B987" s="1307"/>
      <c r="D987" s="1307"/>
      <c r="E987" s="1307"/>
      <c r="F987" s="1307"/>
      <c r="G987" s="1340"/>
      <c r="H987" s="1340"/>
      <c r="I987" s="1309"/>
      <c r="J987" s="1307"/>
    </row>
    <row r="988" spans="2:10" ht="15.75" customHeight="1">
      <c r="B988" s="1307"/>
      <c r="D988" s="1307"/>
      <c r="E988" s="1307"/>
      <c r="F988" s="1307"/>
      <c r="G988" s="1340"/>
      <c r="H988" s="1340"/>
      <c r="I988" s="1309"/>
      <c r="J988" s="1307"/>
    </row>
    <row r="989" spans="2:10" ht="15.75" customHeight="1">
      <c r="B989" s="1307"/>
      <c r="D989" s="1307"/>
      <c r="E989" s="1307"/>
      <c r="F989" s="1307"/>
      <c r="G989" s="1340"/>
      <c r="H989" s="1340"/>
      <c r="I989" s="1309"/>
      <c r="J989" s="1307"/>
    </row>
    <row r="990" spans="2:10" ht="15.75" customHeight="1">
      <c r="B990" s="1307"/>
      <c r="D990" s="1307"/>
      <c r="E990" s="1307"/>
      <c r="F990" s="1307"/>
      <c r="G990" s="1340"/>
      <c r="H990" s="1340"/>
      <c r="I990" s="1309"/>
      <c r="J990" s="1307"/>
    </row>
    <row r="991" spans="2:10" ht="15.75" customHeight="1">
      <c r="B991" s="1307"/>
      <c r="D991" s="1307"/>
      <c r="E991" s="1307"/>
      <c r="F991" s="1307"/>
      <c r="G991" s="1340"/>
      <c r="H991" s="1340"/>
      <c r="I991" s="1309"/>
      <c r="J991" s="1307"/>
    </row>
    <row r="992" spans="2:10" ht="15.75" customHeight="1">
      <c r="B992" s="1307"/>
      <c r="D992" s="1307"/>
      <c r="E992" s="1307"/>
      <c r="F992" s="1307"/>
      <c r="G992" s="1340"/>
      <c r="H992" s="1340"/>
      <c r="I992" s="1309"/>
      <c r="J992" s="1307"/>
    </row>
    <row r="993" spans="2:10" ht="15.75" customHeight="1">
      <c r="B993" s="1307"/>
      <c r="D993" s="1307"/>
      <c r="E993" s="1307"/>
      <c r="F993" s="1307"/>
      <c r="G993" s="1340"/>
      <c r="H993" s="1340"/>
      <c r="I993" s="1309"/>
      <c r="J993" s="1307"/>
    </row>
    <row r="994" spans="2:10" ht="15.75" customHeight="1">
      <c r="B994" s="1307"/>
      <c r="D994" s="1307"/>
      <c r="E994" s="1307"/>
      <c r="F994" s="1307"/>
      <c r="G994" s="1340"/>
      <c r="H994" s="1340"/>
      <c r="I994" s="1309"/>
      <c r="J994" s="1307"/>
    </row>
    <row r="995" spans="2:10" ht="15.75" customHeight="1">
      <c r="B995" s="1307"/>
      <c r="D995" s="1307"/>
      <c r="E995" s="1307"/>
      <c r="F995" s="1307"/>
      <c r="G995" s="1340"/>
      <c r="H995" s="1340"/>
      <c r="I995" s="1309"/>
      <c r="J995" s="1307"/>
    </row>
    <row r="996" spans="2:10" ht="15.75" customHeight="1">
      <c r="B996" s="1307"/>
      <c r="D996" s="1307"/>
      <c r="E996" s="1307"/>
      <c r="F996" s="1307"/>
      <c r="G996" s="1340"/>
      <c r="H996" s="1340"/>
      <c r="I996" s="1309"/>
      <c r="J996" s="1307"/>
    </row>
    <row r="997" spans="2:10" ht="15.75" customHeight="1">
      <c r="B997" s="1307"/>
      <c r="D997" s="1307"/>
      <c r="E997" s="1307"/>
      <c r="F997" s="1307"/>
      <c r="G997" s="1340"/>
      <c r="H997" s="1340"/>
      <c r="I997" s="1309"/>
      <c r="J997" s="1307"/>
    </row>
    <row r="998" spans="2:10" ht="15.75" customHeight="1">
      <c r="B998" s="1307"/>
      <c r="D998" s="1307"/>
      <c r="E998" s="1307"/>
      <c r="F998" s="1307"/>
      <c r="G998" s="1340"/>
      <c r="H998" s="1340"/>
      <c r="I998" s="1309"/>
      <c r="J998" s="1307"/>
    </row>
    <row r="999" spans="2:10" ht="15.75" customHeight="1">
      <c r="B999" s="1307"/>
      <c r="D999" s="1307"/>
      <c r="E999" s="1307"/>
      <c r="F999" s="1307"/>
      <c r="G999" s="1340"/>
      <c r="H999" s="1340"/>
      <c r="I999" s="1309"/>
      <c r="J999" s="1307"/>
    </row>
    <row r="1000" spans="2:10" ht="15.75" customHeight="1">
      <c r="B1000" s="1307"/>
      <c r="D1000" s="1307"/>
      <c r="E1000" s="1307"/>
      <c r="F1000" s="1307"/>
      <c r="G1000" s="1340"/>
      <c r="H1000" s="1340"/>
      <c r="I1000" s="1309"/>
      <c r="J1000" s="1307"/>
    </row>
    <row r="1001" spans="2:10" ht="15.75" customHeight="1">
      <c r="B1001" s="1307"/>
      <c r="D1001" s="1307"/>
      <c r="E1001" s="1307"/>
      <c r="F1001" s="1307"/>
      <c r="G1001" s="1340"/>
      <c r="H1001" s="1340"/>
      <c r="I1001" s="1309"/>
      <c r="J1001" s="1307"/>
    </row>
    <row r="1002" spans="2:10" ht="15.75" customHeight="1">
      <c r="B1002" s="1307"/>
      <c r="D1002" s="1307"/>
      <c r="E1002" s="1307"/>
      <c r="F1002" s="1307"/>
      <c r="G1002" s="1340"/>
      <c r="H1002" s="1340"/>
      <c r="I1002" s="1309"/>
      <c r="J1002" s="1307"/>
    </row>
    <row r="1003" spans="2:10" ht="15.75" customHeight="1">
      <c r="B1003" s="1307"/>
      <c r="D1003" s="1307"/>
      <c r="E1003" s="1307"/>
      <c r="F1003" s="1307"/>
      <c r="G1003" s="1340"/>
      <c r="H1003" s="1340"/>
      <c r="I1003" s="1309"/>
      <c r="J1003" s="1307"/>
    </row>
    <row r="1004" spans="2:10" ht="15.75" customHeight="1">
      <c r="B1004" s="1307"/>
      <c r="D1004" s="1307"/>
      <c r="E1004" s="1307"/>
      <c r="F1004" s="1307"/>
      <c r="G1004" s="1340"/>
      <c r="H1004" s="1340"/>
      <c r="I1004" s="1309"/>
      <c r="J1004" s="1307"/>
    </row>
    <row r="1005" spans="2:10" ht="15.75" customHeight="1">
      <c r="B1005" s="1307"/>
      <c r="D1005" s="1307"/>
      <c r="E1005" s="1307"/>
      <c r="F1005" s="1307"/>
      <c r="G1005" s="1340"/>
      <c r="H1005" s="1340"/>
      <c r="I1005" s="1309"/>
      <c r="J1005" s="1307"/>
    </row>
    <row r="1006" spans="2:10" ht="15.75" customHeight="1">
      <c r="B1006" s="1307"/>
      <c r="D1006" s="1307"/>
      <c r="E1006" s="1307"/>
      <c r="F1006" s="1307"/>
      <c r="G1006" s="1340"/>
      <c r="H1006" s="1340"/>
      <c r="I1006" s="1309"/>
      <c r="J1006" s="1307"/>
    </row>
    <row r="1007" spans="2:10" ht="15.75" customHeight="1">
      <c r="B1007" s="1307"/>
      <c r="D1007" s="1307"/>
      <c r="E1007" s="1307"/>
      <c r="F1007" s="1307"/>
      <c r="G1007" s="1340"/>
      <c r="H1007" s="1340"/>
      <c r="I1007" s="1309"/>
      <c r="J1007" s="1307"/>
    </row>
    <row r="1008" spans="2:10" ht="15.75" customHeight="1">
      <c r="B1008" s="1307"/>
      <c r="D1008" s="1307"/>
      <c r="E1008" s="1307"/>
      <c r="F1008" s="1307"/>
      <c r="G1008" s="1340"/>
      <c r="H1008" s="1340"/>
      <c r="I1008" s="1309"/>
      <c r="J1008" s="1307"/>
    </row>
    <row r="1009" spans="2:10" ht="15.75" customHeight="1">
      <c r="B1009" s="1307"/>
      <c r="D1009" s="1307"/>
      <c r="E1009" s="1307"/>
      <c r="F1009" s="1307"/>
      <c r="G1009" s="1340"/>
      <c r="H1009" s="1340"/>
      <c r="I1009" s="1309"/>
      <c r="J1009" s="1307"/>
    </row>
    <row r="1010" spans="2:10" ht="15.75" customHeight="1">
      <c r="B1010" s="1307"/>
      <c r="D1010" s="1307"/>
      <c r="E1010" s="1307"/>
      <c r="F1010" s="1307"/>
      <c r="G1010" s="1340"/>
      <c r="H1010" s="1340"/>
      <c r="I1010" s="1309"/>
      <c r="J1010" s="1307"/>
    </row>
    <row r="1011" spans="2:10" ht="15.75" customHeight="1">
      <c r="B1011" s="1307"/>
      <c r="D1011" s="1307"/>
      <c r="E1011" s="1307"/>
      <c r="F1011" s="1307"/>
      <c r="G1011" s="1340"/>
      <c r="H1011" s="1340"/>
      <c r="I1011" s="1309"/>
      <c r="J1011" s="1307"/>
    </row>
    <row r="1012" spans="2:10" ht="15.75" customHeight="1">
      <c r="B1012" s="1307"/>
      <c r="D1012" s="1307"/>
      <c r="E1012" s="1307"/>
      <c r="F1012" s="1307"/>
      <c r="G1012" s="1340"/>
      <c r="H1012" s="1340"/>
      <c r="I1012" s="1309"/>
      <c r="J1012" s="1307"/>
    </row>
    <row r="1013" spans="2:10" ht="15.75" customHeight="1">
      <c r="B1013" s="1307"/>
      <c r="D1013" s="1307"/>
      <c r="E1013" s="1307"/>
      <c r="F1013" s="1307"/>
      <c r="G1013" s="1340"/>
      <c r="H1013" s="1340"/>
      <c r="I1013" s="1309"/>
      <c r="J1013" s="1307"/>
    </row>
    <row r="1014" spans="2:10" ht="15.75" customHeight="1">
      <c r="B1014" s="1307"/>
      <c r="D1014" s="1307"/>
      <c r="E1014" s="1307"/>
      <c r="F1014" s="1307"/>
      <c r="G1014" s="1340"/>
      <c r="H1014" s="1340"/>
      <c r="I1014" s="1309"/>
      <c r="J1014" s="1307"/>
    </row>
    <row r="1015" spans="2:10" ht="15.75" customHeight="1">
      <c r="B1015" s="1307"/>
      <c r="D1015" s="1307"/>
      <c r="E1015" s="1307"/>
      <c r="F1015" s="1307"/>
      <c r="G1015" s="1340"/>
      <c r="H1015" s="1340"/>
      <c r="I1015" s="1309"/>
      <c r="J1015" s="1307"/>
    </row>
    <row r="1016" spans="2:10" ht="15.75" customHeight="1">
      <c r="B1016" s="1307"/>
      <c r="D1016" s="1307"/>
      <c r="E1016" s="1307"/>
      <c r="F1016" s="1307"/>
      <c r="G1016" s="1340"/>
      <c r="H1016" s="1340"/>
      <c r="I1016" s="1309"/>
      <c r="J1016" s="1307"/>
    </row>
    <row r="1017" spans="2:10" ht="15.75" customHeight="1">
      <c r="B1017" s="1307"/>
      <c r="D1017" s="1307"/>
      <c r="E1017" s="1307"/>
      <c r="F1017" s="1307"/>
      <c r="G1017" s="1340"/>
      <c r="H1017" s="1340"/>
      <c r="I1017" s="1309"/>
      <c r="J1017" s="1307"/>
    </row>
    <row r="1018" spans="2:10" ht="15.75" customHeight="1">
      <c r="B1018" s="1307"/>
      <c r="D1018" s="1307"/>
      <c r="E1018" s="1307"/>
      <c r="F1018" s="1307"/>
      <c r="G1018" s="1340"/>
      <c r="H1018" s="1340"/>
      <c r="I1018" s="1309"/>
      <c r="J1018" s="1307"/>
    </row>
    <row r="1019" spans="2:10" ht="15.75" customHeight="1">
      <c r="B1019" s="1307"/>
      <c r="D1019" s="1307"/>
      <c r="E1019" s="1307"/>
      <c r="F1019" s="1307"/>
      <c r="G1019" s="1340"/>
      <c r="H1019" s="1340"/>
      <c r="I1019" s="1309"/>
      <c r="J1019" s="1307"/>
    </row>
    <row r="1020" spans="2:10" ht="15.75" customHeight="1">
      <c r="B1020" s="1307"/>
      <c r="D1020" s="1307"/>
      <c r="E1020" s="1307"/>
      <c r="F1020" s="1307"/>
      <c r="G1020" s="1340"/>
      <c r="H1020" s="1340"/>
      <c r="I1020" s="1309"/>
      <c r="J1020" s="1307"/>
    </row>
    <row r="1021" spans="2:10" ht="15.75" customHeight="1">
      <c r="B1021" s="1307"/>
      <c r="D1021" s="1307"/>
      <c r="E1021" s="1307"/>
      <c r="F1021" s="1307"/>
      <c r="G1021" s="1340"/>
      <c r="H1021" s="1340"/>
      <c r="I1021" s="1309"/>
      <c r="J1021" s="1307"/>
    </row>
    <row r="1022" spans="2:10" ht="15.75" customHeight="1">
      <c r="B1022" s="1307"/>
      <c r="D1022" s="1307"/>
      <c r="E1022" s="1307"/>
      <c r="F1022" s="1307"/>
      <c r="G1022" s="1340"/>
      <c r="H1022" s="1340"/>
      <c r="I1022" s="1309"/>
      <c r="J1022" s="1307"/>
    </row>
    <row r="1023" spans="2:10" ht="15.75" customHeight="1">
      <c r="B1023" s="1307"/>
      <c r="D1023" s="1307"/>
      <c r="E1023" s="1307"/>
      <c r="F1023" s="1307"/>
      <c r="G1023" s="1340"/>
      <c r="H1023" s="1340"/>
      <c r="I1023" s="1309"/>
      <c r="J1023" s="1307"/>
    </row>
    <row r="1024" spans="2:10" ht="15.75" customHeight="1">
      <c r="B1024" s="1307"/>
      <c r="D1024" s="1307"/>
      <c r="E1024" s="1307"/>
      <c r="F1024" s="1307"/>
      <c r="G1024" s="1340"/>
      <c r="H1024" s="1340"/>
      <c r="I1024" s="1309"/>
      <c r="J1024" s="1307"/>
    </row>
    <row r="1025" spans="2:10" ht="15.75" customHeight="1">
      <c r="B1025" s="1307"/>
      <c r="D1025" s="1307"/>
      <c r="E1025" s="1307"/>
      <c r="F1025" s="1307"/>
      <c r="G1025" s="1340"/>
      <c r="H1025" s="1340"/>
      <c r="I1025" s="1309"/>
      <c r="J1025" s="1307"/>
    </row>
    <row r="1026" spans="2:10" ht="15.75" customHeight="1">
      <c r="B1026" s="1307"/>
      <c r="D1026" s="1307"/>
      <c r="E1026" s="1307"/>
      <c r="F1026" s="1307"/>
      <c r="G1026" s="1340"/>
      <c r="H1026" s="1340"/>
      <c r="I1026" s="1309"/>
      <c r="J1026" s="1307"/>
    </row>
    <row r="1027" spans="2:10" ht="15.75" customHeight="1">
      <c r="B1027" s="1307"/>
      <c r="D1027" s="1307"/>
      <c r="E1027" s="1307"/>
      <c r="F1027" s="1307"/>
      <c r="G1027" s="1340"/>
      <c r="H1027" s="1340"/>
      <c r="I1027" s="1309"/>
      <c r="J1027" s="1307"/>
    </row>
    <row r="1028" spans="2:10" ht="15.75" customHeight="1">
      <c r="B1028" s="1307"/>
      <c r="D1028" s="1307"/>
      <c r="E1028" s="1307"/>
      <c r="F1028" s="1307"/>
      <c r="G1028" s="1340"/>
      <c r="H1028" s="1340"/>
      <c r="I1028" s="1309"/>
      <c r="J1028" s="1307"/>
    </row>
    <row r="1029" spans="2:10" ht="15.75" customHeight="1">
      <c r="B1029" s="1307"/>
      <c r="D1029" s="1307"/>
      <c r="E1029" s="1307"/>
      <c r="F1029" s="1307"/>
      <c r="G1029" s="1340"/>
      <c r="H1029" s="1340"/>
      <c r="I1029" s="1309"/>
      <c r="J1029" s="1307"/>
    </row>
    <row r="1030" spans="2:10" ht="15.75" customHeight="1">
      <c r="B1030" s="1307"/>
      <c r="D1030" s="1307"/>
      <c r="E1030" s="1307"/>
      <c r="F1030" s="1307"/>
      <c r="G1030" s="1340"/>
      <c r="H1030" s="1340"/>
      <c r="I1030" s="1309"/>
      <c r="J1030" s="1307"/>
    </row>
    <row r="1031" spans="2:10" ht="15.75" customHeight="1">
      <c r="B1031" s="1307"/>
      <c r="D1031" s="1307"/>
      <c r="E1031" s="1307"/>
      <c r="F1031" s="1307"/>
      <c r="G1031" s="1340"/>
      <c r="H1031" s="1340"/>
      <c r="I1031" s="1309"/>
      <c r="J1031" s="1307"/>
    </row>
    <row r="1032" spans="2:10" ht="15.75" customHeight="1">
      <c r="B1032" s="1307"/>
      <c r="D1032" s="1307"/>
      <c r="E1032" s="1307"/>
      <c r="F1032" s="1307"/>
      <c r="G1032" s="1340"/>
      <c r="H1032" s="1340"/>
      <c r="I1032" s="1309"/>
      <c r="J1032" s="1307"/>
    </row>
    <row r="1033" spans="2:10" ht="15.75" customHeight="1">
      <c r="B1033" s="1307"/>
      <c r="D1033" s="1307"/>
      <c r="E1033" s="1307"/>
      <c r="F1033" s="1307"/>
      <c r="G1033" s="1340"/>
      <c r="H1033" s="1340"/>
      <c r="I1033" s="1309"/>
      <c r="J1033" s="1307"/>
    </row>
    <row r="1034" spans="2:10" ht="15.75" customHeight="1">
      <c r="B1034" s="1307"/>
      <c r="D1034" s="1307"/>
      <c r="E1034" s="1307"/>
      <c r="F1034" s="1307"/>
      <c r="G1034" s="1340"/>
      <c r="H1034" s="1340"/>
      <c r="I1034" s="1309"/>
      <c r="J1034" s="1307"/>
    </row>
    <row r="1035" spans="2:10" ht="15.75" customHeight="1">
      <c r="B1035" s="1307"/>
      <c r="D1035" s="1307"/>
      <c r="E1035" s="1307"/>
      <c r="F1035" s="1307"/>
      <c r="G1035" s="1340"/>
      <c r="H1035" s="1340"/>
      <c r="I1035" s="1309"/>
      <c r="J1035" s="1307"/>
    </row>
    <row r="1036" spans="2:10" ht="15.75" customHeight="1">
      <c r="B1036" s="1307"/>
      <c r="D1036" s="1307"/>
      <c r="E1036" s="1307"/>
      <c r="F1036" s="1307"/>
      <c r="G1036" s="1340"/>
      <c r="H1036" s="1340"/>
      <c r="I1036" s="1309"/>
      <c r="J1036" s="1307"/>
    </row>
    <row r="1037" spans="2:10" ht="15.75" customHeight="1">
      <c r="B1037" s="1307"/>
      <c r="D1037" s="1307"/>
      <c r="E1037" s="1307"/>
      <c r="F1037" s="1307"/>
      <c r="G1037" s="1340"/>
      <c r="H1037" s="1340"/>
      <c r="I1037" s="1309"/>
      <c r="J1037" s="1307"/>
    </row>
    <row r="1038" spans="2:10" ht="15.75" customHeight="1">
      <c r="B1038" s="1307"/>
      <c r="D1038" s="1307"/>
      <c r="E1038" s="1307"/>
      <c r="F1038" s="1307"/>
      <c r="G1038" s="1340"/>
      <c r="H1038" s="1340"/>
      <c r="I1038" s="1309"/>
      <c r="J1038" s="1307"/>
    </row>
    <row r="1039" spans="2:10" ht="15.75" customHeight="1">
      <c r="B1039" s="1307"/>
      <c r="D1039" s="1307"/>
      <c r="E1039" s="1307"/>
      <c r="F1039" s="1307"/>
      <c r="G1039" s="1340"/>
      <c r="H1039" s="1340"/>
      <c r="I1039" s="1309"/>
      <c r="J1039" s="1307"/>
    </row>
    <row r="1040" spans="2:10" ht="15.75" customHeight="1">
      <c r="B1040" s="1307"/>
      <c r="D1040" s="1307"/>
      <c r="E1040" s="1307"/>
      <c r="F1040" s="1307"/>
      <c r="G1040" s="1340"/>
      <c r="H1040" s="1340"/>
      <c r="I1040" s="1309"/>
      <c r="J1040" s="1307"/>
    </row>
    <row r="1041" spans="2:10" ht="15.75" customHeight="1">
      <c r="B1041" s="1307"/>
      <c r="D1041" s="1307"/>
      <c r="E1041" s="1307"/>
      <c r="F1041" s="1307"/>
      <c r="G1041" s="1340"/>
      <c r="H1041" s="1340"/>
      <c r="I1041" s="1309"/>
      <c r="J1041" s="1307"/>
    </row>
    <row r="1042" spans="2:10" ht="15.75" customHeight="1">
      <c r="B1042" s="1307"/>
      <c r="D1042" s="1307"/>
      <c r="E1042" s="1307"/>
      <c r="F1042" s="1307"/>
      <c r="G1042" s="1340"/>
      <c r="H1042" s="1340"/>
      <c r="I1042" s="1309"/>
      <c r="J1042" s="1307"/>
    </row>
    <row r="1043" spans="2:10" ht="15.75" customHeight="1">
      <c r="B1043" s="1307"/>
      <c r="D1043" s="1307"/>
      <c r="E1043" s="1307"/>
      <c r="F1043" s="1307"/>
      <c r="G1043" s="1340"/>
      <c r="H1043" s="1340"/>
      <c r="I1043" s="1309"/>
      <c r="J1043" s="1307"/>
    </row>
    <row r="1044" spans="2:10" ht="15.75" customHeight="1">
      <c r="B1044" s="1307"/>
      <c r="D1044" s="1307"/>
      <c r="E1044" s="1307"/>
      <c r="F1044" s="1307"/>
      <c r="G1044" s="1340"/>
      <c r="H1044" s="1340"/>
      <c r="I1044" s="1309"/>
      <c r="J1044" s="1307"/>
    </row>
    <row r="1045" spans="2:10" ht="15.75" customHeight="1">
      <c r="B1045" s="1307"/>
      <c r="D1045" s="1307"/>
      <c r="E1045" s="1307"/>
      <c r="F1045" s="1307"/>
      <c r="G1045" s="1340"/>
      <c r="H1045" s="1340"/>
      <c r="I1045" s="1309"/>
      <c r="J1045" s="1307"/>
    </row>
    <row r="1046" spans="2:10" ht="15.75" customHeight="1">
      <c r="B1046" s="1307"/>
      <c r="D1046" s="1307"/>
      <c r="E1046" s="1307"/>
      <c r="F1046" s="1307"/>
      <c r="G1046" s="1340"/>
      <c r="H1046" s="1340"/>
      <c r="I1046" s="1309"/>
      <c r="J1046" s="1307"/>
    </row>
    <row r="1047" spans="2:10" ht="15.75" customHeight="1">
      <c r="B1047" s="1307"/>
      <c r="D1047" s="1307"/>
      <c r="E1047" s="1307"/>
      <c r="F1047" s="1307"/>
      <c r="G1047" s="1340"/>
      <c r="H1047" s="1340"/>
      <c r="I1047" s="1309"/>
      <c r="J1047" s="1307"/>
    </row>
    <row r="1048" spans="2:10" ht="15.75" customHeight="1">
      <c r="B1048" s="1307"/>
      <c r="D1048" s="1307"/>
      <c r="E1048" s="1307"/>
      <c r="F1048" s="1307"/>
      <c r="G1048" s="1340"/>
      <c r="H1048" s="1340"/>
      <c r="I1048" s="1309"/>
      <c r="J1048" s="1307"/>
    </row>
    <row r="1049" spans="2:10" ht="15.75" customHeight="1">
      <c r="B1049" s="1307"/>
      <c r="D1049" s="1307"/>
      <c r="E1049" s="1307"/>
      <c r="F1049" s="1307"/>
      <c r="G1049" s="1340"/>
      <c r="H1049" s="1340"/>
      <c r="I1049" s="1309"/>
      <c r="J1049" s="1307"/>
    </row>
    <row r="1050" spans="2:10" ht="15.75" customHeight="1">
      <c r="B1050" s="1307"/>
      <c r="D1050" s="1307"/>
      <c r="E1050" s="1307"/>
      <c r="F1050" s="1307"/>
      <c r="G1050" s="1340"/>
      <c r="H1050" s="1340"/>
      <c r="I1050" s="1309"/>
      <c r="J1050" s="1307"/>
    </row>
    <row r="1051" spans="2:10" ht="15.75" customHeight="1">
      <c r="B1051" s="1307"/>
      <c r="D1051" s="1307"/>
      <c r="E1051" s="1307"/>
      <c r="F1051" s="1307"/>
      <c r="G1051" s="1340"/>
      <c r="H1051" s="1340"/>
      <c r="I1051" s="1309"/>
      <c r="J1051" s="1307"/>
    </row>
    <row r="1052" spans="2:10" ht="15.75" customHeight="1">
      <c r="B1052" s="1307"/>
      <c r="D1052" s="1307"/>
      <c r="E1052" s="1307"/>
      <c r="F1052" s="1307"/>
      <c r="G1052" s="1340"/>
      <c r="H1052" s="1340"/>
      <c r="I1052" s="1309"/>
      <c r="J1052" s="1307"/>
    </row>
    <row r="1053" spans="2:10" ht="15.75" customHeight="1">
      <c r="B1053" s="1307"/>
      <c r="D1053" s="1307"/>
      <c r="E1053" s="1307"/>
      <c r="F1053" s="1307"/>
      <c r="G1053" s="1340"/>
      <c r="H1053" s="1340"/>
      <c r="I1053" s="1309"/>
      <c r="J1053" s="1307"/>
    </row>
    <row r="1054" spans="2:10" ht="15.75" customHeight="1">
      <c r="B1054" s="1307"/>
      <c r="D1054" s="1307"/>
      <c r="E1054" s="1307"/>
      <c r="F1054" s="1307"/>
      <c r="G1054" s="1340"/>
      <c r="H1054" s="1340"/>
      <c r="I1054" s="1309"/>
      <c r="J1054" s="1307"/>
    </row>
    <row r="1055" spans="2:10" ht="15.75" customHeight="1">
      <c r="B1055" s="1307"/>
      <c r="D1055" s="1307"/>
      <c r="E1055" s="1307"/>
      <c r="F1055" s="1307"/>
      <c r="G1055" s="1340"/>
      <c r="H1055" s="1340"/>
      <c r="I1055" s="1309"/>
      <c r="J1055" s="1307"/>
    </row>
    <row r="1056" spans="2:10" ht="15.75" customHeight="1">
      <c r="B1056" s="1307"/>
      <c r="D1056" s="1307"/>
      <c r="E1056" s="1307"/>
      <c r="F1056" s="1307"/>
      <c r="G1056" s="1340"/>
      <c r="H1056" s="1340"/>
      <c r="I1056" s="1309"/>
      <c r="J1056" s="1307"/>
    </row>
    <row r="1057" spans="2:10" ht="15.75" customHeight="1">
      <c r="B1057" s="1307"/>
      <c r="D1057" s="1307"/>
      <c r="E1057" s="1307"/>
      <c r="F1057" s="1307"/>
      <c r="G1057" s="1340"/>
      <c r="H1057" s="1340"/>
      <c r="I1057" s="1309"/>
      <c r="J1057" s="1307"/>
    </row>
    <row r="1058" spans="2:10" ht="15.75" customHeight="1">
      <c r="B1058" s="1307"/>
      <c r="D1058" s="1307"/>
      <c r="E1058" s="1307"/>
      <c r="F1058" s="1307"/>
      <c r="G1058" s="1340"/>
      <c r="H1058" s="1340"/>
      <c r="I1058" s="1309"/>
      <c r="J1058" s="1307"/>
    </row>
    <row r="1059" spans="2:10" ht="15.75" customHeight="1">
      <c r="B1059" s="1307"/>
      <c r="D1059" s="1307"/>
      <c r="E1059" s="1307"/>
      <c r="F1059" s="1307"/>
      <c r="G1059" s="1340"/>
      <c r="H1059" s="1340"/>
      <c r="I1059" s="1309"/>
      <c r="J1059" s="1307"/>
    </row>
    <row r="1060" spans="2:10" ht="15.75" customHeight="1">
      <c r="B1060" s="1307"/>
      <c r="D1060" s="1307"/>
      <c r="E1060" s="1307"/>
      <c r="F1060" s="1307"/>
      <c r="G1060" s="1340"/>
      <c r="H1060" s="1340"/>
      <c r="I1060" s="1309"/>
      <c r="J1060" s="1307"/>
    </row>
    <row r="1061" spans="2:10" ht="15.75" customHeight="1">
      <c r="B1061" s="1307"/>
      <c r="D1061" s="1307"/>
      <c r="E1061" s="1307"/>
      <c r="F1061" s="1307"/>
      <c r="G1061" s="1340"/>
      <c r="H1061" s="1340"/>
      <c r="I1061" s="1309"/>
      <c r="J1061" s="1307"/>
    </row>
    <row r="1062" spans="2:10" ht="15.75" customHeight="1">
      <c r="B1062" s="1307"/>
      <c r="D1062" s="1307"/>
      <c r="E1062" s="1307"/>
      <c r="F1062" s="1307"/>
      <c r="G1062" s="1340"/>
      <c r="H1062" s="1340"/>
      <c r="I1062" s="1309"/>
      <c r="J1062" s="1307"/>
    </row>
    <row r="1063" spans="2:10" ht="15.75" customHeight="1">
      <c r="B1063" s="1307"/>
      <c r="D1063" s="1307"/>
      <c r="E1063" s="1307"/>
      <c r="F1063" s="1307"/>
      <c r="G1063" s="1340"/>
      <c r="H1063" s="1340"/>
      <c r="I1063" s="1309"/>
      <c r="J1063" s="1307"/>
    </row>
    <row r="1064" spans="2:10" ht="15.75" customHeight="1">
      <c r="B1064" s="1307"/>
      <c r="D1064" s="1307"/>
      <c r="E1064" s="1307"/>
      <c r="F1064" s="1307"/>
      <c r="G1064" s="1340"/>
      <c r="H1064" s="1340"/>
      <c r="I1064" s="1309"/>
      <c r="J1064" s="1307"/>
    </row>
    <row r="1065" spans="2:10" ht="15.75" customHeight="1">
      <c r="B1065" s="1307"/>
      <c r="D1065" s="1307"/>
      <c r="E1065" s="1307"/>
      <c r="F1065" s="1307"/>
      <c r="G1065" s="1340"/>
      <c r="H1065" s="1340"/>
      <c r="I1065" s="1309"/>
      <c r="J1065" s="1307"/>
    </row>
    <row r="1066" spans="2:10" ht="15.75" customHeight="1">
      <c r="B1066" s="1307"/>
      <c r="D1066" s="1307"/>
      <c r="E1066" s="1307"/>
      <c r="F1066" s="1307"/>
      <c r="G1066" s="1340"/>
      <c r="H1066" s="1340"/>
      <c r="I1066" s="1309"/>
      <c r="J1066" s="1307"/>
    </row>
    <row r="1067" spans="2:10" ht="15.75" customHeight="1">
      <c r="B1067" s="1307"/>
      <c r="D1067" s="1307"/>
      <c r="E1067" s="1307"/>
      <c r="F1067" s="1307"/>
      <c r="G1067" s="1340"/>
      <c r="H1067" s="1340"/>
      <c r="I1067" s="1309"/>
      <c r="J1067" s="1307"/>
    </row>
    <row r="1068" spans="2:10" ht="15.75" customHeight="1">
      <c r="B1068" s="1307"/>
      <c r="D1068" s="1307"/>
      <c r="E1068" s="1307"/>
      <c r="F1068" s="1307"/>
      <c r="G1068" s="1340"/>
      <c r="H1068" s="1340"/>
      <c r="I1068" s="1309"/>
      <c r="J1068" s="1307"/>
    </row>
    <row r="1069" spans="2:10" ht="15.75" customHeight="1">
      <c r="B1069" s="1307"/>
      <c r="D1069" s="1307"/>
      <c r="E1069" s="1307"/>
      <c r="F1069" s="1307"/>
      <c r="G1069" s="1340"/>
      <c r="H1069" s="1340"/>
      <c r="I1069" s="1309"/>
      <c r="J1069" s="1307"/>
    </row>
    <row r="1070" spans="2:10" ht="15.75" customHeight="1">
      <c r="B1070" s="1307"/>
      <c r="D1070" s="1307"/>
      <c r="E1070" s="1307"/>
      <c r="F1070" s="1307"/>
      <c r="G1070" s="1340"/>
      <c r="H1070" s="1340"/>
      <c r="I1070" s="1309"/>
      <c r="J1070" s="1307"/>
    </row>
    <row r="1071" spans="2:10" ht="15.75" customHeight="1">
      <c r="B1071" s="1307"/>
      <c r="D1071" s="1307"/>
      <c r="E1071" s="1307"/>
      <c r="F1071" s="1307"/>
      <c r="G1071" s="1340"/>
      <c r="H1071" s="1340"/>
      <c r="I1071" s="1309"/>
      <c r="J1071" s="1307"/>
    </row>
    <row r="1072" spans="2:10" ht="15.75" customHeight="1">
      <c r="B1072" s="1307"/>
      <c r="D1072" s="1307"/>
      <c r="E1072" s="1307"/>
      <c r="F1072" s="1307"/>
      <c r="G1072" s="1340"/>
      <c r="H1072" s="1340"/>
      <c r="I1072" s="1309"/>
      <c r="J1072" s="1307"/>
    </row>
    <row r="1073" spans="2:10" ht="15.75" customHeight="1">
      <c r="B1073" s="1307"/>
      <c r="D1073" s="1307"/>
      <c r="E1073" s="1307"/>
      <c r="F1073" s="1307"/>
      <c r="G1073" s="1340"/>
      <c r="H1073" s="1340"/>
      <c r="I1073" s="1309"/>
      <c r="J1073" s="1307"/>
    </row>
    <row r="1074" spans="2:10" ht="15.75" customHeight="1">
      <c r="B1074" s="1307"/>
      <c r="D1074" s="1307"/>
      <c r="E1074" s="1307"/>
      <c r="F1074" s="1307"/>
      <c r="G1074" s="1340"/>
      <c r="H1074" s="1340"/>
      <c r="I1074" s="1309"/>
      <c r="J1074" s="1307"/>
    </row>
    <row r="1075" spans="2:10" ht="15.75" customHeight="1">
      <c r="B1075" s="1307"/>
      <c r="D1075" s="1307"/>
      <c r="E1075" s="1307"/>
      <c r="F1075" s="1307"/>
      <c r="G1075" s="1340"/>
      <c r="H1075" s="1340"/>
      <c r="I1075" s="1309"/>
      <c r="J1075" s="1307"/>
    </row>
    <row r="1076" spans="2:10" ht="15.75" customHeight="1">
      <c r="B1076" s="1307"/>
      <c r="D1076" s="1307"/>
      <c r="E1076" s="1307"/>
      <c r="F1076" s="1307"/>
      <c r="G1076" s="1340"/>
      <c r="H1076" s="1340"/>
      <c r="I1076" s="1309"/>
      <c r="J1076" s="1307"/>
    </row>
    <row r="1077" spans="2:10" ht="15.75" customHeight="1">
      <c r="B1077" s="1307"/>
      <c r="D1077" s="1307"/>
      <c r="E1077" s="1307"/>
      <c r="F1077" s="1307"/>
      <c r="G1077" s="1340"/>
      <c r="H1077" s="1340"/>
      <c r="I1077" s="1309"/>
      <c r="J1077" s="1307"/>
    </row>
    <row r="1078" spans="2:10" ht="15.75" customHeight="1">
      <c r="B1078" s="1307"/>
      <c r="D1078" s="1307"/>
      <c r="E1078" s="1307"/>
      <c r="F1078" s="1307"/>
      <c r="G1078" s="1340"/>
      <c r="H1078" s="1340"/>
      <c r="I1078" s="1309"/>
      <c r="J1078" s="1307"/>
    </row>
    <row r="1079" spans="2:10" ht="15.75" customHeight="1">
      <c r="B1079" s="1307"/>
      <c r="D1079" s="1307"/>
      <c r="E1079" s="1307"/>
      <c r="F1079" s="1307"/>
      <c r="G1079" s="1340"/>
      <c r="H1079" s="1340"/>
      <c r="I1079" s="1309"/>
      <c r="J1079" s="1307"/>
    </row>
    <row r="1080" spans="2:10" ht="15.75" customHeight="1">
      <c r="B1080" s="1307"/>
      <c r="D1080" s="1307"/>
      <c r="E1080" s="1307"/>
      <c r="F1080" s="1307"/>
      <c r="G1080" s="1340"/>
      <c r="H1080" s="1340"/>
      <c r="I1080" s="1309"/>
      <c r="J1080" s="1307"/>
    </row>
    <row r="1081" spans="2:10" ht="15.75" customHeight="1">
      <c r="B1081" s="1307"/>
      <c r="D1081" s="1307"/>
      <c r="E1081" s="1307"/>
      <c r="F1081" s="1307"/>
      <c r="G1081" s="1340"/>
      <c r="H1081" s="1340"/>
      <c r="I1081" s="1309"/>
      <c r="J1081" s="1307"/>
    </row>
    <row r="1082" spans="2:10" ht="15.75" customHeight="1">
      <c r="B1082" s="1307"/>
      <c r="D1082" s="1307"/>
      <c r="E1082" s="1307"/>
      <c r="F1082" s="1307"/>
      <c r="G1082" s="1340"/>
      <c r="H1082" s="1340"/>
      <c r="I1082" s="1309"/>
      <c r="J1082" s="1307"/>
    </row>
    <row r="1083" spans="2:10" ht="15.75" customHeight="1">
      <c r="B1083" s="1307"/>
      <c r="D1083" s="1307"/>
      <c r="E1083" s="1307"/>
      <c r="F1083" s="1307"/>
      <c r="G1083" s="1340"/>
      <c r="H1083" s="1340"/>
      <c r="I1083" s="1309"/>
      <c r="J1083" s="1307"/>
    </row>
    <row r="1084" spans="2:10" ht="15.75" customHeight="1">
      <c r="B1084" s="1307"/>
      <c r="D1084" s="1307"/>
      <c r="E1084" s="1307"/>
      <c r="F1084" s="1307"/>
      <c r="G1084" s="1340"/>
      <c r="H1084" s="1340"/>
      <c r="I1084" s="1309"/>
      <c r="J1084" s="1307"/>
    </row>
    <row r="1085" spans="2:10" ht="15.75" customHeight="1">
      <c r="B1085" s="1307"/>
      <c r="D1085" s="1307"/>
      <c r="E1085" s="1307"/>
      <c r="F1085" s="1307"/>
      <c r="G1085" s="1340"/>
      <c r="H1085" s="1340"/>
      <c r="I1085" s="1309"/>
      <c r="J1085" s="1307"/>
    </row>
    <row r="1086" spans="2:10" ht="15.75" customHeight="1">
      <c r="B1086" s="1307"/>
      <c r="D1086" s="1307"/>
      <c r="E1086" s="1307"/>
      <c r="F1086" s="1307"/>
      <c r="G1086" s="1340"/>
      <c r="H1086" s="1340"/>
      <c r="I1086" s="1309"/>
      <c r="J1086" s="1307"/>
    </row>
    <row r="1087" spans="2:10" ht="15.75" customHeight="1">
      <c r="B1087" s="1307"/>
      <c r="D1087" s="1307"/>
      <c r="E1087" s="1307"/>
      <c r="F1087" s="1307"/>
      <c r="G1087" s="1340"/>
      <c r="H1087" s="1340"/>
      <c r="I1087" s="1309"/>
      <c r="J1087" s="1307"/>
    </row>
    <row r="1088" spans="2:10" ht="15.75" customHeight="1">
      <c r="B1088" s="1307"/>
      <c r="D1088" s="1307"/>
      <c r="E1088" s="1307"/>
      <c r="F1088" s="1307"/>
      <c r="G1088" s="1340"/>
      <c r="H1088" s="1340"/>
      <c r="I1088" s="1309"/>
      <c r="J1088" s="1307"/>
    </row>
    <row r="1089" spans="2:10" ht="15.75" customHeight="1">
      <c r="B1089" s="1307"/>
      <c r="D1089" s="1307"/>
      <c r="E1089" s="1307"/>
      <c r="F1089" s="1307"/>
      <c r="G1089" s="1340"/>
      <c r="H1089" s="1340"/>
      <c r="I1089" s="1309"/>
      <c r="J1089" s="1307"/>
    </row>
    <row r="1090" spans="2:10" ht="15.75" customHeight="1">
      <c r="B1090" s="1307"/>
      <c r="D1090" s="1307"/>
      <c r="E1090" s="1307"/>
      <c r="F1090" s="1307"/>
      <c r="G1090" s="1340"/>
      <c r="H1090" s="1340"/>
      <c r="I1090" s="1309"/>
      <c r="J1090" s="1307"/>
    </row>
    <row r="1091" spans="2:10" ht="15.75" customHeight="1">
      <c r="B1091" s="1307"/>
      <c r="D1091" s="1307"/>
      <c r="E1091" s="1307"/>
      <c r="F1091" s="1307"/>
      <c r="G1091" s="1340"/>
      <c r="H1091" s="1340"/>
      <c r="I1091" s="1309"/>
      <c r="J1091" s="1307"/>
    </row>
    <row r="1092" spans="2:10" ht="15.75" customHeight="1">
      <c r="B1092" s="1307"/>
      <c r="D1092" s="1307"/>
      <c r="E1092" s="1307"/>
      <c r="F1092" s="1307"/>
      <c r="G1092" s="1340"/>
      <c r="H1092" s="1340"/>
      <c r="I1092" s="1309"/>
      <c r="J1092" s="1307"/>
    </row>
    <row r="1093" spans="2:10" ht="15.75" customHeight="1">
      <c r="B1093" s="1307"/>
      <c r="D1093" s="1307"/>
      <c r="E1093" s="1307"/>
      <c r="F1093" s="1307"/>
      <c r="G1093" s="1340"/>
      <c r="H1093" s="1340"/>
      <c r="I1093" s="1309"/>
      <c r="J1093" s="1307"/>
    </row>
    <row r="1094" spans="2:10" ht="15.75" customHeight="1">
      <c r="B1094" s="1307"/>
      <c r="D1094" s="1307"/>
      <c r="E1094" s="1307"/>
      <c r="F1094" s="1307"/>
      <c r="G1094" s="1340"/>
      <c r="H1094" s="1340"/>
      <c r="I1094" s="1309"/>
      <c r="J1094" s="1307"/>
    </row>
    <row r="1095" spans="2:10" ht="15.75" customHeight="1">
      <c r="B1095" s="1307"/>
      <c r="D1095" s="1307"/>
      <c r="E1095" s="1307"/>
      <c r="F1095" s="1307"/>
      <c r="G1095" s="1340"/>
      <c r="H1095" s="1340"/>
      <c r="I1095" s="1309"/>
      <c r="J1095" s="1307"/>
    </row>
    <row r="1096" spans="2:10" ht="15.75" customHeight="1">
      <c r="B1096" s="1307"/>
      <c r="D1096" s="1307"/>
      <c r="E1096" s="1307"/>
      <c r="F1096" s="1307"/>
      <c r="G1096" s="1340"/>
      <c r="H1096" s="1340"/>
      <c r="I1096" s="1309"/>
      <c r="J1096" s="1307"/>
    </row>
    <row r="1097" spans="2:10" ht="15.75" customHeight="1">
      <c r="B1097" s="1307"/>
      <c r="D1097" s="1307"/>
      <c r="E1097" s="1307"/>
      <c r="F1097" s="1307"/>
      <c r="G1097" s="1340"/>
      <c r="H1097" s="1340"/>
      <c r="I1097" s="1309"/>
      <c r="J1097" s="1307"/>
    </row>
    <row r="1098" spans="2:10" ht="15.75" customHeight="1">
      <c r="B1098" s="1307"/>
      <c r="D1098" s="1307"/>
      <c r="E1098" s="1307"/>
      <c r="F1098" s="1307"/>
      <c r="G1098" s="1340"/>
      <c r="H1098" s="1340"/>
      <c r="I1098" s="1309"/>
      <c r="J1098" s="1307"/>
    </row>
    <row r="1099" spans="2:10" ht="15.75" customHeight="1">
      <c r="B1099" s="1307"/>
      <c r="D1099" s="1307"/>
      <c r="E1099" s="1307"/>
      <c r="F1099" s="1307"/>
      <c r="G1099" s="1340"/>
      <c r="H1099" s="1340"/>
      <c r="I1099" s="1309"/>
      <c r="J1099" s="1307"/>
    </row>
    <row r="1100" spans="2:10" ht="15.75" customHeight="1">
      <c r="B1100" s="1307"/>
      <c r="D1100" s="1307"/>
      <c r="E1100" s="1307"/>
      <c r="F1100" s="1307"/>
      <c r="G1100" s="1340"/>
      <c r="H1100" s="1340"/>
      <c r="I1100" s="1309"/>
      <c r="J1100" s="1307"/>
    </row>
    <row r="1101" spans="2:10" ht="15.75" customHeight="1">
      <c r="B1101" s="1307"/>
      <c r="D1101" s="1307"/>
      <c r="E1101" s="1307"/>
      <c r="F1101" s="1307"/>
      <c r="G1101" s="1340"/>
      <c r="H1101" s="1340"/>
      <c r="I1101" s="1309"/>
      <c r="J1101" s="1307"/>
    </row>
    <row r="1102" spans="2:10" ht="15.75" customHeight="1">
      <c r="B1102" s="1307"/>
      <c r="D1102" s="1307"/>
      <c r="E1102" s="1307"/>
      <c r="F1102" s="1307"/>
      <c r="G1102" s="1340"/>
      <c r="H1102" s="1340"/>
      <c r="I1102" s="1309"/>
      <c r="J1102" s="1307"/>
    </row>
    <row r="1103" spans="2:10" ht="15.75" customHeight="1">
      <c r="B1103" s="1307"/>
      <c r="D1103" s="1307"/>
      <c r="E1103" s="1307"/>
      <c r="F1103" s="1307"/>
      <c r="G1103" s="1340"/>
      <c r="H1103" s="1340"/>
      <c r="I1103" s="1309"/>
      <c r="J1103" s="1307"/>
    </row>
    <row r="1104" spans="2:10" ht="15.75" customHeight="1">
      <c r="B1104" s="1307"/>
      <c r="D1104" s="1307"/>
      <c r="E1104" s="1307"/>
      <c r="F1104" s="1307"/>
      <c r="G1104" s="1340"/>
      <c r="H1104" s="1340"/>
      <c r="I1104" s="1309"/>
      <c r="J1104" s="1307"/>
    </row>
    <row r="1105" spans="2:10" ht="15.75" customHeight="1">
      <c r="B1105" s="1307"/>
      <c r="D1105" s="1307"/>
      <c r="E1105" s="1307"/>
      <c r="F1105" s="1307"/>
      <c r="G1105" s="1340"/>
      <c r="H1105" s="1340"/>
      <c r="I1105" s="1309"/>
      <c r="J1105" s="1307"/>
    </row>
    <row r="1106" spans="2:10" ht="15.75" customHeight="1">
      <c r="B1106" s="1307"/>
      <c r="D1106" s="1307"/>
      <c r="E1106" s="1307"/>
      <c r="F1106" s="1307"/>
      <c r="G1106" s="1340"/>
      <c r="H1106" s="1340"/>
      <c r="I1106" s="1309"/>
      <c r="J1106" s="1307"/>
    </row>
    <row r="1107" spans="2:10" ht="15.75" customHeight="1">
      <c r="B1107" s="1307"/>
      <c r="D1107" s="1307"/>
      <c r="E1107" s="1307"/>
      <c r="F1107" s="1307"/>
      <c r="G1107" s="1340"/>
      <c r="H1107" s="1340"/>
      <c r="I1107" s="1309"/>
      <c r="J1107" s="1307"/>
    </row>
    <row r="1108" spans="2:10" ht="15.75" customHeight="1">
      <c r="B1108" s="1307"/>
      <c r="D1108" s="1307"/>
      <c r="E1108" s="1307"/>
      <c r="F1108" s="1307"/>
      <c r="G1108" s="1340"/>
      <c r="H1108" s="1340"/>
      <c r="I1108" s="1309"/>
      <c r="J1108" s="1307"/>
    </row>
    <row r="1109" spans="2:10" ht="15.75" customHeight="1">
      <c r="B1109" s="1307"/>
      <c r="D1109" s="1307"/>
      <c r="E1109" s="1307"/>
      <c r="F1109" s="1307"/>
      <c r="G1109" s="1340"/>
      <c r="H1109" s="1340"/>
      <c r="I1109" s="1309"/>
      <c r="J1109" s="1307"/>
    </row>
    <row r="1110" spans="2:10" ht="15.75" customHeight="1">
      <c r="B1110" s="1307"/>
      <c r="D1110" s="1307"/>
      <c r="E1110" s="1307"/>
      <c r="F1110" s="1307"/>
      <c r="G1110" s="1340"/>
      <c r="H1110" s="1340"/>
      <c r="I1110" s="1309"/>
      <c r="J1110" s="1307"/>
    </row>
    <row r="1111" spans="2:10" ht="15.75" customHeight="1">
      <c r="B1111" s="1307"/>
      <c r="D1111" s="1307"/>
      <c r="E1111" s="1307"/>
      <c r="F1111" s="1307"/>
      <c r="G1111" s="1340"/>
      <c r="H1111" s="1340"/>
      <c r="I1111" s="1309"/>
      <c r="J1111" s="1307"/>
    </row>
    <row r="1112" spans="2:10" ht="15.75" customHeight="1">
      <c r="B1112" s="1307"/>
      <c r="D1112" s="1307"/>
      <c r="E1112" s="1307"/>
      <c r="F1112" s="1307"/>
      <c r="G1112" s="1340"/>
      <c r="H1112" s="1340"/>
      <c r="I1112" s="1309"/>
      <c r="J1112" s="1307"/>
    </row>
    <row r="1113" spans="2:10" ht="15.75" customHeight="1">
      <c r="B1113" s="1307"/>
      <c r="D1113" s="1307"/>
      <c r="E1113" s="1307"/>
      <c r="F1113" s="1307"/>
      <c r="G1113" s="1340"/>
      <c r="H1113" s="1340"/>
      <c r="I1113" s="1309"/>
      <c r="J1113" s="1307"/>
    </row>
    <row r="1114" spans="2:10" ht="15.75" customHeight="1">
      <c r="B1114" s="1307"/>
      <c r="D1114" s="1307"/>
      <c r="E1114" s="1307"/>
      <c r="F1114" s="1307"/>
      <c r="G1114" s="1340"/>
      <c r="H1114" s="1340"/>
      <c r="I1114" s="1309"/>
      <c r="J1114" s="1307"/>
    </row>
    <row r="1115" spans="2:10" ht="15.75" customHeight="1">
      <c r="B1115" s="1307"/>
      <c r="D1115" s="1307"/>
      <c r="E1115" s="1307"/>
      <c r="F1115" s="1307"/>
      <c r="G1115" s="1340"/>
      <c r="H1115" s="1340"/>
      <c r="I1115" s="1309"/>
      <c r="J1115" s="1307"/>
    </row>
    <row r="1116" spans="2:10" ht="15.75" customHeight="1">
      <c r="B1116" s="1307"/>
      <c r="D1116" s="1307"/>
      <c r="E1116" s="1307"/>
      <c r="F1116" s="1307"/>
      <c r="G1116" s="1340"/>
      <c r="H1116" s="1340"/>
      <c r="I1116" s="1309"/>
      <c r="J1116" s="1307"/>
    </row>
    <row r="1117" spans="2:10" ht="15.75" customHeight="1">
      <c r="B1117" s="1307"/>
      <c r="D1117" s="1307"/>
      <c r="E1117" s="1307"/>
      <c r="F1117" s="1307"/>
      <c r="G1117" s="1340"/>
      <c r="H1117" s="1340"/>
      <c r="I1117" s="1309"/>
      <c r="J1117" s="1307"/>
    </row>
    <row r="1118" spans="2:10" ht="15.75" customHeight="1">
      <c r="B1118" s="1307"/>
      <c r="D1118" s="1307"/>
      <c r="E1118" s="1307"/>
      <c r="F1118" s="1307"/>
      <c r="G1118" s="1340"/>
      <c r="H1118" s="1340"/>
      <c r="I1118" s="1309"/>
      <c r="J1118" s="1307"/>
    </row>
    <row r="1119" spans="2:10" ht="15.75" customHeight="1">
      <c r="B1119" s="1307"/>
      <c r="D1119" s="1307"/>
      <c r="E1119" s="1307"/>
      <c r="F1119" s="1307"/>
      <c r="G1119" s="1340"/>
      <c r="H1119" s="1340"/>
      <c r="I1119" s="1309"/>
      <c r="J1119" s="1307"/>
    </row>
    <row r="1120" spans="2:10" ht="15.75" customHeight="1">
      <c r="B1120" s="1307"/>
      <c r="D1120" s="1307"/>
      <c r="E1120" s="1307"/>
      <c r="F1120" s="1307"/>
      <c r="G1120" s="1340"/>
      <c r="H1120" s="1340"/>
      <c r="I1120" s="1309"/>
      <c r="J1120" s="1307"/>
    </row>
    <row r="1121" spans="2:10" ht="15.75" customHeight="1">
      <c r="B1121" s="1307"/>
      <c r="D1121" s="1307"/>
      <c r="E1121" s="1307"/>
      <c r="F1121" s="1307"/>
      <c r="G1121" s="1340"/>
      <c r="H1121" s="1340"/>
      <c r="I1121" s="1309"/>
      <c r="J1121" s="1307"/>
    </row>
    <row r="1122" spans="2:10" ht="15.75" customHeight="1">
      <c r="B1122" s="1307"/>
      <c r="D1122" s="1307"/>
      <c r="E1122" s="1307"/>
      <c r="F1122" s="1307"/>
      <c r="G1122" s="1340"/>
      <c r="H1122" s="1340"/>
      <c r="I1122" s="1309"/>
      <c r="J1122" s="1307"/>
    </row>
    <row r="1123" spans="2:10" ht="15.75" customHeight="1">
      <c r="B1123" s="1307"/>
      <c r="D1123" s="1307"/>
      <c r="E1123" s="1307"/>
      <c r="F1123" s="1307"/>
      <c r="G1123" s="1340"/>
      <c r="H1123" s="1340"/>
      <c r="I1123" s="1309"/>
      <c r="J1123" s="1307"/>
    </row>
    <row r="1124" spans="2:10" ht="15.75" customHeight="1">
      <c r="B1124" s="1307"/>
      <c r="D1124" s="1307"/>
      <c r="E1124" s="1307"/>
      <c r="F1124" s="1307"/>
      <c r="G1124" s="1340"/>
      <c r="H1124" s="1340"/>
      <c r="I1124" s="1309"/>
      <c r="J1124" s="1307"/>
    </row>
    <row r="1125" spans="2:10" ht="15.75" customHeight="1">
      <c r="B1125" s="1307"/>
      <c r="D1125" s="1307"/>
      <c r="E1125" s="1307"/>
      <c r="F1125" s="1307"/>
      <c r="G1125" s="1340"/>
      <c r="H1125" s="1340"/>
      <c r="I1125" s="1309"/>
      <c r="J1125" s="1307"/>
    </row>
    <row r="1126" spans="2:10" ht="15.75" customHeight="1">
      <c r="B1126" s="1307"/>
      <c r="D1126" s="1307"/>
      <c r="E1126" s="1307"/>
      <c r="F1126" s="1307"/>
      <c r="G1126" s="1340"/>
      <c r="H1126" s="1340"/>
      <c r="I1126" s="1309"/>
      <c r="J1126" s="1307"/>
    </row>
    <row r="1127" spans="2:10" ht="15.75" customHeight="1">
      <c r="B1127" s="1307"/>
      <c r="D1127" s="1307"/>
      <c r="E1127" s="1307"/>
      <c r="F1127" s="1307"/>
      <c r="G1127" s="1340"/>
      <c r="H1127" s="1340"/>
      <c r="I1127" s="1309"/>
      <c r="J1127" s="1307"/>
    </row>
    <row r="1128" spans="2:10" ht="15.75" customHeight="1">
      <c r="B1128" s="1307"/>
      <c r="D1128" s="1307"/>
      <c r="E1128" s="1307"/>
      <c r="F1128" s="1307"/>
      <c r="G1128" s="1340"/>
      <c r="H1128" s="1340"/>
      <c r="I1128" s="1309"/>
      <c r="J1128" s="1307"/>
    </row>
    <row r="1129" spans="2:10" ht="15.75" customHeight="1">
      <c r="B1129" s="1307"/>
      <c r="D1129" s="1307"/>
      <c r="E1129" s="1307"/>
      <c r="F1129" s="1307"/>
      <c r="G1129" s="1340"/>
      <c r="H1129" s="1340"/>
      <c r="I1129" s="1309"/>
      <c r="J1129" s="1307"/>
    </row>
    <row r="1130" spans="2:10" ht="15.75" customHeight="1">
      <c r="B1130" s="1307"/>
      <c r="D1130" s="1307"/>
      <c r="E1130" s="1307"/>
      <c r="F1130" s="1307"/>
      <c r="G1130" s="1340"/>
      <c r="H1130" s="1340"/>
      <c r="I1130" s="1309"/>
      <c r="J1130" s="1307"/>
    </row>
    <row r="1131" spans="2:10" ht="15.75" customHeight="1">
      <c r="B1131" s="1307"/>
      <c r="D1131" s="1307"/>
      <c r="E1131" s="1307"/>
      <c r="F1131" s="1307"/>
      <c r="G1131" s="1340"/>
      <c r="H1131" s="1340"/>
      <c r="I1131" s="1309"/>
      <c r="J1131" s="1307"/>
    </row>
    <row r="1132" spans="2:10" ht="15.75" customHeight="1">
      <c r="B1132" s="1307"/>
      <c r="D1132" s="1307"/>
      <c r="E1132" s="1307"/>
      <c r="F1132" s="1307"/>
      <c r="G1132" s="1340"/>
      <c r="H1132" s="1340"/>
      <c r="I1132" s="1309"/>
      <c r="J1132" s="1307"/>
    </row>
    <row r="1133" spans="2:10" ht="15.75" customHeight="1">
      <c r="B1133" s="1307"/>
      <c r="D1133" s="1307"/>
      <c r="E1133" s="1307"/>
      <c r="F1133" s="1307"/>
      <c r="G1133" s="1340"/>
      <c r="H1133" s="1340"/>
      <c r="I1133" s="1309"/>
      <c r="J1133" s="1307"/>
    </row>
    <row r="1134" spans="2:10" ht="15.75" customHeight="1">
      <c r="B1134" s="1307"/>
      <c r="D1134" s="1307"/>
      <c r="E1134" s="1307"/>
      <c r="F1134" s="1307"/>
      <c r="G1134" s="1340"/>
      <c r="H1134" s="1340"/>
      <c r="I1134" s="1309"/>
      <c r="J1134" s="1307"/>
    </row>
    <row r="1135" spans="2:10" ht="15.75" customHeight="1">
      <c r="B1135" s="1307"/>
      <c r="D1135" s="1307"/>
      <c r="E1135" s="1307"/>
      <c r="F1135" s="1307"/>
      <c r="G1135" s="1340"/>
      <c r="H1135" s="1340"/>
      <c r="I1135" s="1309"/>
      <c r="J1135" s="1307"/>
    </row>
    <row r="1136" spans="2:10" ht="15.75" customHeight="1">
      <c r="B1136" s="1307"/>
      <c r="D1136" s="1307"/>
      <c r="E1136" s="1307"/>
      <c r="F1136" s="1307"/>
      <c r="G1136" s="1340"/>
      <c r="H1136" s="1340"/>
      <c r="I1136" s="1309"/>
      <c r="J1136" s="1307"/>
    </row>
    <row r="1137" spans="2:10" ht="15.75" customHeight="1">
      <c r="B1137" s="1307"/>
      <c r="D1137" s="1307"/>
      <c r="E1137" s="1307"/>
      <c r="F1137" s="1307"/>
      <c r="G1137" s="1340"/>
      <c r="H1137" s="1340"/>
      <c r="I1137" s="1309"/>
      <c r="J1137" s="1307"/>
    </row>
    <row r="1138" spans="2:10" ht="15.75" customHeight="1">
      <c r="B1138" s="1307"/>
      <c r="D1138" s="1307"/>
      <c r="E1138" s="1307"/>
      <c r="F1138" s="1307"/>
      <c r="G1138" s="1340"/>
      <c r="H1138" s="1340"/>
      <c r="I1138" s="1309"/>
      <c r="J1138" s="1307"/>
    </row>
    <row r="1139" spans="2:10" ht="15.75" customHeight="1">
      <c r="B1139" s="1307"/>
      <c r="D1139" s="1307"/>
      <c r="E1139" s="1307"/>
      <c r="F1139" s="1307"/>
      <c r="G1139" s="1340"/>
      <c r="H1139" s="1340"/>
      <c r="I1139" s="1309"/>
      <c r="J1139" s="1307"/>
    </row>
    <row r="1140" spans="2:10" ht="15.75" customHeight="1">
      <c r="B1140" s="1307"/>
      <c r="D1140" s="1307"/>
      <c r="E1140" s="1307"/>
      <c r="F1140" s="1307"/>
      <c r="G1140" s="1340"/>
      <c r="H1140" s="1340"/>
      <c r="I1140" s="1309"/>
      <c r="J1140" s="1307"/>
    </row>
    <row r="1141" spans="2:10" ht="15.75" customHeight="1">
      <c r="B1141" s="1307"/>
      <c r="D1141" s="1307"/>
      <c r="E1141" s="1307"/>
      <c r="F1141" s="1307"/>
      <c r="G1141" s="1340"/>
      <c r="H1141" s="1340"/>
      <c r="I1141" s="1309"/>
      <c r="J1141" s="1307"/>
    </row>
    <row r="1142" spans="2:10" ht="15.75" customHeight="1">
      <c r="B1142" s="1307"/>
      <c r="D1142" s="1307"/>
      <c r="E1142" s="1307"/>
      <c r="F1142" s="1307"/>
      <c r="G1142" s="1340"/>
      <c r="H1142" s="1340"/>
      <c r="I1142" s="1309"/>
      <c r="J1142" s="1307"/>
    </row>
    <row r="1143" spans="2:10" ht="15.75" customHeight="1">
      <c r="B1143" s="1307"/>
      <c r="D1143" s="1307"/>
      <c r="E1143" s="1307"/>
      <c r="F1143" s="1307"/>
      <c r="G1143" s="1340"/>
      <c r="H1143" s="1340"/>
      <c r="I1143" s="1309"/>
      <c r="J1143" s="1307"/>
    </row>
    <row r="1144" spans="2:10" ht="15.75" customHeight="1">
      <c r="B1144" s="1307"/>
      <c r="D1144" s="1307"/>
      <c r="E1144" s="1307"/>
      <c r="F1144" s="1307"/>
      <c r="G1144" s="1340"/>
      <c r="H1144" s="1340"/>
      <c r="I1144" s="1309"/>
      <c r="J1144" s="1307"/>
    </row>
    <row r="1145" spans="2:10" ht="15.75" customHeight="1">
      <c r="B1145" s="1307"/>
      <c r="D1145" s="1307"/>
      <c r="E1145" s="1307"/>
      <c r="F1145" s="1307"/>
      <c r="G1145" s="1340"/>
      <c r="H1145" s="1340"/>
      <c r="I1145" s="1309"/>
      <c r="J1145" s="1307"/>
    </row>
    <row r="1146" spans="2:10" ht="15.75" customHeight="1">
      <c r="B1146" s="1307"/>
      <c r="D1146" s="1307"/>
      <c r="E1146" s="1307"/>
      <c r="F1146" s="1307"/>
      <c r="G1146" s="1340"/>
      <c r="H1146" s="1340"/>
      <c r="I1146" s="1309"/>
      <c r="J1146" s="1307"/>
    </row>
    <row r="1147" spans="2:10" ht="15.75" customHeight="1">
      <c r="B1147" s="1307"/>
      <c r="D1147" s="1307"/>
      <c r="E1147" s="1307"/>
      <c r="F1147" s="1307"/>
      <c r="G1147" s="1340"/>
      <c r="H1147" s="1340"/>
      <c r="I1147" s="1309"/>
      <c r="J1147" s="1307"/>
    </row>
    <row r="1148" spans="2:10" ht="15.75" customHeight="1">
      <c r="B1148" s="1307"/>
      <c r="D1148" s="1307"/>
      <c r="E1148" s="1307"/>
      <c r="F1148" s="1307"/>
      <c r="G1148" s="1340"/>
      <c r="H1148" s="1340"/>
      <c r="I1148" s="1309"/>
      <c r="J1148" s="1307"/>
    </row>
    <row r="1149" spans="2:10" ht="15.75" customHeight="1">
      <c r="B1149" s="1307"/>
      <c r="D1149" s="1307"/>
      <c r="E1149" s="1307"/>
      <c r="F1149" s="1307"/>
      <c r="G1149" s="1340"/>
      <c r="H1149" s="1340"/>
      <c r="I1149" s="1309"/>
      <c r="J1149" s="1307"/>
    </row>
    <row r="1150" spans="2:10" ht="15.75" customHeight="1">
      <c r="B1150" s="1307"/>
      <c r="D1150" s="1307"/>
      <c r="E1150" s="1307"/>
      <c r="F1150" s="1307"/>
      <c r="G1150" s="1340"/>
      <c r="H1150" s="1340"/>
      <c r="I1150" s="1309"/>
      <c r="J1150" s="1307"/>
    </row>
    <row r="1151" spans="2:10" ht="15.75" customHeight="1">
      <c r="B1151" s="1307"/>
      <c r="D1151" s="1307"/>
      <c r="E1151" s="1307"/>
      <c r="F1151" s="1307"/>
      <c r="G1151" s="1340"/>
      <c r="H1151" s="1340"/>
      <c r="I1151" s="1309"/>
      <c r="J1151" s="1307"/>
    </row>
    <row r="1152" spans="2:10" ht="15.75" customHeight="1">
      <c r="B1152" s="1307"/>
      <c r="D1152" s="1307"/>
      <c r="E1152" s="1307"/>
      <c r="F1152" s="1307"/>
      <c r="G1152" s="1340"/>
      <c r="H1152" s="1340"/>
      <c r="I1152" s="1309"/>
      <c r="J1152" s="1307"/>
    </row>
    <row r="1153" spans="2:10" ht="15.75" customHeight="1">
      <c r="B1153" s="1307"/>
      <c r="D1153" s="1307"/>
      <c r="E1153" s="1307"/>
      <c r="F1153" s="1307"/>
      <c r="G1153" s="1340"/>
      <c r="H1153" s="1340"/>
      <c r="I1153" s="1309"/>
      <c r="J1153" s="1307"/>
    </row>
    <row r="1154" spans="2:10" ht="15.75" customHeight="1">
      <c r="B1154" s="1307"/>
      <c r="D1154" s="1307"/>
      <c r="E1154" s="1307"/>
      <c r="F1154" s="1307"/>
      <c r="G1154" s="1340"/>
      <c r="H1154" s="1340"/>
      <c r="I1154" s="1309"/>
      <c r="J1154" s="1307"/>
    </row>
    <row r="1155" spans="2:10" ht="15.75" customHeight="1">
      <c r="B1155" s="1307"/>
      <c r="D1155" s="1307"/>
      <c r="E1155" s="1307"/>
      <c r="F1155" s="1307"/>
      <c r="G1155" s="1340"/>
      <c r="H1155" s="1340"/>
      <c r="I1155" s="1309"/>
      <c r="J1155" s="1307"/>
    </row>
    <row r="1156" spans="2:10" ht="15.75" customHeight="1">
      <c r="B1156" s="1307"/>
      <c r="D1156" s="1307"/>
      <c r="E1156" s="1307"/>
      <c r="F1156" s="1307"/>
      <c r="G1156" s="1340"/>
      <c r="H1156" s="1340"/>
      <c r="I1156" s="1309"/>
      <c r="J1156" s="1307"/>
    </row>
    <row r="1157" spans="2:10" ht="15.75" customHeight="1">
      <c r="B1157" s="1307"/>
      <c r="D1157" s="1307"/>
      <c r="E1157" s="1307"/>
      <c r="F1157" s="1307"/>
      <c r="G1157" s="1340"/>
      <c r="H1157" s="1340"/>
      <c r="I1157" s="1309"/>
      <c r="J1157" s="1307"/>
    </row>
    <row r="1158" spans="2:10" ht="15.75" customHeight="1">
      <c r="B1158" s="1307"/>
      <c r="D1158" s="1307"/>
      <c r="E1158" s="1307"/>
      <c r="F1158" s="1307"/>
      <c r="G1158" s="1340"/>
      <c r="H1158" s="1340"/>
      <c r="I1158" s="1309"/>
      <c r="J1158" s="1307"/>
    </row>
    <row r="1159" spans="2:10" ht="15.75" customHeight="1">
      <c r="B1159" s="1307"/>
      <c r="D1159" s="1307"/>
      <c r="E1159" s="1307"/>
      <c r="F1159" s="1307"/>
      <c r="G1159" s="1340"/>
      <c r="H1159" s="1340"/>
      <c r="I1159" s="1309"/>
      <c r="J1159" s="1307"/>
    </row>
    <row r="1160" spans="2:10" ht="15.75" customHeight="1">
      <c r="B1160" s="1307"/>
      <c r="D1160" s="1307"/>
      <c r="E1160" s="1307"/>
      <c r="F1160" s="1307"/>
      <c r="G1160" s="1340"/>
      <c r="H1160" s="1340"/>
      <c r="I1160" s="1309"/>
      <c r="J1160" s="1307"/>
    </row>
    <row r="1161" spans="2:10" ht="15.75" customHeight="1">
      <c r="B1161" s="1307"/>
      <c r="D1161" s="1307"/>
      <c r="E1161" s="1307"/>
      <c r="F1161" s="1307"/>
      <c r="G1161" s="1340"/>
      <c r="H1161" s="1340"/>
      <c r="I1161" s="1309"/>
      <c r="J1161" s="1307"/>
    </row>
    <row r="1162" spans="2:10" ht="15.75" customHeight="1">
      <c r="B1162" s="1307"/>
      <c r="D1162" s="1307"/>
      <c r="E1162" s="1307"/>
      <c r="F1162" s="1307"/>
      <c r="G1162" s="1340"/>
      <c r="H1162" s="1340"/>
      <c r="I1162" s="1309"/>
      <c r="J1162" s="1307"/>
    </row>
    <row r="1163" spans="2:10" ht="15.75" customHeight="1">
      <c r="B1163" s="1307"/>
      <c r="D1163" s="1307"/>
      <c r="E1163" s="1307"/>
      <c r="F1163" s="1307"/>
      <c r="G1163" s="1340"/>
      <c r="H1163" s="1340"/>
      <c r="I1163" s="1309"/>
      <c r="J1163" s="1307"/>
    </row>
    <row r="1164" spans="2:10" ht="15.75" customHeight="1">
      <c r="B1164" s="1307"/>
      <c r="D1164" s="1307"/>
      <c r="E1164" s="1307"/>
      <c r="F1164" s="1307"/>
      <c r="G1164" s="1340"/>
      <c r="H1164" s="1340"/>
      <c r="I1164" s="1309"/>
      <c r="J1164" s="1307"/>
    </row>
    <row r="1165" spans="2:10" ht="15.75" customHeight="1">
      <c r="B1165" s="1307"/>
      <c r="D1165" s="1307"/>
      <c r="E1165" s="1307"/>
      <c r="F1165" s="1307"/>
      <c r="G1165" s="1340"/>
      <c r="H1165" s="1340"/>
      <c r="I1165" s="1309"/>
      <c r="J1165" s="1307"/>
    </row>
    <row r="1166" spans="2:10" ht="15.75" customHeight="1">
      <c r="B1166" s="1307"/>
      <c r="D1166" s="1307"/>
      <c r="E1166" s="1307"/>
      <c r="F1166" s="1307"/>
      <c r="G1166" s="1340"/>
      <c r="H1166" s="1340"/>
      <c r="I1166" s="1309"/>
      <c r="J1166" s="1307"/>
    </row>
    <row r="1167" spans="2:10" ht="15.75" customHeight="1">
      <c r="B1167" s="1307"/>
      <c r="D1167" s="1307"/>
      <c r="E1167" s="1307"/>
      <c r="F1167" s="1307"/>
      <c r="G1167" s="1340"/>
      <c r="H1167" s="1340"/>
      <c r="I1167" s="1309"/>
      <c r="J1167" s="1307"/>
    </row>
    <row r="1168" spans="2:10" ht="15.75" customHeight="1">
      <c r="B1168" s="1307"/>
      <c r="D1168" s="1307"/>
      <c r="E1168" s="1307"/>
      <c r="F1168" s="1307"/>
      <c r="G1168" s="1340"/>
      <c r="H1168" s="1340"/>
      <c r="I1168" s="1309"/>
      <c r="J1168" s="1307"/>
    </row>
    <row r="1169" spans="2:10" ht="15.75" customHeight="1">
      <c r="B1169" s="1307"/>
      <c r="D1169" s="1307"/>
      <c r="E1169" s="1307"/>
      <c r="F1169" s="1307"/>
      <c r="G1169" s="1340"/>
      <c r="H1169" s="1340"/>
      <c r="I1169" s="1309"/>
      <c r="J1169" s="1307"/>
    </row>
    <row r="1170" spans="2:10" ht="15.75" customHeight="1">
      <c r="B1170" s="1307"/>
      <c r="D1170" s="1307"/>
      <c r="E1170" s="1307"/>
      <c r="F1170" s="1307"/>
      <c r="G1170" s="1340"/>
      <c r="H1170" s="1340"/>
      <c r="I1170" s="1309"/>
      <c r="J1170" s="1307"/>
    </row>
  </sheetData>
  <mergeCells count="20">
    <mergeCell ref="B102:D102"/>
    <mergeCell ref="B107:D107"/>
    <mergeCell ref="B129:D129"/>
    <mergeCell ref="B159:D159"/>
    <mergeCell ref="B16:D16"/>
    <mergeCell ref="B33:D33"/>
    <mergeCell ref="B52:D52"/>
    <mergeCell ref="B75:D75"/>
    <mergeCell ref="B89:D89"/>
    <mergeCell ref="B57:D57"/>
    <mergeCell ref="B63:D63"/>
    <mergeCell ref="B37:D37"/>
    <mergeCell ref="I1:J1"/>
    <mergeCell ref="I2:J2"/>
    <mergeCell ref="I3:J3"/>
    <mergeCell ref="B6:B7"/>
    <mergeCell ref="C6:C7"/>
    <mergeCell ref="D6:D7"/>
    <mergeCell ref="F6:H6"/>
    <mergeCell ref="I6:J6"/>
  </mergeCells>
  <pageMargins left="0.5" right="0.25" top="0.5" bottom="0.5" header="0.25" footer="0.25"/>
  <pageSetup paperSize="9" scale="78" firstPageNumber="120" orientation="portrait" useFirstPageNumber="1" r:id="rId1"/>
  <headerFooter alignWithMargins="0">
    <oddHeader>Page &amp;P of &amp;N</oddHeader>
    <oddFooter>&amp;LContractor: - ______________&amp;CConsultant: - ______________&amp;RClient: - _________________</oddFooter>
  </headerFooter>
  <rowBreaks count="4" manualBreakCount="4">
    <brk id="57" max="10" man="1"/>
    <brk id="107" max="10" man="1"/>
    <brk id="160" max="10" man="1"/>
    <brk id="164" max="1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4"/>
  <sheetViews>
    <sheetView view="pageBreakPreview" topLeftCell="A67" zoomScaleNormal="115" zoomScaleSheetLayoutView="100" zoomScalePageLayoutView="85" workbookViewId="0">
      <selection activeCell="D80" sqref="D80"/>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0.425781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191"/>
      <c r="H1" s="821"/>
      <c r="I1" s="1192"/>
      <c r="J1" s="820"/>
    </row>
    <row r="2" spans="1:10">
      <c r="A2" s="834"/>
      <c r="B2" s="2059" t="s">
        <v>1917</v>
      </c>
      <c r="C2" s="2059"/>
      <c r="D2" s="2059"/>
      <c r="E2" s="2059"/>
      <c r="F2" s="819"/>
      <c r="G2" s="1191"/>
      <c r="J2" s="834"/>
    </row>
    <row r="3" spans="1:10">
      <c r="A3" s="834"/>
      <c r="B3" s="2059" t="s">
        <v>1920</v>
      </c>
      <c r="C3" s="2059"/>
      <c r="D3" s="2059"/>
      <c r="E3" s="2059"/>
      <c r="F3" s="2059"/>
      <c r="G3" s="1191"/>
      <c r="H3" s="2060" t="s">
        <v>2568</v>
      </c>
      <c r="I3" s="2060"/>
      <c r="J3" s="834"/>
    </row>
    <row r="4" spans="1:10">
      <c r="A4" s="834"/>
      <c r="B4" s="2059" t="s">
        <v>1921</v>
      </c>
      <c r="C4" s="2059"/>
      <c r="D4" s="2059"/>
      <c r="E4" s="2059"/>
      <c r="F4" s="819"/>
      <c r="G4" s="1191"/>
      <c r="H4" s="2061"/>
      <c r="I4" s="2061"/>
      <c r="J4" s="834"/>
    </row>
    <row r="5" spans="1:10">
      <c r="A5" s="834"/>
      <c r="B5" s="824"/>
      <c r="C5" s="1191"/>
      <c r="D5" s="1191"/>
      <c r="E5" s="825"/>
      <c r="F5" s="819"/>
      <c r="G5" s="1190"/>
      <c r="H5" s="827"/>
      <c r="I5" s="1190"/>
      <c r="J5" s="834"/>
    </row>
    <row r="6" spans="1:10">
      <c r="A6" s="1162"/>
      <c r="B6" s="909" t="s">
        <v>1884</v>
      </c>
      <c r="C6" s="911" t="s">
        <v>526</v>
      </c>
      <c r="D6" s="910" t="s">
        <v>1885</v>
      </c>
      <c r="E6" s="911" t="s">
        <v>1886</v>
      </c>
      <c r="F6" s="909" t="s">
        <v>1884</v>
      </c>
      <c r="G6" s="911" t="s">
        <v>526</v>
      </c>
      <c r="H6" s="910" t="s">
        <v>1885</v>
      </c>
      <c r="I6" s="911" t="s">
        <v>1886</v>
      </c>
      <c r="J6" s="1162"/>
    </row>
    <row r="7" spans="1:10">
      <c r="A7" s="834"/>
      <c r="B7" s="831"/>
      <c r="C7" s="829"/>
      <c r="D7" s="832"/>
      <c r="E7" s="1281" t="s">
        <v>1887</v>
      </c>
      <c r="F7" s="831">
        <v>1</v>
      </c>
      <c r="G7" s="829">
        <v>4.8499999999999996</v>
      </c>
      <c r="H7" s="832"/>
      <c r="I7" s="1639" t="s">
        <v>3416</v>
      </c>
    </row>
    <row r="8" spans="1:10">
      <c r="A8" s="834"/>
      <c r="B8" s="831"/>
      <c r="C8" s="829"/>
      <c r="D8" s="832"/>
      <c r="E8" s="1281" t="s">
        <v>1888</v>
      </c>
      <c r="F8" s="831"/>
      <c r="G8" s="829">
        <v>7.4</v>
      </c>
      <c r="H8" s="832"/>
      <c r="I8" s="435"/>
    </row>
    <row r="9" spans="1:10">
      <c r="A9" s="834"/>
      <c r="B9" s="831"/>
      <c r="C9" s="829"/>
      <c r="D9" s="832"/>
      <c r="E9" s="837" t="s">
        <v>1889</v>
      </c>
      <c r="F9" s="831"/>
      <c r="G9" s="829">
        <v>0.8</v>
      </c>
      <c r="H9" s="832">
        <f>F7*G7*G8*G9</f>
        <v>28.712000000000003</v>
      </c>
      <c r="I9" s="435"/>
    </row>
    <row r="10" spans="1:10">
      <c r="A10" s="834"/>
      <c r="B10" s="831"/>
      <c r="C10" s="829"/>
      <c r="D10" s="832"/>
      <c r="E10" s="913" t="s">
        <v>2549</v>
      </c>
      <c r="F10" s="435"/>
      <c r="G10" s="435"/>
      <c r="H10" s="435"/>
      <c r="I10" s="435"/>
    </row>
    <row r="11" spans="1:10">
      <c r="A11" s="834"/>
      <c r="B11" s="831">
        <v>1</v>
      </c>
      <c r="C11" s="829">
        <v>40.549999999999997</v>
      </c>
      <c r="D11" s="832"/>
      <c r="E11" s="913" t="s">
        <v>2550</v>
      </c>
      <c r="F11" s="831">
        <v>1</v>
      </c>
      <c r="G11" s="829">
        <v>4.8499999999999996</v>
      </c>
      <c r="H11" s="832"/>
      <c r="I11" s="913" t="s">
        <v>3417</v>
      </c>
    </row>
    <row r="12" spans="1:10">
      <c r="A12" s="834"/>
      <c r="B12" s="831"/>
      <c r="C12" s="829">
        <v>20.399999999999999</v>
      </c>
      <c r="D12" s="832">
        <f>C12*C11*B11</f>
        <v>827.21999999999991</v>
      </c>
      <c r="E12" s="837"/>
      <c r="F12" s="435"/>
      <c r="G12" s="829">
        <v>2.7</v>
      </c>
      <c r="H12" s="832"/>
      <c r="I12" s="435"/>
    </row>
    <row r="13" spans="1:10">
      <c r="A13" s="834"/>
      <c r="B13" s="831"/>
      <c r="C13" s="829"/>
      <c r="D13" s="832"/>
      <c r="E13" s="837"/>
      <c r="F13" s="435"/>
      <c r="G13" s="829">
        <v>0.55000000000000004</v>
      </c>
      <c r="H13" s="832">
        <f>F11*G11*G12*G13</f>
        <v>7.2022500000000012</v>
      </c>
      <c r="I13" s="435"/>
    </row>
    <row r="14" spans="1:10" ht="18">
      <c r="A14" s="834"/>
      <c r="B14" s="839"/>
      <c r="C14" s="839"/>
      <c r="D14" s="838">
        <f>D12</f>
        <v>827.21999999999991</v>
      </c>
      <c r="E14" s="845" t="s">
        <v>3159</v>
      </c>
      <c r="F14" s="435"/>
      <c r="G14" s="829"/>
      <c r="H14" s="435"/>
      <c r="I14" s="435"/>
    </row>
    <row r="15" spans="1:10">
      <c r="A15" s="834"/>
      <c r="B15" s="831"/>
      <c r="C15" s="829"/>
      <c r="D15" s="832"/>
      <c r="E15" s="837"/>
      <c r="F15" s="831">
        <v>1</v>
      </c>
      <c r="G15" s="829">
        <v>6.05</v>
      </c>
      <c r="H15" s="832"/>
      <c r="I15" s="913" t="s">
        <v>3418</v>
      </c>
    </row>
    <row r="16" spans="1:10">
      <c r="A16" s="834"/>
      <c r="B16" s="831"/>
      <c r="C16" s="829"/>
      <c r="D16" s="832"/>
      <c r="E16" s="837" t="s">
        <v>1890</v>
      </c>
      <c r="F16" s="831"/>
      <c r="G16" s="829">
        <v>6.1</v>
      </c>
      <c r="H16" s="832"/>
      <c r="I16" s="435"/>
    </row>
    <row r="17" spans="1:10">
      <c r="A17" s="834"/>
      <c r="E17" s="103" t="s">
        <v>3434</v>
      </c>
      <c r="F17" s="831"/>
      <c r="G17" s="829">
        <v>0.65</v>
      </c>
      <c r="H17" s="832">
        <f>F15*G15*G16*G17</f>
        <v>23.988249999999997</v>
      </c>
      <c r="I17" s="435"/>
    </row>
    <row r="18" spans="1:10">
      <c r="A18" s="834"/>
      <c r="B18" s="831">
        <v>1</v>
      </c>
      <c r="C18" s="829">
        <v>6.2</v>
      </c>
      <c r="D18" s="832"/>
      <c r="E18" s="913" t="s">
        <v>3406</v>
      </c>
      <c r="F18" s="831"/>
      <c r="G18" s="829"/>
      <c r="H18" s="832"/>
      <c r="I18" s="435"/>
    </row>
    <row r="19" spans="1:10">
      <c r="A19" s="834"/>
      <c r="B19" s="831"/>
      <c r="C19" s="829">
        <v>2.2000000000000002</v>
      </c>
      <c r="D19" s="832"/>
      <c r="E19" s="913"/>
      <c r="F19" s="831">
        <v>1</v>
      </c>
      <c r="G19" s="829">
        <v>6.2</v>
      </c>
      <c r="H19" s="832"/>
      <c r="I19" s="913" t="s">
        <v>3419</v>
      </c>
    </row>
    <row r="20" spans="1:10">
      <c r="A20" s="834"/>
      <c r="B20" s="831"/>
      <c r="C20" s="829">
        <v>0.8</v>
      </c>
      <c r="D20" s="832">
        <f>B18*C18*C19*C20</f>
        <v>10.912000000000003</v>
      </c>
      <c r="E20" s="837"/>
      <c r="F20" s="831"/>
      <c r="G20" s="829">
        <v>7.4</v>
      </c>
      <c r="H20" s="832"/>
      <c r="I20" s="435"/>
    </row>
    <row r="21" spans="1:10">
      <c r="A21" s="834"/>
      <c r="B21" s="831"/>
      <c r="C21" s="829"/>
      <c r="D21" s="832"/>
      <c r="E21" s="837"/>
      <c r="F21" s="831"/>
      <c r="G21" s="829">
        <v>0.8</v>
      </c>
      <c r="H21" s="832">
        <f>F19*G19*G20*G21</f>
        <v>36.704000000000001</v>
      </c>
      <c r="I21" s="435"/>
    </row>
    <row r="22" spans="1:10">
      <c r="A22" s="834"/>
      <c r="B22" s="831">
        <v>1</v>
      </c>
      <c r="C22" s="829">
        <v>2.65</v>
      </c>
      <c r="D22" s="832"/>
      <c r="E22" s="913" t="s">
        <v>3407</v>
      </c>
      <c r="F22" s="831"/>
      <c r="G22" s="829"/>
      <c r="H22" s="832"/>
      <c r="I22" s="435"/>
    </row>
    <row r="23" spans="1:10">
      <c r="A23" s="834"/>
      <c r="B23" s="831"/>
      <c r="C23" s="829">
        <v>2.2000000000000002</v>
      </c>
      <c r="D23" s="832"/>
      <c r="E23" s="913"/>
      <c r="F23" s="831">
        <v>1</v>
      </c>
      <c r="G23" s="829">
        <v>6.2</v>
      </c>
      <c r="H23" s="832"/>
      <c r="I23" s="435"/>
      <c r="J23" s="834"/>
    </row>
    <row r="24" spans="1:10">
      <c r="A24" s="834"/>
      <c r="B24" s="831"/>
      <c r="C24" s="829">
        <v>0.7</v>
      </c>
      <c r="D24" s="832">
        <f>B22*C22*C23*C24</f>
        <v>4.0809999999999995</v>
      </c>
      <c r="E24" s="913"/>
      <c r="F24" s="831"/>
      <c r="G24" s="829">
        <v>2.7</v>
      </c>
      <c r="H24" s="832"/>
      <c r="I24" s="435"/>
      <c r="J24" s="834"/>
    </row>
    <row r="25" spans="1:10">
      <c r="A25" s="834"/>
      <c r="B25" s="831"/>
      <c r="C25" s="829"/>
      <c r="D25" s="832"/>
      <c r="E25" s="837"/>
      <c r="F25" s="831"/>
      <c r="G25" s="829">
        <v>0.8</v>
      </c>
      <c r="H25" s="832">
        <f>F23*G23*G24*G25</f>
        <v>13.392000000000003</v>
      </c>
      <c r="I25" s="435"/>
      <c r="J25" s="834"/>
    </row>
    <row r="26" spans="1:10">
      <c r="A26" s="834"/>
      <c r="B26" s="831">
        <v>1</v>
      </c>
      <c r="C26" s="829">
        <v>6.1</v>
      </c>
      <c r="D26" s="832"/>
      <c r="E26" s="913" t="s">
        <v>3408</v>
      </c>
      <c r="F26" s="831"/>
      <c r="G26" s="829"/>
      <c r="H26" s="832"/>
      <c r="I26" s="435"/>
      <c r="J26" s="834"/>
    </row>
    <row r="27" spans="1:10">
      <c r="A27" s="834"/>
      <c r="B27" s="831"/>
      <c r="C27" s="829">
        <v>2.2000000000000002</v>
      </c>
      <c r="D27" s="832"/>
      <c r="E27" s="837"/>
      <c r="F27" s="831">
        <v>1</v>
      </c>
      <c r="G27" s="829">
        <v>2.65</v>
      </c>
      <c r="H27" s="832"/>
      <c r="I27" s="435"/>
      <c r="J27" s="834"/>
    </row>
    <row r="28" spans="1:10">
      <c r="A28" s="834"/>
      <c r="B28" s="831"/>
      <c r="C28" s="829">
        <v>0.6</v>
      </c>
      <c r="D28" s="832">
        <f>B26*C26*C27*C28</f>
        <v>8.0519999999999996</v>
      </c>
      <c r="E28" s="837"/>
      <c r="F28" s="831"/>
      <c r="G28" s="829">
        <v>2.7</v>
      </c>
      <c r="H28" s="832"/>
      <c r="I28" s="435"/>
      <c r="J28" s="834"/>
    </row>
    <row r="29" spans="1:10">
      <c r="A29" s="834"/>
      <c r="B29" s="831"/>
      <c r="C29" s="829"/>
      <c r="D29" s="832"/>
      <c r="E29" s="913"/>
      <c r="F29" s="831"/>
      <c r="G29" s="829">
        <v>0.8</v>
      </c>
      <c r="H29" s="832">
        <f>F27*G27*G28*G29</f>
        <v>5.7240000000000002</v>
      </c>
      <c r="I29" s="435"/>
      <c r="J29" s="834"/>
    </row>
    <row r="30" spans="1:10">
      <c r="A30" s="834"/>
      <c r="B30" s="831">
        <v>1</v>
      </c>
      <c r="C30" s="829">
        <v>6.2</v>
      </c>
      <c r="D30" s="832"/>
      <c r="E30" s="913" t="s">
        <v>3409</v>
      </c>
      <c r="F30" s="435"/>
      <c r="G30" s="829"/>
      <c r="H30" s="435"/>
      <c r="I30" s="435"/>
      <c r="J30" s="834"/>
    </row>
    <row r="31" spans="1:10">
      <c r="A31" s="834"/>
      <c r="B31" s="831"/>
      <c r="C31" s="829">
        <v>2.2000000000000002</v>
      </c>
      <c r="D31" s="832"/>
      <c r="E31" s="837"/>
      <c r="F31" s="831">
        <v>1</v>
      </c>
      <c r="G31" s="829">
        <v>6.2</v>
      </c>
      <c r="H31" s="832"/>
      <c r="I31" s="435"/>
      <c r="J31" s="834"/>
    </row>
    <row r="32" spans="1:10">
      <c r="A32" s="834"/>
      <c r="B32" s="831"/>
      <c r="C32" s="829">
        <v>0.8</v>
      </c>
      <c r="D32" s="832">
        <f>B30*C30*C31*C32</f>
        <v>10.912000000000003</v>
      </c>
      <c r="E32" s="435"/>
      <c r="F32" s="831"/>
      <c r="G32" s="829">
        <v>6.05</v>
      </c>
      <c r="H32" s="832"/>
      <c r="I32" s="435"/>
      <c r="J32" s="834"/>
    </row>
    <row r="33" spans="1:10">
      <c r="A33" s="834"/>
      <c r="B33" s="435"/>
      <c r="C33" s="829"/>
      <c r="D33" s="435"/>
      <c r="E33" s="435"/>
      <c r="F33" s="831"/>
      <c r="G33" s="829">
        <v>0.8</v>
      </c>
      <c r="H33" s="832">
        <f>F31*G31*G32*G33</f>
        <v>30.007999999999999</v>
      </c>
      <c r="I33" s="435"/>
      <c r="J33" s="834"/>
    </row>
    <row r="34" spans="1:10">
      <c r="A34" s="834"/>
      <c r="B34" s="831">
        <v>1</v>
      </c>
      <c r="C34" s="829">
        <v>6.1</v>
      </c>
      <c r="D34" s="832"/>
      <c r="E34" s="913" t="s">
        <v>3410</v>
      </c>
      <c r="F34" s="435"/>
      <c r="G34" s="829"/>
      <c r="H34" s="435"/>
      <c r="I34" s="435"/>
      <c r="J34" s="834"/>
    </row>
    <row r="35" spans="1:10">
      <c r="A35" s="834"/>
      <c r="B35" s="831"/>
      <c r="C35" s="829">
        <v>2.2000000000000002</v>
      </c>
      <c r="D35" s="832"/>
      <c r="E35" s="435"/>
      <c r="F35" s="435">
        <v>1</v>
      </c>
      <c r="G35" s="829">
        <v>6.1</v>
      </c>
      <c r="H35" s="832"/>
      <c r="I35" s="435"/>
      <c r="J35" s="834"/>
    </row>
    <row r="36" spans="1:10">
      <c r="A36" s="834"/>
      <c r="B36" s="831"/>
      <c r="C36" s="829">
        <v>0.6</v>
      </c>
      <c r="D36" s="832">
        <f>B34*C34*C35*C36</f>
        <v>8.0519999999999996</v>
      </c>
      <c r="E36" s="435"/>
      <c r="F36" s="831"/>
      <c r="G36" s="829">
        <v>6.05</v>
      </c>
      <c r="H36" s="832"/>
      <c r="I36" s="435"/>
      <c r="J36" s="834"/>
    </row>
    <row r="37" spans="1:10">
      <c r="A37" s="834"/>
      <c r="B37" s="435"/>
      <c r="C37" s="829"/>
      <c r="D37" s="435"/>
      <c r="E37" s="435"/>
      <c r="F37" s="831"/>
      <c r="G37" s="829">
        <v>0.8</v>
      </c>
      <c r="H37" s="832">
        <f>F35*G35*G36*G37</f>
        <v>29.523999999999997</v>
      </c>
      <c r="I37" s="435"/>
      <c r="J37" s="834"/>
    </row>
    <row r="38" spans="1:10">
      <c r="A38" s="834"/>
      <c r="B38" s="435">
        <v>1</v>
      </c>
      <c r="C38" s="829">
        <v>6.2</v>
      </c>
      <c r="D38" s="832"/>
      <c r="E38" s="913" t="s">
        <v>3411</v>
      </c>
      <c r="F38" s="435"/>
      <c r="G38" s="829"/>
      <c r="H38" s="832"/>
      <c r="I38" s="435"/>
      <c r="J38" s="834"/>
    </row>
    <row r="39" spans="1:10">
      <c r="A39" s="834"/>
      <c r="B39" s="831"/>
      <c r="C39" s="829">
        <v>2.2000000000000002</v>
      </c>
      <c r="D39" s="832"/>
      <c r="E39" s="435"/>
      <c r="F39" s="831">
        <v>1</v>
      </c>
      <c r="G39" s="829">
        <v>6.2</v>
      </c>
      <c r="H39" s="832"/>
      <c r="I39" s="435"/>
      <c r="J39" s="834"/>
    </row>
    <row r="40" spans="1:10">
      <c r="A40" s="834"/>
      <c r="B40" s="831"/>
      <c r="C40" s="829">
        <v>0.85</v>
      </c>
      <c r="D40" s="832">
        <f>B38*C38*C39*C40</f>
        <v>11.594000000000001</v>
      </c>
      <c r="E40" s="435"/>
      <c r="F40" s="435"/>
      <c r="G40" s="829">
        <v>2.7</v>
      </c>
      <c r="H40" s="832"/>
      <c r="I40" s="435"/>
      <c r="J40" s="834"/>
    </row>
    <row r="41" spans="1:10">
      <c r="A41" s="834"/>
      <c r="B41" s="435"/>
      <c r="C41" s="829"/>
      <c r="D41" s="832"/>
      <c r="E41" s="435"/>
      <c r="F41" s="435"/>
      <c r="G41" s="829">
        <v>0.8</v>
      </c>
      <c r="H41" s="832">
        <f>F39*G39*G40*G41</f>
        <v>13.392000000000003</v>
      </c>
      <c r="I41" s="435"/>
      <c r="J41" s="834"/>
    </row>
    <row r="42" spans="1:10">
      <c r="A42" s="834"/>
      <c r="B42" s="831">
        <v>1</v>
      </c>
      <c r="C42" s="829">
        <v>4.8499999999999996</v>
      </c>
      <c r="D42" s="832"/>
      <c r="E42" s="913" t="s">
        <v>3412</v>
      </c>
      <c r="F42" s="435"/>
      <c r="G42" s="829"/>
      <c r="H42" s="435"/>
      <c r="I42" s="435"/>
      <c r="J42" s="834"/>
    </row>
    <row r="43" spans="1:10">
      <c r="A43" s="834"/>
      <c r="B43" s="435"/>
      <c r="C43" s="829">
        <v>2.2000000000000002</v>
      </c>
      <c r="D43" s="832"/>
      <c r="E43" s="435"/>
      <c r="F43" s="831">
        <v>1</v>
      </c>
      <c r="G43" s="829">
        <v>6.1</v>
      </c>
      <c r="H43" s="832"/>
      <c r="I43" s="435"/>
      <c r="J43" s="834"/>
    </row>
    <row r="44" spans="1:10">
      <c r="A44" s="834"/>
      <c r="B44" s="435"/>
      <c r="C44" s="829">
        <v>0.9</v>
      </c>
      <c r="D44" s="832">
        <f>B42*C42*C43*C44</f>
        <v>9.6029999999999998</v>
      </c>
      <c r="E44" s="435"/>
      <c r="F44" s="831"/>
      <c r="G44" s="829">
        <v>2.7</v>
      </c>
      <c r="H44" s="832"/>
      <c r="I44" s="435"/>
      <c r="J44" s="834"/>
    </row>
    <row r="45" spans="1:10">
      <c r="A45" s="834"/>
      <c r="B45" s="435"/>
      <c r="C45" s="829"/>
      <c r="D45" s="435"/>
      <c r="E45" s="435"/>
      <c r="F45" s="831"/>
      <c r="G45" s="829">
        <v>0.8</v>
      </c>
      <c r="H45" s="1638">
        <f>F43*G43*G44*G45</f>
        <v>13.176</v>
      </c>
      <c r="I45" s="435"/>
      <c r="J45" s="834"/>
    </row>
    <row r="46" spans="1:10">
      <c r="A46" s="834"/>
      <c r="B46" s="831">
        <v>1</v>
      </c>
      <c r="C46" s="829">
        <v>2.85</v>
      </c>
      <c r="D46" s="832"/>
      <c r="E46" s="913" t="s">
        <v>3413</v>
      </c>
      <c r="F46" s="435"/>
      <c r="G46" s="829"/>
      <c r="H46" s="435"/>
      <c r="I46" s="435"/>
      <c r="J46" s="834"/>
    </row>
    <row r="47" spans="1:10">
      <c r="A47" s="834"/>
      <c r="B47" s="831"/>
      <c r="C47" s="829">
        <v>7.4</v>
      </c>
      <c r="D47" s="832"/>
      <c r="E47" s="435"/>
      <c r="F47" s="831">
        <v>1</v>
      </c>
      <c r="G47" s="829">
        <v>6.2</v>
      </c>
      <c r="H47" s="832"/>
      <c r="I47" s="435"/>
      <c r="J47" s="834"/>
    </row>
    <row r="48" spans="1:10">
      <c r="A48" s="834"/>
      <c r="B48" s="831"/>
      <c r="C48" s="829">
        <v>0.7</v>
      </c>
      <c r="D48" s="832">
        <f>B46*C46*C47*C48</f>
        <v>14.763000000000002</v>
      </c>
      <c r="E48" s="435"/>
      <c r="F48" s="831"/>
      <c r="G48" s="829">
        <v>2.7</v>
      </c>
      <c r="H48" s="832"/>
      <c r="I48" s="435"/>
      <c r="J48" s="834"/>
    </row>
    <row r="49" spans="1:10">
      <c r="A49" s="834"/>
      <c r="B49" s="831"/>
      <c r="C49" s="829"/>
      <c r="D49" s="832"/>
      <c r="E49" s="435"/>
      <c r="F49" s="831"/>
      <c r="G49" s="829">
        <v>0.8</v>
      </c>
      <c r="H49" s="832">
        <f>F47*G47*G48*G49</f>
        <v>13.392000000000003</v>
      </c>
      <c r="I49" s="435"/>
      <c r="J49" s="834"/>
    </row>
    <row r="50" spans="1:10">
      <c r="A50" s="834"/>
      <c r="B50" s="831">
        <v>1</v>
      </c>
      <c r="C50" s="829">
        <v>6.1</v>
      </c>
      <c r="D50" s="832"/>
      <c r="E50" s="1639" t="s">
        <v>3414</v>
      </c>
      <c r="F50" s="435"/>
      <c r="G50" s="435"/>
      <c r="H50" s="435"/>
      <c r="I50" s="435"/>
      <c r="J50" s="834"/>
    </row>
    <row r="51" spans="1:10">
      <c r="A51" s="834"/>
      <c r="B51" s="831"/>
      <c r="C51" s="829">
        <v>7.4</v>
      </c>
      <c r="D51" s="832"/>
      <c r="E51" s="435"/>
      <c r="F51" s="831">
        <v>1</v>
      </c>
      <c r="G51" s="829">
        <v>6.2</v>
      </c>
      <c r="H51" s="832"/>
      <c r="I51" s="435"/>
      <c r="J51" s="834"/>
    </row>
    <row r="52" spans="1:10">
      <c r="A52" s="834"/>
      <c r="B52" s="831"/>
      <c r="C52" s="829">
        <v>0.8</v>
      </c>
      <c r="D52" s="832">
        <f>B50*C50*C51*C52</f>
        <v>36.112000000000002</v>
      </c>
      <c r="E52" s="435"/>
      <c r="F52" s="831"/>
      <c r="G52" s="829">
        <v>6.05</v>
      </c>
      <c r="H52" s="832"/>
      <c r="I52" s="435"/>
      <c r="J52" s="834"/>
    </row>
    <row r="53" spans="1:10">
      <c r="A53" s="834"/>
      <c r="B53" s="831"/>
      <c r="C53" s="829"/>
      <c r="D53" s="832"/>
      <c r="E53" s="435"/>
      <c r="F53" s="831"/>
      <c r="G53" s="829">
        <v>0.8</v>
      </c>
      <c r="H53" s="832">
        <f>F51*G51*G52*G53</f>
        <v>30.007999999999999</v>
      </c>
      <c r="I53" s="435"/>
      <c r="J53" s="834"/>
    </row>
    <row r="54" spans="1:10">
      <c r="A54" s="834"/>
      <c r="B54" s="831">
        <v>1</v>
      </c>
      <c r="C54" s="829">
        <v>6.2</v>
      </c>
      <c r="D54" s="832"/>
      <c r="E54" s="1639" t="s">
        <v>3414</v>
      </c>
      <c r="F54" s="435"/>
      <c r="G54" s="435"/>
      <c r="H54" s="435"/>
      <c r="I54" s="435"/>
      <c r="J54" s="834"/>
    </row>
    <row r="55" spans="1:10">
      <c r="A55" s="834"/>
      <c r="B55" s="831"/>
      <c r="C55" s="829">
        <v>7.4</v>
      </c>
      <c r="D55" s="832"/>
      <c r="E55" s="435"/>
      <c r="F55" s="831">
        <v>1</v>
      </c>
      <c r="G55" s="829">
        <v>2.65</v>
      </c>
      <c r="H55" s="832"/>
      <c r="I55" s="435"/>
      <c r="J55" s="834"/>
    </row>
    <row r="56" spans="1:10">
      <c r="A56" s="834"/>
      <c r="B56" s="831"/>
      <c r="C56" s="829">
        <v>0.65</v>
      </c>
      <c r="D56" s="832">
        <f>B54*C54*C55*C56</f>
        <v>29.822000000000003</v>
      </c>
      <c r="E56" s="435"/>
      <c r="F56" s="831"/>
      <c r="G56" s="829">
        <v>6.05</v>
      </c>
      <c r="H56" s="832"/>
      <c r="I56" s="435"/>
      <c r="J56" s="834"/>
    </row>
    <row r="57" spans="1:10">
      <c r="A57" s="834"/>
      <c r="B57" s="831"/>
      <c r="C57" s="829"/>
      <c r="D57" s="832"/>
      <c r="E57" s="435"/>
      <c r="F57" s="831"/>
      <c r="G57" s="829">
        <v>0.85</v>
      </c>
      <c r="H57" s="832">
        <f>F55*G55*G56*G57</f>
        <v>13.627624999999998</v>
      </c>
      <c r="I57" s="435"/>
      <c r="J57" s="834"/>
    </row>
    <row r="58" spans="1:10">
      <c r="A58" s="834"/>
      <c r="B58" s="831">
        <v>1</v>
      </c>
      <c r="C58" s="829">
        <v>6.1</v>
      </c>
      <c r="D58" s="832"/>
      <c r="E58" s="1639" t="s">
        <v>3414</v>
      </c>
      <c r="F58" s="1627"/>
      <c r="G58" s="848"/>
      <c r="H58" s="843"/>
      <c r="I58" s="435"/>
      <c r="J58" s="834"/>
    </row>
    <row r="59" spans="1:10">
      <c r="A59" s="834"/>
      <c r="B59" s="831"/>
      <c r="C59" s="829">
        <v>2.7</v>
      </c>
      <c r="D59" s="832"/>
      <c r="E59" s="435"/>
      <c r="F59" s="831">
        <v>1</v>
      </c>
      <c r="G59" s="829">
        <v>6.2</v>
      </c>
      <c r="H59" s="832"/>
      <c r="I59" s="435"/>
      <c r="J59" s="834"/>
    </row>
    <row r="60" spans="1:10">
      <c r="A60" s="834"/>
      <c r="B60" s="831"/>
      <c r="C60" s="829">
        <v>0.96</v>
      </c>
      <c r="D60" s="832">
        <f>B58*C58*C59*C60</f>
        <v>15.811199999999998</v>
      </c>
      <c r="E60" s="435"/>
      <c r="F60" s="831"/>
      <c r="G60" s="829">
        <v>6.05</v>
      </c>
      <c r="H60" s="832"/>
      <c r="I60" s="435"/>
      <c r="J60" s="834"/>
    </row>
    <row r="61" spans="1:10">
      <c r="A61" s="834"/>
      <c r="B61" s="435"/>
      <c r="C61" s="435"/>
      <c r="D61" s="435"/>
      <c r="E61" s="435"/>
      <c r="F61" s="831"/>
      <c r="G61" s="829">
        <v>0.8</v>
      </c>
      <c r="H61" s="832">
        <f>F59*G59*G60*G61</f>
        <v>30.007999999999999</v>
      </c>
      <c r="I61" s="435"/>
      <c r="J61" s="834"/>
    </row>
    <row r="62" spans="1:10">
      <c r="A62" s="834"/>
      <c r="B62" s="831">
        <v>1</v>
      </c>
      <c r="C62" s="829">
        <v>6.1</v>
      </c>
      <c r="D62" s="832"/>
      <c r="E62" s="1639" t="s">
        <v>3414</v>
      </c>
      <c r="F62" s="435"/>
      <c r="G62" s="435"/>
      <c r="H62" s="435"/>
      <c r="I62" s="435"/>
      <c r="J62" s="834"/>
    </row>
    <row r="63" spans="1:10">
      <c r="A63" s="834"/>
      <c r="B63" s="435"/>
      <c r="C63" s="829">
        <v>7.4</v>
      </c>
      <c r="D63" s="832"/>
      <c r="E63" s="435"/>
      <c r="F63" s="435">
        <v>1</v>
      </c>
      <c r="G63" s="829">
        <v>4.8499999999999996</v>
      </c>
      <c r="H63" s="435"/>
      <c r="I63" s="435"/>
      <c r="J63" s="834"/>
    </row>
    <row r="64" spans="1:10">
      <c r="A64" s="834"/>
      <c r="B64" s="435"/>
      <c r="C64" s="829">
        <v>0.72</v>
      </c>
      <c r="D64" s="832">
        <f>B62*C62*C63*C64</f>
        <v>32.500799999999998</v>
      </c>
      <c r="E64" s="435"/>
      <c r="F64" s="435"/>
      <c r="G64" s="829">
        <v>6.05</v>
      </c>
      <c r="H64" s="435"/>
      <c r="I64" s="435"/>
      <c r="J64" s="834"/>
    </row>
    <row r="65" spans="1:10">
      <c r="A65" s="834"/>
      <c r="B65" s="435"/>
      <c r="C65" s="829"/>
      <c r="D65" s="832"/>
      <c r="E65" s="435"/>
      <c r="F65" s="435"/>
      <c r="G65" s="829">
        <v>0.8</v>
      </c>
      <c r="H65" s="832">
        <f>F63*G63*G64*G65</f>
        <v>23.474</v>
      </c>
      <c r="I65" s="435"/>
      <c r="J65" s="834"/>
    </row>
    <row r="66" spans="1:10">
      <c r="A66" s="834"/>
      <c r="B66" s="831">
        <v>1</v>
      </c>
      <c r="C66" s="829">
        <v>6.2</v>
      </c>
      <c r="D66" s="832"/>
      <c r="E66" s="1639" t="s">
        <v>3415</v>
      </c>
      <c r="F66" s="435"/>
      <c r="G66" s="435"/>
      <c r="H66" s="435"/>
      <c r="I66" s="435"/>
      <c r="J66" s="834"/>
    </row>
    <row r="67" spans="1:10" ht="18">
      <c r="A67" s="834"/>
      <c r="B67" s="831"/>
      <c r="C67" s="829">
        <v>7.4</v>
      </c>
      <c r="D67" s="832"/>
      <c r="E67" s="435"/>
      <c r="F67" s="435"/>
      <c r="G67" s="435"/>
      <c r="H67" s="838">
        <f>H65+H61+H57+H53+H49+H45+H41+H37++D56+DH5132+H29+H25+H21+H17+H13+H9+D20+D68+D52+D48+D44+D40+D36+D32+D28+D24+15.81+32.5+H33</f>
        <v>542.16672500000004</v>
      </c>
      <c r="I67" s="845" t="s">
        <v>3405</v>
      </c>
      <c r="J67" s="834"/>
    </row>
    <row r="68" spans="1:10">
      <c r="A68" s="834"/>
      <c r="B68" s="849"/>
      <c r="C68" s="850">
        <v>0.82</v>
      </c>
      <c r="D68" s="851">
        <f>B66*C66*C67*C68</f>
        <v>37.621600000000001</v>
      </c>
      <c r="E68" s="109"/>
      <c r="F68" s="860"/>
      <c r="G68" s="109"/>
      <c r="H68" s="109"/>
      <c r="I68" s="109"/>
      <c r="J68" s="834"/>
    </row>
    <row r="69" spans="1:10">
      <c r="A69" s="1162"/>
      <c r="B69" s="909" t="s">
        <v>1884</v>
      </c>
      <c r="C69" s="911" t="s">
        <v>526</v>
      </c>
      <c r="D69" s="910" t="s">
        <v>1885</v>
      </c>
      <c r="E69" s="911" t="s">
        <v>1886</v>
      </c>
      <c r="F69" s="909" t="s">
        <v>1884</v>
      </c>
      <c r="G69" s="911" t="s">
        <v>526</v>
      </c>
      <c r="H69" s="910" t="s">
        <v>1885</v>
      </c>
      <c r="I69" s="911" t="s">
        <v>1886</v>
      </c>
      <c r="J69" s="1162"/>
    </row>
    <row r="70" spans="1:10">
      <c r="A70" s="834"/>
      <c r="B70" s="831"/>
      <c r="C70" s="829"/>
      <c r="D70" s="832"/>
      <c r="E70" s="837" t="s">
        <v>2903</v>
      </c>
      <c r="F70" s="831"/>
      <c r="G70" s="829"/>
      <c r="H70" s="832"/>
      <c r="I70" s="837" t="s">
        <v>2916</v>
      </c>
    </row>
    <row r="71" spans="1:10">
      <c r="A71" s="834"/>
      <c r="B71" s="831"/>
      <c r="C71" s="829"/>
      <c r="D71" s="832"/>
      <c r="E71" s="837" t="s">
        <v>2904</v>
      </c>
      <c r="F71" s="831">
        <v>1</v>
      </c>
      <c r="G71" s="829">
        <v>37.75</v>
      </c>
      <c r="H71" s="832"/>
      <c r="I71" s="913" t="s">
        <v>2917</v>
      </c>
    </row>
    <row r="72" spans="1:10">
      <c r="A72" s="834"/>
      <c r="B72" s="831">
        <v>5</v>
      </c>
      <c r="C72" s="829">
        <v>39.049999999999997</v>
      </c>
      <c r="D72" s="832"/>
      <c r="E72" s="913" t="s">
        <v>1916</v>
      </c>
      <c r="F72" s="831"/>
      <c r="G72" s="829">
        <v>17.600000000000001</v>
      </c>
      <c r="H72" s="832"/>
      <c r="I72" s="913" t="s">
        <v>2918</v>
      </c>
    </row>
    <row r="73" spans="1:10">
      <c r="A73" s="834"/>
      <c r="B73" s="831"/>
      <c r="C73" s="829">
        <v>0.9</v>
      </c>
      <c r="D73" s="832"/>
      <c r="E73" s="913" t="s">
        <v>2905</v>
      </c>
      <c r="F73" s="831"/>
      <c r="G73" s="829">
        <v>0</v>
      </c>
      <c r="H73" s="832">
        <f>F71*G71*G72*G73</f>
        <v>0</v>
      </c>
      <c r="I73" s="913"/>
    </row>
    <row r="74" spans="1:10">
      <c r="A74" s="834"/>
      <c r="B74" s="831"/>
      <c r="C74" s="829">
        <v>0.8</v>
      </c>
      <c r="D74" s="832">
        <f>B72*C72*C73*C74</f>
        <v>140.58000000000001</v>
      </c>
      <c r="E74" s="837"/>
      <c r="F74" s="831"/>
      <c r="G74" s="829"/>
      <c r="H74" s="832"/>
      <c r="I74" s="913"/>
    </row>
    <row r="75" spans="1:10">
      <c r="A75" s="834"/>
      <c r="B75" s="831"/>
      <c r="C75" s="829"/>
      <c r="D75" s="832"/>
      <c r="E75" s="837"/>
      <c r="F75" s="831"/>
      <c r="G75" s="829"/>
      <c r="H75" s="832"/>
      <c r="I75" s="837" t="s">
        <v>1915</v>
      </c>
    </row>
    <row r="76" spans="1:10">
      <c r="A76" s="834"/>
      <c r="B76" s="831">
        <v>8</v>
      </c>
      <c r="C76" s="829">
        <v>15.3</v>
      </c>
      <c r="D76" s="832"/>
      <c r="E76" s="913" t="s">
        <v>1914</v>
      </c>
      <c r="F76" s="831">
        <v>3</v>
      </c>
      <c r="G76" s="829">
        <v>39.5</v>
      </c>
      <c r="H76" s="832"/>
      <c r="I76" s="913" t="s">
        <v>1916</v>
      </c>
    </row>
    <row r="77" spans="1:10">
      <c r="A77" s="834"/>
      <c r="B77" s="831"/>
      <c r="C77" s="829">
        <v>0.9</v>
      </c>
      <c r="D77" s="832"/>
      <c r="E77" s="913" t="s">
        <v>2906</v>
      </c>
      <c r="F77" s="831"/>
      <c r="G77" s="829">
        <v>0.4</v>
      </c>
      <c r="H77" s="832"/>
      <c r="I77" s="913" t="s">
        <v>2919</v>
      </c>
    </row>
    <row r="78" spans="1:10">
      <c r="A78" s="834"/>
      <c r="B78" s="831"/>
      <c r="C78" s="829">
        <v>0.75</v>
      </c>
      <c r="D78" s="832">
        <f>B76*C76*C77*C78</f>
        <v>82.62</v>
      </c>
      <c r="E78" s="913" t="s">
        <v>2195</v>
      </c>
      <c r="F78" s="831"/>
      <c r="G78" s="829">
        <v>0</v>
      </c>
      <c r="H78" s="832">
        <f>F76*G76*G77*G78</f>
        <v>0</v>
      </c>
      <c r="I78" s="913"/>
    </row>
    <row r="79" spans="1:10">
      <c r="A79" s="834"/>
      <c r="B79" s="435"/>
      <c r="C79" s="1193"/>
      <c r="D79" s="1193"/>
      <c r="E79" s="435"/>
      <c r="F79" s="831"/>
      <c r="G79" s="829"/>
      <c r="H79" s="832"/>
      <c r="I79" s="913"/>
    </row>
    <row r="80" spans="1:10" ht="18">
      <c r="A80" s="834"/>
      <c r="B80" s="839"/>
      <c r="C80" s="839"/>
      <c r="D80" s="838">
        <f>D74+D78</f>
        <v>223.20000000000002</v>
      </c>
      <c r="E80" s="845" t="s">
        <v>3164</v>
      </c>
      <c r="F80" s="831">
        <v>6</v>
      </c>
      <c r="G80" s="829">
        <v>16.8</v>
      </c>
      <c r="H80" s="832"/>
      <c r="I80" s="913" t="s">
        <v>1914</v>
      </c>
    </row>
    <row r="81" spans="1:10">
      <c r="A81" s="834"/>
      <c r="B81" s="831"/>
      <c r="C81" s="829"/>
      <c r="D81" s="832"/>
      <c r="E81" s="837"/>
      <c r="F81" s="831"/>
      <c r="G81" s="829">
        <v>0.4</v>
      </c>
      <c r="H81" s="832"/>
      <c r="I81" s="913" t="s">
        <v>2920</v>
      </c>
    </row>
    <row r="82" spans="1:10">
      <c r="A82" s="834"/>
      <c r="B82" s="831"/>
      <c r="C82" s="829"/>
      <c r="D82" s="832"/>
      <c r="E82" s="837" t="s">
        <v>1903</v>
      </c>
      <c r="F82" s="831"/>
      <c r="G82" s="829">
        <v>0</v>
      </c>
      <c r="H82" s="832">
        <f>F80*G80*G81*G82</f>
        <v>0</v>
      </c>
      <c r="I82" s="913"/>
    </row>
    <row r="83" spans="1:10" ht="18">
      <c r="A83" s="834"/>
      <c r="B83" s="831"/>
      <c r="C83" s="829"/>
      <c r="D83" s="832"/>
      <c r="E83" s="837" t="s">
        <v>2907</v>
      </c>
      <c r="F83" s="839"/>
      <c r="G83" s="839"/>
      <c r="H83" s="838">
        <f>D86+D90+D96+D101+H73-H78-H82</f>
        <v>114.35400000000001</v>
      </c>
      <c r="I83" s="845" t="s">
        <v>3160</v>
      </c>
    </row>
    <row r="84" spans="1:10">
      <c r="A84" s="834"/>
      <c r="B84" s="831">
        <v>5</v>
      </c>
      <c r="C84" s="829">
        <v>39.049999999999997</v>
      </c>
      <c r="D84" s="832"/>
      <c r="E84" s="913" t="s">
        <v>2908</v>
      </c>
      <c r="F84" s="831"/>
      <c r="G84" s="829"/>
      <c r="H84" s="832"/>
      <c r="I84" s="913"/>
    </row>
    <row r="85" spans="1:10">
      <c r="A85" s="834"/>
      <c r="B85" s="831"/>
      <c r="C85" s="829">
        <v>0.9</v>
      </c>
      <c r="D85" s="832"/>
      <c r="E85" s="913" t="s">
        <v>2909</v>
      </c>
      <c r="F85" s="831"/>
      <c r="G85" s="829"/>
      <c r="H85" s="832"/>
      <c r="I85" s="837" t="s">
        <v>2922</v>
      </c>
    </row>
    <row r="86" spans="1:10">
      <c r="A86" s="834"/>
      <c r="B86" s="831"/>
      <c r="C86" s="829">
        <v>0.4</v>
      </c>
      <c r="D86" s="832">
        <f>B84*C84*C85*C86</f>
        <v>70.290000000000006</v>
      </c>
      <c r="E86" s="837"/>
      <c r="F86" s="831">
        <v>1</v>
      </c>
      <c r="G86" s="829">
        <v>40.549999999999997</v>
      </c>
      <c r="H86" s="832"/>
      <c r="I86" s="913"/>
      <c r="J86" s="834"/>
    </row>
    <row r="87" spans="1:10">
      <c r="A87" s="834"/>
      <c r="B87" s="831"/>
      <c r="C87" s="829"/>
      <c r="D87" s="832"/>
      <c r="E87" s="837"/>
      <c r="F87" s="831"/>
      <c r="G87" s="829">
        <v>20.399999999999999</v>
      </c>
      <c r="H87" s="832"/>
      <c r="I87" s="913"/>
      <c r="J87" s="834"/>
    </row>
    <row r="88" spans="1:10">
      <c r="A88" s="834"/>
      <c r="B88" s="831">
        <v>8</v>
      </c>
      <c r="C88" s="829">
        <v>15.3</v>
      </c>
      <c r="D88" s="832"/>
      <c r="E88" s="837" t="s">
        <v>1913</v>
      </c>
      <c r="F88" s="831"/>
      <c r="G88" s="829">
        <v>0.3</v>
      </c>
      <c r="H88" s="832">
        <f>F86*G86*G87*G88</f>
        <v>248.16599999999997</v>
      </c>
      <c r="I88" s="913" t="s">
        <v>1936</v>
      </c>
      <c r="J88" s="834"/>
    </row>
    <row r="89" spans="1:10">
      <c r="A89" s="834"/>
      <c r="B89" s="831"/>
      <c r="C89" s="829">
        <v>0.9</v>
      </c>
      <c r="D89" s="832"/>
      <c r="E89" s="913" t="s">
        <v>2923</v>
      </c>
      <c r="F89" s="831"/>
      <c r="G89" s="829"/>
      <c r="H89" s="832"/>
      <c r="I89" s="913"/>
      <c r="J89" s="834"/>
    </row>
    <row r="90" spans="1:10">
      <c r="A90" s="834"/>
      <c r="B90" s="831"/>
      <c r="C90" s="829">
        <v>0.4</v>
      </c>
      <c r="D90" s="832">
        <f>B88*C88*C89*C90</f>
        <v>44.064000000000007</v>
      </c>
      <c r="E90" s="913">
        <f>18.9-(4*0.9)</f>
        <v>15.299999999999999</v>
      </c>
      <c r="F90" s="831"/>
      <c r="G90" s="829"/>
      <c r="H90" s="832">
        <f>H67</f>
        <v>542.16672500000004</v>
      </c>
      <c r="I90" s="913" t="s">
        <v>1937</v>
      </c>
      <c r="J90" s="834"/>
    </row>
    <row r="91" spans="1:10">
      <c r="A91" s="834"/>
      <c r="B91" s="435"/>
      <c r="C91" s="1193"/>
      <c r="D91" s="1193"/>
      <c r="E91" s="435"/>
      <c r="F91" s="831"/>
      <c r="G91" s="829"/>
      <c r="H91" s="832"/>
      <c r="I91" s="913"/>
      <c r="J91" s="834"/>
    </row>
    <row r="92" spans="1:10">
      <c r="A92" s="834"/>
      <c r="B92" s="831"/>
      <c r="C92" s="829"/>
      <c r="D92" s="832"/>
      <c r="E92" s="837" t="s">
        <v>2910</v>
      </c>
      <c r="F92" s="831"/>
      <c r="G92" s="829"/>
      <c r="H92" s="832">
        <f>D80</f>
        <v>223.20000000000002</v>
      </c>
      <c r="I92" s="913" t="s">
        <v>1938</v>
      </c>
      <c r="J92" s="834"/>
    </row>
    <row r="93" spans="1:10">
      <c r="A93" s="834"/>
      <c r="B93" s="831"/>
      <c r="C93" s="829"/>
      <c r="D93" s="832"/>
      <c r="E93" s="837" t="s">
        <v>2911</v>
      </c>
      <c r="F93" s="831"/>
      <c r="G93" s="829"/>
      <c r="H93" s="832"/>
      <c r="I93" s="913"/>
      <c r="J93" s="834"/>
    </row>
    <row r="94" spans="1:10" ht="18">
      <c r="A94" s="834"/>
      <c r="B94" s="831">
        <v>8</v>
      </c>
      <c r="C94" s="829">
        <v>36.549999999999997</v>
      </c>
      <c r="D94" s="832"/>
      <c r="E94" s="913" t="s">
        <v>2912</v>
      </c>
      <c r="F94" s="839"/>
      <c r="G94" s="839"/>
      <c r="H94" s="838">
        <f>H88+H90+H92</f>
        <v>1013.532725</v>
      </c>
      <c r="I94" s="845" t="s">
        <v>3161</v>
      </c>
      <c r="J94" s="834"/>
    </row>
    <row r="95" spans="1:10">
      <c r="A95" s="834"/>
      <c r="B95" s="831"/>
      <c r="C95" s="829">
        <v>0.25</v>
      </c>
      <c r="D95" s="832"/>
      <c r="E95" s="913" t="s">
        <v>2913</v>
      </c>
      <c r="F95" s="831"/>
      <c r="G95" s="829"/>
      <c r="H95" s="832"/>
      <c r="I95" s="837"/>
      <c r="J95" s="834"/>
    </row>
    <row r="96" spans="1:10">
      <c r="A96" s="834"/>
      <c r="B96" s="831"/>
      <c r="C96" s="829">
        <v>0</v>
      </c>
      <c r="D96" s="832">
        <f>B94*C94*C95*C96</f>
        <v>0</v>
      </c>
      <c r="E96" s="913"/>
      <c r="F96" s="831">
        <v>1</v>
      </c>
      <c r="G96" s="829">
        <v>38.049999999999997</v>
      </c>
      <c r="H96" s="832"/>
      <c r="I96" s="837" t="s">
        <v>2553</v>
      </c>
      <c r="J96" s="834"/>
    </row>
    <row r="97" spans="1:10">
      <c r="A97" s="834"/>
      <c r="B97" s="831"/>
      <c r="C97" s="829"/>
      <c r="D97" s="832"/>
      <c r="E97" s="913"/>
      <c r="F97" s="831"/>
      <c r="G97" s="829">
        <v>17.899999999999999</v>
      </c>
      <c r="H97" s="832">
        <f>G97*G96*F96</f>
        <v>681.09499999999991</v>
      </c>
      <c r="I97" s="837"/>
      <c r="J97" s="834"/>
    </row>
    <row r="98" spans="1:10">
      <c r="A98" s="834"/>
      <c r="B98" s="831"/>
      <c r="C98" s="829"/>
      <c r="D98" s="832"/>
      <c r="E98" s="913" t="s">
        <v>1914</v>
      </c>
      <c r="F98" s="831"/>
      <c r="G98" s="829"/>
      <c r="H98" s="832"/>
      <c r="I98" s="837"/>
      <c r="J98" s="834"/>
    </row>
    <row r="99" spans="1:10">
      <c r="A99" s="834"/>
      <c r="B99" s="831">
        <v>14</v>
      </c>
      <c r="C99" s="829">
        <v>15.3</v>
      </c>
      <c r="D99" s="832"/>
      <c r="E99" s="913" t="s">
        <v>2914</v>
      </c>
      <c r="F99" s="831"/>
      <c r="G99" s="829"/>
      <c r="H99" s="832"/>
      <c r="I99" s="837" t="s">
        <v>2470</v>
      </c>
      <c r="J99" s="834"/>
    </row>
    <row r="100" spans="1:10">
      <c r="A100" s="834"/>
      <c r="B100" s="831"/>
      <c r="C100" s="829">
        <v>0.25</v>
      </c>
      <c r="D100" s="832"/>
      <c r="E100" s="913">
        <f>15.3</f>
        <v>15.3</v>
      </c>
      <c r="F100" s="831">
        <v>3</v>
      </c>
      <c r="G100" s="829">
        <v>38.049999999999997</v>
      </c>
      <c r="H100" s="832"/>
      <c r="I100" s="913" t="s">
        <v>2551</v>
      </c>
      <c r="J100" s="834"/>
    </row>
    <row r="101" spans="1:10">
      <c r="A101" s="834"/>
      <c r="B101" s="849"/>
      <c r="C101" s="850">
        <v>0</v>
      </c>
      <c r="D101" s="851">
        <f>B99*C99*C100*C101</f>
        <v>0</v>
      </c>
      <c r="E101" s="1278" t="s">
        <v>2915</v>
      </c>
      <c r="F101" s="831"/>
      <c r="G101" s="829">
        <v>0.25</v>
      </c>
      <c r="H101" s="832">
        <f>G101*G100*F100</f>
        <v>28.537499999999998</v>
      </c>
      <c r="I101" s="913"/>
      <c r="J101" s="834"/>
    </row>
    <row r="102" spans="1:10">
      <c r="A102" s="834"/>
      <c r="B102" s="831"/>
      <c r="C102" s="829"/>
      <c r="D102" s="832"/>
      <c r="E102" s="837"/>
      <c r="F102" s="831"/>
      <c r="G102" s="829"/>
      <c r="H102" s="832"/>
      <c r="I102" s="913"/>
      <c r="J102" s="834"/>
    </row>
    <row r="103" spans="1:10">
      <c r="A103" s="834"/>
      <c r="B103" s="831"/>
      <c r="C103" s="829"/>
      <c r="D103" s="832"/>
      <c r="E103" s="913"/>
      <c r="F103" s="831">
        <v>6</v>
      </c>
      <c r="G103" s="829">
        <v>17.149999999999999</v>
      </c>
      <c r="H103" s="832"/>
      <c r="I103" s="913" t="s">
        <v>2552</v>
      </c>
      <c r="J103" s="834"/>
    </row>
    <row r="104" spans="1:10">
      <c r="A104" s="834"/>
      <c r="B104" s="831"/>
      <c r="C104" s="829"/>
      <c r="D104" s="832"/>
      <c r="E104" s="913"/>
      <c r="F104" s="831"/>
      <c r="G104" s="829">
        <v>0.25</v>
      </c>
      <c r="H104" s="832">
        <f>G104*G103*F103</f>
        <v>25.724999999999998</v>
      </c>
      <c r="I104" s="837"/>
      <c r="J104" s="834"/>
    </row>
    <row r="105" spans="1:10">
      <c r="A105" s="834"/>
      <c r="B105" s="831"/>
      <c r="C105" s="829"/>
      <c r="D105" s="832"/>
      <c r="E105" s="913"/>
      <c r="F105" s="831"/>
      <c r="G105" s="829"/>
      <c r="H105" s="832"/>
      <c r="I105" s="837"/>
      <c r="J105" s="834"/>
    </row>
    <row r="106" spans="1:10" ht="18">
      <c r="A106" s="834"/>
      <c r="B106" s="435"/>
      <c r="C106" s="1627"/>
      <c r="D106" s="1627"/>
      <c r="E106" s="435"/>
      <c r="F106" s="839"/>
      <c r="G106" s="839"/>
      <c r="H106" s="838">
        <f>H97-H101-H104</f>
        <v>626.83249999999987</v>
      </c>
      <c r="I106" s="845" t="s">
        <v>3163</v>
      </c>
      <c r="J106" s="834"/>
    </row>
    <row r="107" spans="1:10">
      <c r="A107" s="834"/>
      <c r="B107" s="839"/>
      <c r="C107" s="839"/>
      <c r="D107" s="838"/>
      <c r="E107" s="845"/>
      <c r="F107" s="1193"/>
      <c r="G107" s="848"/>
      <c r="H107" s="843"/>
      <c r="I107" s="435"/>
      <c r="J107" s="834"/>
    </row>
    <row r="108" spans="1:10">
      <c r="A108" s="834"/>
      <c r="B108" s="831"/>
      <c r="C108" s="829"/>
      <c r="D108" s="832"/>
      <c r="E108" s="837"/>
      <c r="F108" s="831"/>
      <c r="G108" s="829"/>
      <c r="H108" s="832"/>
      <c r="I108" s="837" t="s">
        <v>2554</v>
      </c>
      <c r="J108" s="834"/>
    </row>
    <row r="109" spans="1:10">
      <c r="A109" s="834"/>
      <c r="B109" s="831"/>
      <c r="C109" s="829"/>
      <c r="D109" s="832"/>
      <c r="E109" s="837"/>
      <c r="F109" s="831">
        <v>5</v>
      </c>
      <c r="G109" s="829">
        <v>38.549999999999997</v>
      </c>
      <c r="H109" s="832"/>
      <c r="I109" s="837" t="s">
        <v>2555</v>
      </c>
      <c r="J109" s="834"/>
    </row>
    <row r="110" spans="1:10">
      <c r="A110" s="834"/>
      <c r="B110" s="831"/>
      <c r="C110" s="829"/>
      <c r="D110" s="832"/>
      <c r="E110" s="837"/>
      <c r="F110" s="831"/>
      <c r="G110" s="829">
        <v>0.4</v>
      </c>
      <c r="H110" s="832">
        <f>G110*G109*F109</f>
        <v>77.099999999999994</v>
      </c>
      <c r="I110" s="837"/>
      <c r="J110" s="834"/>
    </row>
    <row r="111" spans="1:10">
      <c r="A111" s="834"/>
      <c r="B111" s="831"/>
      <c r="C111" s="829"/>
      <c r="D111" s="832"/>
      <c r="E111" s="913"/>
      <c r="F111" s="831"/>
      <c r="G111" s="829"/>
      <c r="H111" s="832"/>
      <c r="I111" s="837"/>
      <c r="J111" s="834"/>
    </row>
    <row r="112" spans="1:10">
      <c r="A112" s="834"/>
      <c r="B112" s="831"/>
      <c r="C112" s="829"/>
      <c r="D112" s="832"/>
      <c r="E112" s="913"/>
      <c r="F112" s="831">
        <v>8</v>
      </c>
      <c r="G112" s="829">
        <v>16.399999999999999</v>
      </c>
      <c r="H112" s="832"/>
      <c r="I112" s="837"/>
      <c r="J112" s="834"/>
    </row>
    <row r="113" spans="1:10">
      <c r="A113" s="834"/>
      <c r="B113" s="831"/>
      <c r="C113" s="829"/>
      <c r="D113" s="832"/>
      <c r="E113" s="837"/>
      <c r="F113" s="831"/>
      <c r="G113" s="829">
        <v>0.4</v>
      </c>
      <c r="H113" s="832">
        <f>G113*G112*F112</f>
        <v>52.48</v>
      </c>
      <c r="I113" s="837"/>
      <c r="J113" s="834"/>
    </row>
    <row r="114" spans="1:10">
      <c r="A114" s="834"/>
      <c r="B114" s="831"/>
      <c r="C114" s="829"/>
      <c r="D114" s="832"/>
      <c r="E114" s="837"/>
      <c r="F114" s="831"/>
      <c r="G114" s="829"/>
      <c r="H114" s="832"/>
      <c r="I114" s="837"/>
      <c r="J114" s="834"/>
    </row>
    <row r="115" spans="1:10" ht="18">
      <c r="A115" s="834"/>
      <c r="B115" s="831"/>
      <c r="C115" s="829"/>
      <c r="D115" s="832"/>
      <c r="E115" s="837"/>
      <c r="F115" s="839"/>
      <c r="G115" s="839"/>
      <c r="H115" s="838">
        <f>SUM(H110:H114)</f>
        <v>129.57999999999998</v>
      </c>
      <c r="I115" s="845" t="s">
        <v>3165</v>
      </c>
      <c r="J115" s="834"/>
    </row>
    <row r="116" spans="1:10">
      <c r="A116" s="834"/>
      <c r="B116" s="831"/>
      <c r="C116" s="829"/>
      <c r="D116" s="832"/>
      <c r="E116" s="913"/>
      <c r="F116" s="1193"/>
      <c r="G116" s="848"/>
      <c r="H116" s="843"/>
      <c r="I116" s="435"/>
      <c r="J116" s="834"/>
    </row>
    <row r="117" spans="1:10">
      <c r="A117" s="834"/>
      <c r="B117" s="831"/>
      <c r="C117" s="829"/>
      <c r="D117" s="832"/>
      <c r="E117" s="913"/>
      <c r="F117" s="831">
        <v>1</v>
      </c>
      <c r="G117" s="829">
        <v>38.049999999999997</v>
      </c>
      <c r="H117" s="832"/>
      <c r="I117" s="837" t="s">
        <v>2556</v>
      </c>
      <c r="J117" s="834"/>
    </row>
    <row r="118" spans="1:10">
      <c r="A118" s="834"/>
      <c r="B118" s="435"/>
      <c r="C118" s="1627"/>
      <c r="D118" s="1627"/>
      <c r="E118" s="435"/>
      <c r="F118" s="831"/>
      <c r="G118" s="829">
        <v>18.55</v>
      </c>
      <c r="H118" s="832">
        <f>G118*G117*F117</f>
        <v>705.82749999999999</v>
      </c>
      <c r="I118" s="837"/>
      <c r="J118" s="834"/>
    </row>
    <row r="119" spans="1:10">
      <c r="A119" s="834"/>
      <c r="B119" s="831"/>
      <c r="C119" s="829"/>
      <c r="D119" s="832"/>
      <c r="E119" s="837"/>
      <c r="F119" s="1193"/>
      <c r="G119" s="848"/>
      <c r="H119" s="843"/>
      <c r="I119" s="435"/>
      <c r="J119" s="834"/>
    </row>
    <row r="120" spans="1:10">
      <c r="A120" s="834"/>
      <c r="B120" s="831"/>
      <c r="C120" s="829"/>
      <c r="D120" s="832"/>
      <c r="E120" s="837"/>
      <c r="F120" s="831"/>
      <c r="G120" s="829"/>
      <c r="H120" s="832"/>
      <c r="I120" s="837" t="s">
        <v>2470</v>
      </c>
      <c r="J120" s="834"/>
    </row>
    <row r="121" spans="1:10">
      <c r="A121" s="834"/>
      <c r="B121" s="831"/>
      <c r="C121" s="829"/>
      <c r="D121" s="832"/>
      <c r="E121" s="913"/>
      <c r="F121" s="831">
        <v>3</v>
      </c>
      <c r="G121" s="829">
        <v>38.049999999999997</v>
      </c>
      <c r="H121" s="832"/>
      <c r="I121" s="913" t="s">
        <v>2551</v>
      </c>
      <c r="J121" s="834"/>
    </row>
    <row r="122" spans="1:10">
      <c r="A122" s="834"/>
      <c r="B122" s="831"/>
      <c r="C122" s="829"/>
      <c r="D122" s="832"/>
      <c r="E122" s="913"/>
      <c r="F122" s="831"/>
      <c r="G122" s="829">
        <v>0.25</v>
      </c>
      <c r="H122" s="832">
        <f>G122*G121*F121</f>
        <v>28.537499999999998</v>
      </c>
      <c r="I122" s="435"/>
      <c r="J122" s="834"/>
    </row>
    <row r="123" spans="1:10">
      <c r="A123" s="834"/>
      <c r="B123" s="831"/>
      <c r="C123" s="829"/>
      <c r="D123" s="832"/>
      <c r="E123" s="913"/>
      <c r="F123" s="435"/>
      <c r="G123" s="435"/>
      <c r="H123" s="435"/>
      <c r="I123" s="435"/>
      <c r="J123" s="834"/>
    </row>
    <row r="124" spans="1:10">
      <c r="A124" s="834"/>
      <c r="B124" s="831"/>
      <c r="C124" s="829"/>
      <c r="D124" s="832"/>
      <c r="E124" s="913"/>
      <c r="F124" s="831">
        <v>6</v>
      </c>
      <c r="G124" s="829">
        <v>7.8</v>
      </c>
      <c r="H124" s="832"/>
      <c r="I124" s="913" t="s">
        <v>2552</v>
      </c>
      <c r="J124" s="834"/>
    </row>
    <row r="125" spans="1:10">
      <c r="A125" s="834"/>
      <c r="B125" s="831"/>
      <c r="C125" s="829"/>
      <c r="D125" s="832"/>
      <c r="E125" s="913"/>
      <c r="F125" s="831"/>
      <c r="G125" s="829">
        <v>0.25</v>
      </c>
      <c r="H125" s="832">
        <f>G125*G124*F124</f>
        <v>11.7</v>
      </c>
      <c r="I125" s="837"/>
      <c r="J125" s="834"/>
    </row>
    <row r="126" spans="1:10">
      <c r="A126" s="834"/>
      <c r="B126" s="831"/>
      <c r="C126" s="829"/>
      <c r="D126" s="832"/>
      <c r="E126" s="913"/>
      <c r="F126" s="831"/>
      <c r="G126" s="829"/>
      <c r="H126" s="832"/>
      <c r="I126" s="837"/>
      <c r="J126" s="834"/>
    </row>
    <row r="127" spans="1:10" ht="18">
      <c r="A127" s="834"/>
      <c r="B127" s="831"/>
      <c r="C127" s="829"/>
      <c r="D127" s="832"/>
      <c r="E127" s="913"/>
      <c r="F127" s="839"/>
      <c r="G127" s="839"/>
      <c r="H127" s="838">
        <f>'IPD Sub TOS'!H118-'IPD Sub TOS'!H122-H125</f>
        <v>665.58999999999992</v>
      </c>
      <c r="I127" s="845" t="s">
        <v>3166</v>
      </c>
      <c r="J127" s="834"/>
    </row>
    <row r="128" spans="1:10">
      <c r="A128" s="834"/>
      <c r="B128" s="849"/>
      <c r="C128" s="850"/>
      <c r="D128" s="851"/>
      <c r="E128" s="1278"/>
      <c r="F128" s="849"/>
      <c r="G128" s="850"/>
      <c r="H128" s="851"/>
      <c r="I128" s="1163"/>
      <c r="J128" s="834"/>
    </row>
    <row r="129" spans="1:10">
      <c r="A129" s="1162"/>
      <c r="B129" s="909" t="s">
        <v>1884</v>
      </c>
      <c r="C129" s="911" t="s">
        <v>526</v>
      </c>
      <c r="D129" s="910" t="s">
        <v>1885</v>
      </c>
      <c r="E129" s="911" t="s">
        <v>1886</v>
      </c>
      <c r="F129" s="909" t="s">
        <v>1884</v>
      </c>
      <c r="G129" s="911" t="s">
        <v>526</v>
      </c>
      <c r="H129" s="910" t="s">
        <v>1885</v>
      </c>
      <c r="I129" s="911" t="s">
        <v>1886</v>
      </c>
      <c r="J129" s="1162"/>
    </row>
    <row r="130" spans="1:10">
      <c r="A130" s="834"/>
      <c r="B130" s="831"/>
      <c r="C130" s="829"/>
      <c r="D130" s="832"/>
      <c r="E130" s="837" t="s">
        <v>1896</v>
      </c>
      <c r="F130" s="831"/>
      <c r="G130" s="829"/>
      <c r="H130" s="832"/>
      <c r="I130" s="837" t="s">
        <v>1953</v>
      </c>
    </row>
    <row r="131" spans="1:10">
      <c r="A131" s="834"/>
      <c r="B131" s="831">
        <v>5</v>
      </c>
      <c r="C131" s="829">
        <v>38.5</v>
      </c>
      <c r="D131" s="832"/>
      <c r="E131" s="837"/>
      <c r="F131" s="831">
        <v>1</v>
      </c>
      <c r="G131" s="829">
        <v>27.25</v>
      </c>
      <c r="H131" s="832"/>
      <c r="I131" s="913" t="s">
        <v>2563</v>
      </c>
    </row>
    <row r="132" spans="1:10">
      <c r="A132" s="834"/>
      <c r="B132" s="831"/>
      <c r="C132" s="829">
        <v>0.25</v>
      </c>
      <c r="D132" s="832"/>
      <c r="E132" s="837"/>
      <c r="F132" s="831"/>
      <c r="G132" s="829">
        <v>0.4</v>
      </c>
      <c r="H132" s="832"/>
      <c r="I132" s="913" t="s">
        <v>2564</v>
      </c>
    </row>
    <row r="133" spans="1:10">
      <c r="A133" s="834"/>
      <c r="B133" s="831"/>
      <c r="C133" s="829">
        <v>0.4</v>
      </c>
      <c r="D133" s="832">
        <f>C133*C132*C131*B131</f>
        <v>19.25</v>
      </c>
      <c r="E133" s="837"/>
      <c r="F133" s="831"/>
      <c r="G133" s="829">
        <v>0.3</v>
      </c>
      <c r="H133" s="832">
        <f>F131*G131*G132*G133</f>
        <v>3.27</v>
      </c>
      <c r="I133" s="913" t="s">
        <v>2565</v>
      </c>
    </row>
    <row r="134" spans="1:10">
      <c r="A134" s="834"/>
      <c r="B134" s="831"/>
      <c r="C134" s="829"/>
      <c r="D134" s="832"/>
      <c r="E134" s="837"/>
      <c r="F134" s="831"/>
      <c r="G134" s="829"/>
      <c r="H134" s="832"/>
      <c r="I134" s="913"/>
    </row>
    <row r="135" spans="1:10">
      <c r="A135" s="834"/>
      <c r="B135" s="831">
        <v>8</v>
      </c>
      <c r="C135" s="829">
        <v>18.55</v>
      </c>
      <c r="D135" s="832"/>
      <c r="E135" s="837"/>
      <c r="F135" s="831">
        <v>1</v>
      </c>
      <c r="G135" s="829">
        <v>5.65</v>
      </c>
      <c r="H135" s="832"/>
      <c r="I135" s="913" t="s">
        <v>2566</v>
      </c>
    </row>
    <row r="136" spans="1:10">
      <c r="A136" s="834"/>
      <c r="B136" s="831"/>
      <c r="C136" s="829">
        <v>0.25</v>
      </c>
      <c r="D136" s="832"/>
      <c r="E136" s="837"/>
      <c r="F136" s="831"/>
      <c r="G136" s="829">
        <v>0.4</v>
      </c>
      <c r="H136" s="832"/>
      <c r="I136" s="913" t="s">
        <v>2567</v>
      </c>
    </row>
    <row r="137" spans="1:10">
      <c r="A137" s="834"/>
      <c r="B137" s="831"/>
      <c r="C137" s="829">
        <v>0.4</v>
      </c>
      <c r="D137" s="832">
        <f>C137*C136*C135*B135</f>
        <v>14.840000000000002</v>
      </c>
      <c r="E137" s="837"/>
      <c r="F137" s="831"/>
      <c r="G137" s="829">
        <v>0.32</v>
      </c>
      <c r="H137" s="832">
        <f>F135*G135*G136*G137</f>
        <v>0.72320000000000007</v>
      </c>
      <c r="I137" s="837"/>
    </row>
    <row r="138" spans="1:10" ht="18">
      <c r="A138" s="834"/>
      <c r="B138" s="831"/>
      <c r="C138" s="829"/>
      <c r="D138" s="832"/>
      <c r="E138" s="837"/>
      <c r="F138" s="839"/>
      <c r="G138" s="839"/>
      <c r="H138" s="838">
        <f>H133+H137</f>
        <v>3.9931999999999999</v>
      </c>
      <c r="I138" s="845" t="s">
        <v>3167</v>
      </c>
    </row>
    <row r="139" spans="1:10" ht="18">
      <c r="A139" s="834"/>
      <c r="B139" s="839"/>
      <c r="C139" s="839"/>
      <c r="D139" s="838">
        <f>D137+D133</f>
        <v>34.090000000000003</v>
      </c>
      <c r="E139" s="845" t="s">
        <v>3168</v>
      </c>
      <c r="F139" s="435"/>
      <c r="G139" s="435"/>
      <c r="H139" s="435"/>
      <c r="I139" s="435"/>
    </row>
    <row r="140" spans="1:10">
      <c r="A140" s="834"/>
      <c r="B140" s="435"/>
      <c r="C140" s="435"/>
      <c r="D140" s="435"/>
      <c r="E140" s="435"/>
      <c r="F140" s="1193"/>
      <c r="G140" s="848"/>
      <c r="H140" s="843"/>
      <c r="I140" s="435"/>
    </row>
    <row r="141" spans="1:10">
      <c r="A141" s="834"/>
      <c r="B141" s="831"/>
      <c r="C141" s="829"/>
      <c r="D141" s="832"/>
      <c r="E141" s="837" t="s">
        <v>1897</v>
      </c>
      <c r="F141" s="435"/>
      <c r="G141" s="435"/>
      <c r="H141" s="435"/>
      <c r="I141" s="435"/>
    </row>
    <row r="142" spans="1:10">
      <c r="A142" s="834"/>
      <c r="B142" s="831"/>
      <c r="C142" s="829"/>
      <c r="D142" s="832"/>
      <c r="E142" s="837" t="s">
        <v>1898</v>
      </c>
      <c r="F142" s="435"/>
      <c r="G142" s="435"/>
      <c r="H142" s="435"/>
      <c r="I142" s="435"/>
    </row>
    <row r="143" spans="1:10">
      <c r="A143" s="834"/>
      <c r="B143" s="831">
        <v>2</v>
      </c>
      <c r="C143" s="829">
        <v>38.58</v>
      </c>
      <c r="D143" s="832"/>
      <c r="E143" s="837"/>
      <c r="F143" s="435"/>
      <c r="G143" s="435"/>
      <c r="H143" s="435"/>
      <c r="I143" s="435"/>
    </row>
    <row r="144" spans="1:10">
      <c r="A144" s="834"/>
      <c r="B144" s="831"/>
      <c r="C144" s="829">
        <v>0.4</v>
      </c>
      <c r="D144" s="832">
        <f>C144*C143*B143</f>
        <v>30.864000000000001</v>
      </c>
      <c r="E144" s="837"/>
      <c r="F144" s="435"/>
      <c r="G144" s="435"/>
      <c r="H144" s="435"/>
      <c r="I144" s="435"/>
    </row>
    <row r="145" spans="1:10">
      <c r="A145" s="834"/>
      <c r="B145" s="831"/>
      <c r="C145" s="829"/>
      <c r="D145" s="832"/>
      <c r="E145" s="837"/>
      <c r="F145" s="435"/>
      <c r="G145" s="435"/>
      <c r="H145" s="435"/>
      <c r="I145" s="435"/>
    </row>
    <row r="146" spans="1:10">
      <c r="A146" s="834"/>
      <c r="B146" s="831">
        <v>8</v>
      </c>
      <c r="C146" s="829">
        <v>36.5</v>
      </c>
      <c r="D146" s="832"/>
      <c r="E146" s="837"/>
      <c r="F146" s="435"/>
      <c r="G146" s="435"/>
      <c r="H146" s="435"/>
      <c r="I146" s="435"/>
      <c r="J146" s="834"/>
    </row>
    <row r="147" spans="1:10">
      <c r="A147" s="834"/>
      <c r="B147" s="831"/>
      <c r="C147" s="829">
        <v>0.4</v>
      </c>
      <c r="D147" s="832">
        <f>C147*C146*B146</f>
        <v>116.80000000000001</v>
      </c>
      <c r="E147" s="837"/>
      <c r="F147" s="435"/>
      <c r="G147" s="435"/>
      <c r="H147" s="435"/>
      <c r="I147" s="435"/>
      <c r="J147" s="834"/>
    </row>
    <row r="148" spans="1:10">
      <c r="A148" s="834"/>
      <c r="B148" s="831"/>
      <c r="C148" s="829"/>
      <c r="D148" s="832"/>
      <c r="E148" s="837"/>
      <c r="F148" s="435"/>
      <c r="G148" s="435"/>
      <c r="H148" s="435"/>
      <c r="I148" s="435"/>
      <c r="J148" s="834"/>
    </row>
    <row r="149" spans="1:10">
      <c r="A149" s="834"/>
      <c r="B149" s="831">
        <v>2</v>
      </c>
      <c r="C149" s="829">
        <v>18.55</v>
      </c>
      <c r="D149" s="832"/>
      <c r="E149" s="837"/>
      <c r="F149" s="435"/>
      <c r="G149" s="435"/>
      <c r="H149" s="435"/>
      <c r="I149" s="435"/>
      <c r="J149" s="834"/>
    </row>
    <row r="150" spans="1:10">
      <c r="A150" s="834"/>
      <c r="B150" s="831"/>
      <c r="C150" s="829">
        <v>0.4</v>
      </c>
      <c r="D150" s="832">
        <f>C150*C149*B149</f>
        <v>14.840000000000002</v>
      </c>
      <c r="E150" s="837"/>
      <c r="F150" s="831"/>
      <c r="G150" s="829"/>
      <c r="H150" s="832"/>
      <c r="I150" s="837"/>
      <c r="J150" s="834"/>
    </row>
    <row r="151" spans="1:10" ht="19.5" customHeight="1">
      <c r="A151" s="834"/>
      <c r="B151" s="831"/>
      <c r="C151" s="829"/>
      <c r="D151" s="832"/>
      <c r="E151" s="837"/>
      <c r="F151" s="831"/>
      <c r="G151" s="829"/>
      <c r="H151" s="832"/>
      <c r="I151" s="913"/>
      <c r="J151" s="834"/>
    </row>
    <row r="152" spans="1:10">
      <c r="A152" s="834"/>
      <c r="B152" s="831">
        <v>14</v>
      </c>
      <c r="C152" s="829">
        <v>17.3</v>
      </c>
      <c r="D152" s="832"/>
      <c r="E152" s="837"/>
      <c r="F152" s="831"/>
      <c r="G152" s="829"/>
      <c r="H152" s="832"/>
      <c r="I152" s="913"/>
      <c r="J152" s="834"/>
    </row>
    <row r="153" spans="1:10">
      <c r="A153" s="834"/>
      <c r="B153" s="831"/>
      <c r="C153" s="829">
        <v>0.4</v>
      </c>
      <c r="D153" s="832">
        <f>C153*C152*B152</f>
        <v>96.88000000000001</v>
      </c>
      <c r="E153" s="837"/>
      <c r="F153" s="831"/>
      <c r="G153" s="829"/>
      <c r="H153" s="832"/>
      <c r="I153" s="913"/>
      <c r="J153" s="834"/>
    </row>
    <row r="154" spans="1:10">
      <c r="A154" s="834"/>
      <c r="B154" s="831"/>
      <c r="C154" s="829"/>
      <c r="D154" s="832"/>
      <c r="E154" s="837"/>
      <c r="F154" s="1193"/>
      <c r="G154" s="848"/>
      <c r="H154" s="843"/>
      <c r="I154" s="435"/>
      <c r="J154" s="834"/>
    </row>
    <row r="155" spans="1:10" ht="18">
      <c r="A155" s="834"/>
      <c r="B155" s="839"/>
      <c r="C155" s="839"/>
      <c r="D155" s="838">
        <f>SUM(D144:D153)</f>
        <v>259.38400000000001</v>
      </c>
      <c r="E155" s="845" t="s">
        <v>3169</v>
      </c>
      <c r="F155" s="831"/>
      <c r="G155" s="829"/>
      <c r="H155" s="832"/>
      <c r="I155" s="837"/>
      <c r="J155" s="834"/>
    </row>
    <row r="156" spans="1:10">
      <c r="A156" s="834"/>
      <c r="B156" s="435"/>
      <c r="C156" s="435"/>
      <c r="D156" s="435"/>
      <c r="E156" s="435"/>
      <c r="F156" s="831"/>
      <c r="G156" s="829"/>
      <c r="H156" s="832"/>
      <c r="I156" s="913"/>
      <c r="J156" s="834"/>
    </row>
    <row r="157" spans="1:10">
      <c r="A157" s="834"/>
      <c r="B157" s="831"/>
      <c r="C157" s="829"/>
      <c r="D157" s="832"/>
      <c r="E157" s="837" t="s">
        <v>1899</v>
      </c>
      <c r="F157" s="831"/>
      <c r="G157" s="829"/>
      <c r="H157" s="832"/>
      <c r="I157" s="913"/>
      <c r="J157" s="834"/>
    </row>
    <row r="158" spans="1:10">
      <c r="A158" s="834"/>
      <c r="B158" s="831"/>
      <c r="C158" s="829"/>
      <c r="D158" s="832"/>
      <c r="E158" s="844" t="s">
        <v>3170</v>
      </c>
      <c r="F158" s="831"/>
      <c r="G158" s="829"/>
      <c r="H158" s="832"/>
      <c r="I158" s="913"/>
      <c r="J158" s="834"/>
    </row>
    <row r="159" spans="1:10">
      <c r="A159" s="834"/>
      <c r="B159" s="839"/>
      <c r="C159" s="839"/>
      <c r="D159" s="838">
        <f>'[23]IPD Bar'!N34</f>
        <v>2630.5884000000001</v>
      </c>
      <c r="E159" s="845" t="s">
        <v>2934</v>
      </c>
      <c r="F159" s="831"/>
      <c r="G159" s="829"/>
      <c r="H159" s="832"/>
      <c r="I159" s="913"/>
      <c r="J159" s="834"/>
    </row>
    <row r="160" spans="1:10">
      <c r="A160" s="834"/>
      <c r="B160" s="831"/>
      <c r="C160" s="829"/>
      <c r="D160" s="832"/>
      <c r="E160" s="833"/>
      <c r="F160" s="831"/>
      <c r="G160" s="829"/>
      <c r="H160" s="832"/>
      <c r="I160" s="913"/>
      <c r="J160" s="834"/>
    </row>
    <row r="161" spans="1:10">
      <c r="A161" s="834"/>
      <c r="B161" s="831"/>
      <c r="C161" s="829"/>
      <c r="D161" s="832"/>
      <c r="E161" s="844" t="s">
        <v>3171</v>
      </c>
      <c r="F161" s="831"/>
      <c r="G161" s="829"/>
      <c r="H161" s="832"/>
      <c r="I161" s="913"/>
      <c r="J161" s="834"/>
    </row>
    <row r="162" spans="1:10">
      <c r="A162" s="834"/>
      <c r="B162" s="839"/>
      <c r="C162" s="839"/>
      <c r="D162" s="838">
        <f>'[23]IPD Bar'!K34</f>
        <v>3200.6850000000004</v>
      </c>
      <c r="E162" s="845" t="s">
        <v>2935</v>
      </c>
      <c r="F162" s="831"/>
      <c r="G162" s="829"/>
      <c r="H162" s="832"/>
      <c r="I162" s="913"/>
      <c r="J162" s="834"/>
    </row>
    <row r="163" spans="1:10">
      <c r="A163" s="834"/>
      <c r="B163" s="435"/>
      <c r="C163" s="435"/>
      <c r="D163" s="435"/>
      <c r="E163" s="435"/>
      <c r="F163" s="831"/>
      <c r="G163" s="829"/>
      <c r="H163" s="832"/>
      <c r="I163" s="913"/>
      <c r="J163" s="834"/>
    </row>
    <row r="164" spans="1:10">
      <c r="A164" s="834"/>
      <c r="B164" s="831"/>
      <c r="C164" s="829"/>
      <c r="D164" s="832"/>
      <c r="E164" s="837" t="s">
        <v>2938</v>
      </c>
      <c r="F164" s="435"/>
      <c r="G164" s="435"/>
      <c r="H164" s="435"/>
      <c r="I164" s="435"/>
      <c r="J164" s="834"/>
    </row>
    <row r="165" spans="1:10">
      <c r="A165" s="834"/>
      <c r="B165" s="831"/>
      <c r="C165" s="829"/>
      <c r="D165" s="832"/>
      <c r="E165" s="913" t="s">
        <v>1916</v>
      </c>
      <c r="F165" s="435"/>
      <c r="G165" s="435"/>
      <c r="H165" s="435"/>
      <c r="I165" s="435"/>
      <c r="J165" s="834"/>
    </row>
    <row r="166" spans="1:10" ht="31.5">
      <c r="A166" s="834"/>
      <c r="B166" s="831">
        <v>8</v>
      </c>
      <c r="C166" s="829">
        <v>36.549999999999997</v>
      </c>
      <c r="D166" s="832"/>
      <c r="E166" s="837" t="s">
        <v>2939</v>
      </c>
      <c r="F166" s="435"/>
      <c r="G166" s="435"/>
      <c r="H166" s="435"/>
      <c r="I166" s="435"/>
      <c r="J166" s="834"/>
    </row>
    <row r="167" spans="1:10">
      <c r="A167" s="834"/>
      <c r="B167" s="831"/>
      <c r="C167" s="829"/>
      <c r="D167" s="832">
        <f>B166*C166</f>
        <v>292.39999999999998</v>
      </c>
      <c r="E167" s="837"/>
      <c r="F167" s="435"/>
      <c r="G167" s="435"/>
      <c r="H167" s="435"/>
      <c r="I167" s="435"/>
      <c r="J167" s="834"/>
    </row>
    <row r="168" spans="1:10">
      <c r="A168" s="834"/>
      <c r="B168" s="831"/>
      <c r="C168" s="829"/>
      <c r="D168" s="832"/>
      <c r="E168" s="913" t="s">
        <v>1914</v>
      </c>
      <c r="F168" s="435"/>
      <c r="G168" s="435"/>
      <c r="H168" s="435"/>
      <c r="I168" s="435"/>
      <c r="J168" s="834"/>
    </row>
    <row r="169" spans="1:10">
      <c r="A169" s="834"/>
      <c r="B169" s="831">
        <v>14</v>
      </c>
      <c r="C169" s="829">
        <v>17.149999999999999</v>
      </c>
      <c r="D169" s="832"/>
      <c r="E169" s="913" t="s">
        <v>2937</v>
      </c>
      <c r="F169" s="435"/>
      <c r="G169" s="435"/>
      <c r="H169" s="435"/>
      <c r="I169" s="435"/>
      <c r="J169" s="834"/>
    </row>
    <row r="170" spans="1:10">
      <c r="A170" s="834"/>
      <c r="B170" s="831"/>
      <c r="C170" s="829"/>
      <c r="D170" s="832">
        <f>B169*C169</f>
        <v>240.09999999999997</v>
      </c>
      <c r="E170" s="837"/>
      <c r="F170" s="435"/>
      <c r="G170" s="435"/>
      <c r="H170" s="435"/>
      <c r="I170" s="435"/>
      <c r="J170" s="834" t="e">
        <f>#REF!*#REF!</f>
        <v>#REF!</v>
      </c>
    </row>
    <row r="171" spans="1:10">
      <c r="A171" s="834"/>
      <c r="B171" s="435"/>
      <c r="C171" s="435"/>
      <c r="D171" s="435"/>
      <c r="E171" s="435"/>
      <c r="F171" s="435"/>
      <c r="G171" s="435"/>
      <c r="H171" s="435"/>
      <c r="I171" s="435"/>
      <c r="J171" s="834"/>
    </row>
    <row r="172" spans="1:10">
      <c r="A172" s="834"/>
      <c r="B172" s="839"/>
      <c r="C172" s="839"/>
      <c r="D172" s="838">
        <f>D170+D167</f>
        <v>532.5</v>
      </c>
      <c r="E172" s="845" t="s">
        <v>2936</v>
      </c>
      <c r="F172" s="435"/>
      <c r="G172" s="435"/>
      <c r="H172" s="435"/>
      <c r="I172" s="435"/>
      <c r="J172" s="834"/>
    </row>
    <row r="173" spans="1:10">
      <c r="A173" s="834"/>
      <c r="B173" s="435"/>
      <c r="C173" s="435"/>
      <c r="D173" s="435"/>
      <c r="E173" s="435"/>
      <c r="F173" s="435"/>
      <c r="G173" s="435"/>
      <c r="H173" s="435"/>
      <c r="I173" s="435"/>
      <c r="J173" s="834"/>
    </row>
    <row r="174" spans="1:10">
      <c r="A174" s="834"/>
      <c r="B174" s="831"/>
      <c r="C174" s="829"/>
      <c r="D174" s="832"/>
      <c r="E174" s="837" t="s">
        <v>1843</v>
      </c>
      <c r="F174" s="435"/>
      <c r="G174" s="435"/>
      <c r="H174" s="435"/>
      <c r="I174" s="435"/>
      <c r="J174" s="834"/>
    </row>
    <row r="175" spans="1:10">
      <c r="A175" s="834"/>
      <c r="B175" s="831"/>
      <c r="C175" s="829"/>
      <c r="D175" s="832"/>
      <c r="E175" s="837" t="s">
        <v>2902</v>
      </c>
      <c r="F175" s="435"/>
      <c r="G175" s="435"/>
      <c r="H175" s="435"/>
      <c r="I175" s="435"/>
      <c r="J175" s="834"/>
    </row>
    <row r="176" spans="1:10">
      <c r="A176" s="834"/>
      <c r="B176" s="831">
        <v>5</v>
      </c>
      <c r="C176" s="829">
        <v>38.549999999999997</v>
      </c>
      <c r="D176" s="832"/>
      <c r="E176" s="913" t="s">
        <v>2559</v>
      </c>
      <c r="F176" s="435"/>
      <c r="G176" s="435"/>
      <c r="H176" s="435"/>
      <c r="I176" s="435"/>
      <c r="J176" s="834"/>
    </row>
    <row r="177" spans="1:11">
      <c r="A177" s="834"/>
      <c r="B177" s="831"/>
      <c r="C177" s="829">
        <v>0.4</v>
      </c>
      <c r="D177" s="832"/>
      <c r="E177" s="913" t="s">
        <v>2560</v>
      </c>
      <c r="F177" s="435"/>
      <c r="G177" s="435"/>
      <c r="H177" s="435"/>
      <c r="I177" s="435"/>
      <c r="J177" s="834"/>
    </row>
    <row r="178" spans="1:11">
      <c r="A178" s="834"/>
      <c r="B178" s="831"/>
      <c r="C178" s="829">
        <v>0.31</v>
      </c>
      <c r="D178" s="832">
        <f>C178*C177*C176*B176</f>
        <v>23.901</v>
      </c>
      <c r="E178" s="913"/>
      <c r="F178" s="435"/>
      <c r="G178" s="435"/>
      <c r="H178" s="435"/>
      <c r="I178" s="435"/>
      <c r="J178" s="834"/>
    </row>
    <row r="179" spans="1:11">
      <c r="A179" s="834"/>
      <c r="B179" s="831"/>
      <c r="C179" s="829"/>
      <c r="D179" s="832"/>
      <c r="E179" s="913"/>
      <c r="F179" s="435"/>
      <c r="G179" s="435"/>
      <c r="H179" s="435"/>
      <c r="I179" s="435"/>
      <c r="J179" s="834"/>
    </row>
    <row r="180" spans="1:11">
      <c r="A180" s="834"/>
      <c r="B180" s="831">
        <v>8</v>
      </c>
      <c r="C180" s="829">
        <v>16.399999999999999</v>
      </c>
      <c r="D180" s="832"/>
      <c r="E180" s="913" t="s">
        <v>2561</v>
      </c>
      <c r="F180" s="435"/>
      <c r="G180" s="435"/>
      <c r="H180" s="435"/>
      <c r="I180" s="435"/>
      <c r="J180" s="834"/>
      <c r="K180" s="834"/>
    </row>
    <row r="181" spans="1:11">
      <c r="A181" s="834"/>
      <c r="B181" s="831"/>
      <c r="C181" s="829">
        <v>0.4</v>
      </c>
      <c r="D181" s="832"/>
      <c r="E181" s="913" t="s">
        <v>2562</v>
      </c>
      <c r="F181" s="435"/>
      <c r="G181" s="435"/>
      <c r="H181" s="435"/>
      <c r="I181" s="435"/>
      <c r="J181" s="834" t="e">
        <f>SUM(J170:J180)</f>
        <v>#REF!</v>
      </c>
      <c r="K181" s="834"/>
    </row>
    <row r="182" spans="1:11" s="998" customFormat="1">
      <c r="A182" s="834"/>
      <c r="B182" s="831"/>
      <c r="C182" s="829">
        <v>0.31</v>
      </c>
      <c r="D182" s="832">
        <f>C182*C181*C180*B180</f>
        <v>16.268799999999999</v>
      </c>
      <c r="E182" s="837"/>
      <c r="F182" s="435"/>
      <c r="G182" s="435"/>
      <c r="H182" s="435"/>
      <c r="I182" s="435"/>
      <c r="J182" s="834"/>
      <c r="K182" s="834"/>
    </row>
    <row r="183" spans="1:11" s="998" customFormat="1" ht="18">
      <c r="A183" s="834"/>
      <c r="B183" s="839"/>
      <c r="C183" s="839"/>
      <c r="D183" s="838">
        <f>D178+D182-H138</f>
        <v>36.176599999999993</v>
      </c>
      <c r="E183" s="845" t="s">
        <v>3172</v>
      </c>
      <c r="F183" s="831"/>
      <c r="G183" s="829"/>
      <c r="H183" s="832"/>
      <c r="I183" s="837"/>
      <c r="J183" s="834"/>
    </row>
    <row r="184" spans="1:11" s="998" customFormat="1">
      <c r="A184" s="834"/>
      <c r="B184" s="849"/>
      <c r="C184" s="850"/>
      <c r="D184" s="851"/>
      <c r="E184" s="1163"/>
      <c r="F184" s="849"/>
      <c r="G184" s="850"/>
      <c r="H184" s="851"/>
      <c r="I184" s="1163"/>
      <c r="J184" s="834"/>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 Resident Engineer&amp;R&amp;14Client:-______________&amp;U    </oddFooter>
  </headerFooter>
  <rowBreaks count="2" manualBreakCount="2">
    <brk id="68" max="9" man="1"/>
    <brk id="128" max="9"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6"/>
  <sheetViews>
    <sheetView view="pageBreakPreview" zoomScaleNormal="115" zoomScaleSheetLayoutView="100" zoomScalePageLayoutView="85" workbookViewId="0">
      <selection activeCell="B474" sqref="B474:E493"/>
    </sheetView>
  </sheetViews>
  <sheetFormatPr defaultRowHeight="15.75"/>
  <cols>
    <col min="1" max="1" width="2.85546875" style="103"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0.42578125" style="836" customWidth="1"/>
    <col min="9" max="9" width="42" style="103" customWidth="1"/>
    <col min="10" max="10" width="1.28515625" style="103"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18"/>
      <c r="B1" s="2059" t="s">
        <v>1919</v>
      </c>
      <c r="C1" s="2059"/>
      <c r="D1" s="2059"/>
      <c r="E1" s="2059"/>
      <c r="F1" s="819"/>
      <c r="G1" s="823"/>
      <c r="H1" s="821"/>
      <c r="I1" s="822"/>
      <c r="J1" s="820"/>
    </row>
    <row r="2" spans="1:10">
      <c r="A2" s="818"/>
      <c r="B2" s="2059" t="s">
        <v>1917</v>
      </c>
      <c r="C2" s="2059"/>
      <c r="D2" s="2059"/>
      <c r="E2" s="2059"/>
      <c r="F2" s="819"/>
      <c r="G2" s="823"/>
      <c r="J2" s="818"/>
    </row>
    <row r="3" spans="1:10">
      <c r="A3" s="818"/>
      <c r="B3" s="2059" t="s">
        <v>1920</v>
      </c>
      <c r="C3" s="2059"/>
      <c r="D3" s="2059"/>
      <c r="E3" s="2059"/>
      <c r="F3" s="2059"/>
      <c r="G3" s="823"/>
      <c r="H3" s="2060" t="s">
        <v>2569</v>
      </c>
      <c r="I3" s="2060"/>
      <c r="J3" s="818"/>
    </row>
    <row r="4" spans="1:10">
      <c r="A4" s="818"/>
      <c r="B4" s="2059" t="s">
        <v>1921</v>
      </c>
      <c r="C4" s="2059"/>
      <c r="D4" s="2059"/>
      <c r="E4" s="2059"/>
      <c r="F4" s="819"/>
      <c r="G4" s="823"/>
      <c r="H4" s="2061"/>
      <c r="I4" s="2061"/>
      <c r="J4" s="818"/>
    </row>
    <row r="5" spans="1:10">
      <c r="A5" s="818"/>
      <c r="B5" s="824"/>
      <c r="C5" s="823"/>
      <c r="D5" s="823"/>
      <c r="E5" s="825"/>
      <c r="F5" s="819"/>
      <c r="G5" s="826"/>
      <c r="H5" s="827"/>
      <c r="I5" s="826"/>
      <c r="J5" s="818"/>
    </row>
    <row r="6" spans="1:10">
      <c r="A6" s="828"/>
      <c r="B6" s="909" t="s">
        <v>1884</v>
      </c>
      <c r="C6" s="911" t="s">
        <v>526</v>
      </c>
      <c r="D6" s="910" t="s">
        <v>1885</v>
      </c>
      <c r="E6" s="911" t="s">
        <v>1886</v>
      </c>
      <c r="F6" s="909" t="s">
        <v>1884</v>
      </c>
      <c r="G6" s="911" t="s">
        <v>526</v>
      </c>
      <c r="H6" s="910" t="s">
        <v>1885</v>
      </c>
      <c r="I6" s="911" t="s">
        <v>1886</v>
      </c>
      <c r="J6" s="828"/>
    </row>
    <row r="7" spans="1:10">
      <c r="A7" s="818"/>
      <c r="B7" s="831"/>
      <c r="C7" s="829"/>
      <c r="D7" s="832"/>
      <c r="E7" s="837" t="s">
        <v>1780</v>
      </c>
      <c r="F7" s="831"/>
      <c r="G7" s="829"/>
      <c r="H7" s="832"/>
      <c r="I7" s="844" t="s">
        <v>2237</v>
      </c>
    </row>
    <row r="8" spans="1:10">
      <c r="A8" s="818"/>
      <c r="B8" s="831"/>
      <c r="C8" s="829"/>
      <c r="D8" s="832"/>
      <c r="E8" s="837" t="s">
        <v>2234</v>
      </c>
      <c r="F8" s="831"/>
      <c r="G8" s="829"/>
      <c r="H8" s="832"/>
      <c r="I8" s="844" t="s">
        <v>33</v>
      </c>
    </row>
    <row r="9" spans="1:10">
      <c r="A9" s="818"/>
      <c r="B9" s="831">
        <v>48</v>
      </c>
      <c r="C9" s="829">
        <v>0.2</v>
      </c>
      <c r="D9" s="832"/>
      <c r="E9" s="837" t="s">
        <v>2235</v>
      </c>
      <c r="F9" s="831">
        <v>48</v>
      </c>
      <c r="G9" s="829">
        <v>0.8</v>
      </c>
      <c r="H9" s="832"/>
      <c r="I9" s="833"/>
    </row>
    <row r="10" spans="1:10">
      <c r="A10" s="818"/>
      <c r="B10" s="831"/>
      <c r="C10" s="829">
        <v>0.2</v>
      </c>
      <c r="D10" s="832"/>
      <c r="E10" s="831"/>
      <c r="F10" s="831"/>
      <c r="G10" s="829">
        <v>2.73</v>
      </c>
      <c r="H10" s="832"/>
      <c r="I10" s="833"/>
    </row>
    <row r="11" spans="1:10">
      <c r="A11" s="818"/>
      <c r="B11" s="831"/>
      <c r="C11" s="829">
        <v>2.73</v>
      </c>
      <c r="D11" s="832"/>
      <c r="E11" s="831"/>
      <c r="F11" s="839"/>
      <c r="G11" s="839"/>
      <c r="H11" s="838">
        <f>F9*G10*G9</f>
        <v>104.83199999999999</v>
      </c>
      <c r="I11" s="845" t="s">
        <v>2117</v>
      </c>
    </row>
    <row r="12" spans="1:10">
      <c r="A12" s="818"/>
      <c r="B12" s="839"/>
      <c r="C12" s="839"/>
      <c r="D12" s="838">
        <f>B9*C9*C10*C11</f>
        <v>5.2416000000000009</v>
      </c>
      <c r="E12" s="845" t="s">
        <v>2233</v>
      </c>
      <c r="F12" s="831"/>
      <c r="G12" s="829"/>
      <c r="H12" s="832"/>
      <c r="I12" s="833"/>
    </row>
    <row r="13" spans="1:10" ht="18.75">
      <c r="A13" s="818"/>
      <c r="B13" s="912"/>
      <c r="C13" s="902"/>
      <c r="D13" s="902"/>
      <c r="E13" s="903"/>
      <c r="F13" s="831"/>
      <c r="G13" s="829"/>
      <c r="H13" s="832"/>
      <c r="I13" s="844" t="s">
        <v>38</v>
      </c>
    </row>
    <row r="14" spans="1:10">
      <c r="A14" s="818"/>
      <c r="B14" s="831"/>
      <c r="C14" s="829"/>
      <c r="D14" s="832"/>
      <c r="E14" s="837" t="s">
        <v>29</v>
      </c>
      <c r="F14" s="831">
        <v>2</v>
      </c>
      <c r="G14" s="829">
        <v>38.5</v>
      </c>
      <c r="H14" s="832"/>
      <c r="I14" s="833" t="s">
        <v>30</v>
      </c>
    </row>
    <row r="15" spans="1:10">
      <c r="A15" s="818"/>
      <c r="B15" s="831">
        <v>2</v>
      </c>
      <c r="C15" s="829">
        <v>38.5</v>
      </c>
      <c r="D15" s="832"/>
      <c r="E15" s="831" t="s">
        <v>30</v>
      </c>
      <c r="F15" s="831"/>
      <c r="G15" s="829">
        <v>0.8</v>
      </c>
      <c r="H15" s="832">
        <f>F14*G15*G14</f>
        <v>61.6</v>
      </c>
      <c r="I15" s="833" t="s">
        <v>31</v>
      </c>
    </row>
    <row r="16" spans="1:10">
      <c r="A16" s="818"/>
      <c r="B16" s="831"/>
      <c r="C16" s="829">
        <v>0.3</v>
      </c>
      <c r="D16" s="832"/>
      <c r="E16" s="831" t="s">
        <v>31</v>
      </c>
      <c r="F16" s="831"/>
      <c r="G16" s="829"/>
      <c r="H16" s="832"/>
      <c r="I16" s="833" t="s">
        <v>40</v>
      </c>
    </row>
    <row r="17" spans="1:10">
      <c r="A17" s="818"/>
      <c r="B17" s="831"/>
      <c r="C17" s="829">
        <v>0.2</v>
      </c>
      <c r="D17" s="832">
        <f>B15*C15*C16*C17</f>
        <v>4.62</v>
      </c>
      <c r="E17" s="831"/>
      <c r="F17" s="831"/>
      <c r="G17" s="829"/>
      <c r="H17" s="832"/>
      <c r="I17" s="833"/>
    </row>
    <row r="18" spans="1:10">
      <c r="A18" s="818"/>
      <c r="B18" s="831"/>
      <c r="C18" s="829"/>
      <c r="D18" s="832"/>
      <c r="E18" s="831"/>
      <c r="F18" s="831">
        <v>3</v>
      </c>
      <c r="G18" s="829">
        <v>36.9</v>
      </c>
      <c r="H18" s="832"/>
      <c r="I18" s="833" t="s">
        <v>34</v>
      </c>
    </row>
    <row r="19" spans="1:10">
      <c r="A19" s="818"/>
      <c r="B19" s="831">
        <v>3</v>
      </c>
      <c r="C19" s="829">
        <v>38.5</v>
      </c>
      <c r="D19" s="832"/>
      <c r="E19" s="831" t="s">
        <v>34</v>
      </c>
      <c r="F19" s="831"/>
      <c r="G19" s="829">
        <v>0.8</v>
      </c>
      <c r="H19" s="832">
        <f>F18*G19*G18</f>
        <v>88.560000000000016</v>
      </c>
      <c r="I19" s="833" t="s">
        <v>43</v>
      </c>
    </row>
    <row r="20" spans="1:10">
      <c r="A20" s="818"/>
      <c r="B20" s="831"/>
      <c r="C20" s="829">
        <v>0.3</v>
      </c>
      <c r="D20" s="832"/>
      <c r="E20" s="831" t="s">
        <v>35</v>
      </c>
      <c r="F20" s="831"/>
      <c r="G20" s="829"/>
      <c r="H20" s="832"/>
      <c r="I20" s="833" t="s">
        <v>40</v>
      </c>
    </row>
    <row r="21" spans="1:10">
      <c r="A21" s="818"/>
      <c r="B21" s="831"/>
      <c r="C21" s="829">
        <v>0.2</v>
      </c>
      <c r="D21" s="832">
        <f>B19*C19*C20*C21</f>
        <v>6.93</v>
      </c>
      <c r="E21" s="831" t="s">
        <v>36</v>
      </c>
      <c r="F21" s="847"/>
      <c r="G21" s="848"/>
      <c r="H21" s="843"/>
      <c r="I21" s="435"/>
    </row>
    <row r="22" spans="1:10">
      <c r="A22" s="818"/>
      <c r="B22" s="831"/>
      <c r="C22" s="829"/>
      <c r="D22" s="832"/>
      <c r="E22" s="831"/>
      <c r="F22" s="831">
        <v>2</v>
      </c>
      <c r="G22" s="829">
        <v>18.55</v>
      </c>
      <c r="H22" s="832"/>
      <c r="I22" s="833" t="s">
        <v>37</v>
      </c>
    </row>
    <row r="23" spans="1:10">
      <c r="A23" s="818"/>
      <c r="B23" s="831">
        <v>2</v>
      </c>
      <c r="C23" s="829">
        <v>17.55</v>
      </c>
      <c r="D23" s="832"/>
      <c r="E23" s="831" t="s">
        <v>37</v>
      </c>
      <c r="F23" s="831"/>
      <c r="G23" s="829">
        <v>0.8</v>
      </c>
      <c r="H23" s="832">
        <f>F22*G23*G22</f>
        <v>29.680000000000003</v>
      </c>
      <c r="I23" s="833" t="s">
        <v>39</v>
      </c>
      <c r="J23" s="818"/>
    </row>
    <row r="24" spans="1:10">
      <c r="A24" s="818"/>
      <c r="B24" s="831"/>
      <c r="C24" s="829">
        <v>0.3</v>
      </c>
      <c r="D24" s="832"/>
      <c r="E24" s="831" t="s">
        <v>39</v>
      </c>
      <c r="F24" s="831"/>
      <c r="G24" s="829"/>
      <c r="H24" s="832"/>
      <c r="I24" s="833" t="s">
        <v>40</v>
      </c>
      <c r="J24" s="818"/>
    </row>
    <row r="25" spans="1:10">
      <c r="A25" s="818"/>
      <c r="B25" s="831"/>
      <c r="C25" s="829">
        <v>0.2</v>
      </c>
      <c r="D25" s="832">
        <f>B23*C23*C24*C25</f>
        <v>2.1059999999999999</v>
      </c>
      <c r="E25" s="831"/>
      <c r="F25" s="847"/>
      <c r="G25" s="848"/>
      <c r="H25" s="843"/>
      <c r="I25" s="435"/>
      <c r="J25" s="818"/>
    </row>
    <row r="26" spans="1:10">
      <c r="A26" s="818"/>
      <c r="B26" s="831"/>
      <c r="C26" s="829"/>
      <c r="D26" s="832"/>
      <c r="E26" s="831"/>
      <c r="F26" s="831">
        <v>6</v>
      </c>
      <c r="G26" s="829">
        <v>17.350000000000001</v>
      </c>
      <c r="H26" s="832"/>
      <c r="I26" s="833" t="s">
        <v>41</v>
      </c>
      <c r="J26" s="818"/>
    </row>
    <row r="27" spans="1:10">
      <c r="A27" s="818"/>
      <c r="B27" s="831">
        <v>6</v>
      </c>
      <c r="C27" s="829">
        <v>17.55</v>
      </c>
      <c r="D27" s="832"/>
      <c r="E27" s="831" t="s">
        <v>41</v>
      </c>
      <c r="F27" s="831"/>
      <c r="G27" s="829">
        <v>0.8</v>
      </c>
      <c r="H27" s="832">
        <f>F26*G27*G26</f>
        <v>83.280000000000015</v>
      </c>
      <c r="I27" s="833" t="s">
        <v>42</v>
      </c>
      <c r="J27" s="818"/>
    </row>
    <row r="28" spans="1:10">
      <c r="A28" s="818"/>
      <c r="B28" s="831"/>
      <c r="C28" s="829">
        <v>0.3</v>
      </c>
      <c r="D28" s="832"/>
      <c r="E28" s="831" t="s">
        <v>1263</v>
      </c>
      <c r="F28" s="831"/>
      <c r="G28" s="829"/>
      <c r="H28" s="832"/>
      <c r="I28" s="833" t="s">
        <v>40</v>
      </c>
      <c r="J28" s="818"/>
    </row>
    <row r="29" spans="1:10">
      <c r="A29" s="818"/>
      <c r="B29" s="831"/>
      <c r="C29" s="829">
        <v>0.2</v>
      </c>
      <c r="D29" s="832">
        <f>B27*C27*C28*C29</f>
        <v>6.3180000000000014</v>
      </c>
      <c r="E29" s="831"/>
      <c r="F29" s="831"/>
      <c r="G29" s="829"/>
      <c r="H29" s="832"/>
      <c r="I29" s="833"/>
      <c r="J29" s="818"/>
    </row>
    <row r="30" spans="1:10">
      <c r="A30" s="818"/>
      <c r="B30" s="831"/>
      <c r="C30" s="829"/>
      <c r="D30" s="832"/>
      <c r="E30" s="831"/>
      <c r="F30" s="839"/>
      <c r="G30" s="839"/>
      <c r="H30" s="838">
        <f>SUM(H15:H28)</f>
        <v>263.12000000000006</v>
      </c>
      <c r="I30" s="845" t="s">
        <v>2118</v>
      </c>
      <c r="J30" s="818"/>
    </row>
    <row r="31" spans="1:10">
      <c r="A31" s="818"/>
      <c r="B31" s="839"/>
      <c r="C31" s="839"/>
      <c r="D31" s="838">
        <f>SUM(D17:D29)</f>
        <v>19.974000000000004</v>
      </c>
      <c r="E31" s="845" t="s">
        <v>2142</v>
      </c>
      <c r="F31" s="831"/>
      <c r="G31" s="829"/>
      <c r="H31" s="832"/>
      <c r="I31" s="833"/>
      <c r="J31" s="818"/>
    </row>
    <row r="32" spans="1:10">
      <c r="A32" s="818"/>
      <c r="B32" s="831"/>
      <c r="C32" s="829"/>
      <c r="D32" s="832"/>
      <c r="E32" s="831"/>
      <c r="F32" s="831"/>
      <c r="G32" s="829"/>
      <c r="H32" s="832"/>
      <c r="I32" s="844" t="s">
        <v>48</v>
      </c>
      <c r="J32" s="818"/>
    </row>
    <row r="33" spans="1:10">
      <c r="A33" s="818"/>
      <c r="B33" s="831"/>
      <c r="C33" s="829"/>
      <c r="D33" s="832"/>
      <c r="E33" s="837" t="s">
        <v>44</v>
      </c>
      <c r="F33" s="831">
        <v>2</v>
      </c>
      <c r="G33" s="829">
        <v>1.4</v>
      </c>
      <c r="H33" s="832"/>
      <c r="I33" s="833" t="s">
        <v>45</v>
      </c>
      <c r="J33" s="818"/>
    </row>
    <row r="34" spans="1:10">
      <c r="A34" s="818"/>
      <c r="B34" s="831">
        <v>2</v>
      </c>
      <c r="C34" s="829">
        <v>1.4</v>
      </c>
      <c r="D34" s="832"/>
      <c r="E34" s="831" t="s">
        <v>45</v>
      </c>
      <c r="F34" s="831"/>
      <c r="G34" s="829">
        <v>0.6</v>
      </c>
      <c r="H34" s="832">
        <f>F33*G33*G34</f>
        <v>1.68</v>
      </c>
      <c r="I34" s="833" t="s">
        <v>49</v>
      </c>
      <c r="J34" s="818"/>
    </row>
    <row r="35" spans="1:10">
      <c r="A35" s="818"/>
      <c r="B35" s="831"/>
      <c r="C35" s="829">
        <v>0.2</v>
      </c>
      <c r="D35" s="832"/>
      <c r="E35" s="831"/>
      <c r="F35" s="831"/>
      <c r="G35" s="829"/>
      <c r="H35" s="832"/>
      <c r="I35" s="833"/>
      <c r="J35" s="818"/>
    </row>
    <row r="36" spans="1:10">
      <c r="A36" s="818"/>
      <c r="B36" s="831"/>
      <c r="C36" s="829">
        <v>0.2</v>
      </c>
      <c r="D36" s="832">
        <f>B34*C34*C35*C36</f>
        <v>0.11199999999999999</v>
      </c>
      <c r="E36" s="831"/>
      <c r="F36" s="831">
        <v>10</v>
      </c>
      <c r="G36" s="829">
        <v>1.3</v>
      </c>
      <c r="H36" s="832"/>
      <c r="I36" s="833" t="s">
        <v>51</v>
      </c>
      <c r="J36" s="818"/>
    </row>
    <row r="37" spans="1:10">
      <c r="A37" s="818"/>
      <c r="B37" s="831"/>
      <c r="C37" s="829"/>
      <c r="D37" s="832"/>
      <c r="E37" s="831"/>
      <c r="F37" s="831"/>
      <c r="G37" s="829">
        <v>0.55000000000000004</v>
      </c>
      <c r="H37" s="832">
        <f>F36*G36*G37</f>
        <v>7.15</v>
      </c>
      <c r="I37" s="833" t="s">
        <v>52</v>
      </c>
      <c r="J37" s="818"/>
    </row>
    <row r="38" spans="1:10">
      <c r="A38" s="818"/>
      <c r="B38" s="831">
        <v>10</v>
      </c>
      <c r="C38" s="829">
        <v>1.1000000000000001</v>
      </c>
      <c r="D38" s="832"/>
      <c r="E38" s="831" t="s">
        <v>46</v>
      </c>
      <c r="F38" s="831"/>
      <c r="G38" s="829"/>
      <c r="H38" s="832"/>
      <c r="I38" s="833"/>
      <c r="J38" s="818"/>
    </row>
    <row r="39" spans="1:10">
      <c r="A39" s="818"/>
      <c r="B39" s="831"/>
      <c r="C39" s="829">
        <v>0.15</v>
      </c>
      <c r="D39" s="832"/>
      <c r="E39" s="831"/>
      <c r="F39" s="831">
        <v>5</v>
      </c>
      <c r="G39" s="829">
        <v>1.2</v>
      </c>
      <c r="H39" s="832"/>
      <c r="I39" s="833" t="s">
        <v>47</v>
      </c>
      <c r="J39" s="818"/>
    </row>
    <row r="40" spans="1:10">
      <c r="A40" s="818"/>
      <c r="B40" s="831"/>
      <c r="C40" s="829">
        <v>0.2</v>
      </c>
      <c r="D40" s="832">
        <f>B38*C38*C39*C40</f>
        <v>0.33</v>
      </c>
      <c r="E40" s="831"/>
      <c r="F40" s="831"/>
      <c r="G40" s="829">
        <v>0.55000000000000004</v>
      </c>
      <c r="H40" s="832">
        <f>F39*G39*G40</f>
        <v>3.3000000000000003</v>
      </c>
      <c r="I40" s="833" t="s">
        <v>52</v>
      </c>
      <c r="J40" s="818"/>
    </row>
    <row r="41" spans="1:10">
      <c r="A41" s="818"/>
      <c r="B41" s="831"/>
      <c r="C41" s="829"/>
      <c r="D41" s="832"/>
      <c r="E41" s="831"/>
      <c r="F41" s="831"/>
      <c r="G41" s="829"/>
      <c r="H41" s="832"/>
      <c r="I41" s="833"/>
      <c r="J41" s="818"/>
    </row>
    <row r="42" spans="1:10">
      <c r="A42" s="818"/>
      <c r="B42" s="831">
        <v>5</v>
      </c>
      <c r="C42" s="829">
        <v>1.2</v>
      </c>
      <c r="D42" s="832"/>
      <c r="E42" s="831" t="s">
        <v>47</v>
      </c>
      <c r="F42" s="831">
        <v>5</v>
      </c>
      <c r="G42" s="829">
        <v>1.3</v>
      </c>
      <c r="H42" s="832"/>
      <c r="I42" s="833" t="s">
        <v>50</v>
      </c>
      <c r="J42" s="818"/>
    </row>
    <row r="43" spans="1:10">
      <c r="A43" s="818"/>
      <c r="B43" s="831"/>
      <c r="C43" s="829">
        <v>0.15</v>
      </c>
      <c r="D43" s="832"/>
      <c r="E43" s="831"/>
      <c r="F43" s="831"/>
      <c r="G43" s="829">
        <v>0.6</v>
      </c>
      <c r="H43" s="832">
        <f>F42*G42*G43</f>
        <v>3.9</v>
      </c>
      <c r="I43" s="833" t="s">
        <v>49</v>
      </c>
      <c r="J43" s="818"/>
    </row>
    <row r="44" spans="1:10">
      <c r="A44" s="818"/>
      <c r="B44" s="831"/>
      <c r="C44" s="829">
        <v>0.2</v>
      </c>
      <c r="D44" s="832">
        <f>B42*C42*C43*C44</f>
        <v>0.18</v>
      </c>
      <c r="E44" s="831"/>
      <c r="F44" s="831"/>
      <c r="G44" s="829"/>
      <c r="H44" s="832"/>
      <c r="I44" s="833"/>
      <c r="J44" s="818"/>
    </row>
    <row r="45" spans="1:10">
      <c r="A45" s="818"/>
      <c r="B45" s="831"/>
      <c r="C45" s="829"/>
      <c r="D45" s="832"/>
      <c r="E45" s="831"/>
      <c r="F45" s="831">
        <v>4</v>
      </c>
      <c r="G45" s="829">
        <v>1.3</v>
      </c>
      <c r="H45" s="832"/>
      <c r="I45" s="833" t="s">
        <v>53</v>
      </c>
      <c r="J45" s="818"/>
    </row>
    <row r="46" spans="1:10">
      <c r="A46" s="818"/>
      <c r="B46" s="831">
        <v>5</v>
      </c>
      <c r="C46" s="829">
        <v>1.3</v>
      </c>
      <c r="D46" s="832"/>
      <c r="E46" s="831" t="s">
        <v>50</v>
      </c>
      <c r="F46" s="831"/>
      <c r="G46" s="829">
        <v>0.55000000000000004</v>
      </c>
      <c r="H46" s="832">
        <f>F45*G45*G46</f>
        <v>2.8600000000000003</v>
      </c>
      <c r="I46" s="833" t="s">
        <v>52</v>
      </c>
      <c r="J46" s="818"/>
    </row>
    <row r="47" spans="1:10">
      <c r="A47" s="818"/>
      <c r="B47" s="831"/>
      <c r="C47" s="829">
        <v>0.2</v>
      </c>
      <c r="D47" s="832"/>
      <c r="E47" s="831"/>
      <c r="F47" s="831"/>
      <c r="G47" s="829"/>
      <c r="H47" s="832"/>
      <c r="I47" s="833"/>
      <c r="J47" s="818"/>
    </row>
    <row r="48" spans="1:10">
      <c r="A48" s="818"/>
      <c r="B48" s="831"/>
      <c r="C48" s="829">
        <v>0.2</v>
      </c>
      <c r="D48" s="832">
        <f>C46*C47*C48*B46</f>
        <v>0.26</v>
      </c>
      <c r="E48" s="831"/>
      <c r="F48" s="831">
        <v>1</v>
      </c>
      <c r="G48" s="829">
        <v>1.6</v>
      </c>
      <c r="H48" s="832"/>
      <c r="I48" s="833" t="s">
        <v>26</v>
      </c>
      <c r="J48" s="818"/>
    </row>
    <row r="49" spans="1:10">
      <c r="A49" s="818"/>
      <c r="B49" s="831"/>
      <c r="C49" s="829"/>
      <c r="D49" s="832"/>
      <c r="E49" s="831"/>
      <c r="F49" s="831"/>
      <c r="G49" s="829">
        <v>0.55000000000000004</v>
      </c>
      <c r="H49" s="832">
        <f>F48*G48*G49</f>
        <v>0.88000000000000012</v>
      </c>
      <c r="I49" s="833" t="s">
        <v>52</v>
      </c>
      <c r="J49" s="818"/>
    </row>
    <row r="50" spans="1:10">
      <c r="A50" s="818"/>
      <c r="B50" s="831">
        <v>4</v>
      </c>
      <c r="C50" s="829">
        <v>1.3</v>
      </c>
      <c r="D50" s="832"/>
      <c r="E50" s="831" t="s">
        <v>53</v>
      </c>
      <c r="F50" s="831"/>
      <c r="G50" s="829"/>
      <c r="H50" s="832"/>
      <c r="I50" s="833"/>
      <c r="J50" s="818"/>
    </row>
    <row r="51" spans="1:10">
      <c r="A51" s="818"/>
      <c r="B51" s="831"/>
      <c r="C51" s="829">
        <v>0.15</v>
      </c>
      <c r="D51" s="832"/>
      <c r="E51" s="831"/>
      <c r="F51" s="831">
        <v>5</v>
      </c>
      <c r="G51" s="829">
        <v>1.3</v>
      </c>
      <c r="H51" s="832"/>
      <c r="I51" s="833" t="s">
        <v>28</v>
      </c>
      <c r="J51" s="818"/>
    </row>
    <row r="52" spans="1:10">
      <c r="A52" s="818"/>
      <c r="B52" s="831"/>
      <c r="C52" s="829">
        <v>0.2</v>
      </c>
      <c r="D52" s="832">
        <f>C50*C51*C52*B50</f>
        <v>0.15600000000000003</v>
      </c>
      <c r="E52" s="831"/>
      <c r="F52" s="831"/>
      <c r="G52" s="829">
        <v>0.6</v>
      </c>
      <c r="H52" s="832">
        <f>F51*G51*G52</f>
        <v>3.9</v>
      </c>
      <c r="I52" s="833"/>
      <c r="J52" s="818"/>
    </row>
    <row r="53" spans="1:10">
      <c r="A53" s="818"/>
      <c r="B53" s="831"/>
      <c r="C53" s="829"/>
      <c r="D53" s="832"/>
      <c r="E53" s="831"/>
      <c r="F53" s="831"/>
      <c r="G53" s="829"/>
      <c r="H53" s="832"/>
      <c r="I53" s="833"/>
      <c r="J53" s="818"/>
    </row>
    <row r="54" spans="1:10">
      <c r="A54" s="818"/>
      <c r="B54" s="831">
        <v>1</v>
      </c>
      <c r="C54" s="829">
        <v>1.6</v>
      </c>
      <c r="D54" s="832"/>
      <c r="E54" s="831" t="s">
        <v>26</v>
      </c>
      <c r="F54" s="839"/>
      <c r="G54" s="839"/>
      <c r="H54" s="838">
        <f>SUM(H34:H52)</f>
        <v>23.669999999999998</v>
      </c>
      <c r="I54" s="845" t="s">
        <v>2119</v>
      </c>
      <c r="J54" s="818"/>
    </row>
    <row r="55" spans="1:10">
      <c r="A55" s="818"/>
      <c r="B55" s="831"/>
      <c r="C55" s="829">
        <v>0.15</v>
      </c>
      <c r="D55" s="832"/>
      <c r="E55" s="831"/>
      <c r="F55" s="831"/>
      <c r="G55" s="829"/>
      <c r="H55" s="832"/>
      <c r="I55" s="833"/>
      <c r="J55" s="818"/>
    </row>
    <row r="56" spans="1:10">
      <c r="A56" s="818"/>
      <c r="B56" s="831"/>
      <c r="C56" s="829">
        <v>0.2</v>
      </c>
      <c r="D56" s="832">
        <f>C54*C55*C56*B54</f>
        <v>4.8000000000000001E-2</v>
      </c>
      <c r="E56" s="831"/>
      <c r="F56" s="831"/>
      <c r="G56" s="829"/>
      <c r="H56" s="832"/>
      <c r="I56" s="844" t="s">
        <v>2324</v>
      </c>
      <c r="J56" s="818"/>
    </row>
    <row r="57" spans="1:10">
      <c r="A57" s="818"/>
      <c r="B57" s="435"/>
      <c r="C57" s="847"/>
      <c r="D57" s="847"/>
      <c r="E57" s="435"/>
      <c r="F57" s="839"/>
      <c r="G57" s="839"/>
      <c r="H57" s="838">
        <v>2633.7014400000003</v>
      </c>
      <c r="I57" s="845" t="s">
        <v>2238</v>
      </c>
      <c r="J57" s="818"/>
    </row>
    <row r="58" spans="1:10">
      <c r="A58" s="818"/>
      <c r="B58" s="831">
        <v>5</v>
      </c>
      <c r="C58" s="829">
        <v>1.3</v>
      </c>
      <c r="D58" s="832"/>
      <c r="E58" s="831" t="s">
        <v>28</v>
      </c>
      <c r="F58" s="831"/>
      <c r="G58" s="829"/>
      <c r="H58" s="832"/>
      <c r="I58" s="833"/>
      <c r="J58" s="818"/>
    </row>
    <row r="59" spans="1:10">
      <c r="A59" s="818"/>
      <c r="B59" s="831"/>
      <c r="C59" s="829">
        <v>0.2</v>
      </c>
      <c r="D59" s="832"/>
      <c r="E59" s="831"/>
      <c r="F59" s="847"/>
      <c r="G59" s="848"/>
      <c r="H59" s="843"/>
      <c r="I59" s="435"/>
      <c r="J59" s="818"/>
    </row>
    <row r="60" spans="1:10">
      <c r="A60" s="818"/>
      <c r="B60" s="831"/>
      <c r="C60" s="829">
        <v>0.2</v>
      </c>
      <c r="D60" s="832">
        <f>C58*C59*C60*B58</f>
        <v>0.26</v>
      </c>
      <c r="E60" s="831"/>
      <c r="F60" s="847"/>
      <c r="G60" s="848"/>
      <c r="H60" s="843"/>
      <c r="I60" s="435"/>
      <c r="J60" s="818"/>
    </row>
    <row r="61" spans="1:10">
      <c r="A61" s="818"/>
      <c r="B61" s="857"/>
      <c r="C61" s="857"/>
      <c r="D61" s="858">
        <f>D36+D40+D44+D48+D52+D56+D60</f>
        <v>1.3460000000000001</v>
      </c>
      <c r="E61" s="859" t="s">
        <v>2236</v>
      </c>
      <c r="F61" s="849"/>
      <c r="G61" s="850"/>
      <c r="H61" s="851"/>
      <c r="I61" s="852"/>
      <c r="J61" s="818"/>
    </row>
    <row r="62" spans="1:10">
      <c r="A62" s="828"/>
      <c r="B62" s="909" t="s">
        <v>1884</v>
      </c>
      <c r="C62" s="911" t="s">
        <v>526</v>
      </c>
      <c r="D62" s="910" t="s">
        <v>1885</v>
      </c>
      <c r="E62" s="911" t="s">
        <v>1886</v>
      </c>
      <c r="F62" s="909" t="s">
        <v>1884</v>
      </c>
      <c r="G62" s="911" t="s">
        <v>526</v>
      </c>
      <c r="H62" s="910" t="s">
        <v>1885</v>
      </c>
      <c r="I62" s="911" t="s">
        <v>1886</v>
      </c>
      <c r="J62" s="828"/>
    </row>
    <row r="63" spans="1:10">
      <c r="A63" s="818"/>
      <c r="B63" s="831"/>
      <c r="C63" s="829"/>
      <c r="D63" s="832"/>
      <c r="E63" s="837" t="s">
        <v>61</v>
      </c>
      <c r="F63" s="831">
        <v>1</v>
      </c>
      <c r="G63" s="829">
        <v>0.9</v>
      </c>
      <c r="H63" s="832"/>
      <c r="I63" s="833" t="s">
        <v>72</v>
      </c>
    </row>
    <row r="64" spans="1:10">
      <c r="A64" s="818"/>
      <c r="B64" s="839"/>
      <c r="C64" s="839"/>
      <c r="D64" s="838">
        <v>769.89449999999999</v>
      </c>
      <c r="E64" s="845" t="s">
        <v>2239</v>
      </c>
      <c r="F64" s="831"/>
      <c r="G64" s="829">
        <v>2.73</v>
      </c>
      <c r="H64" s="832">
        <f>-G63*G64*F63</f>
        <v>-2.4569999999999999</v>
      </c>
      <c r="I64" s="833"/>
    </row>
    <row r="65" spans="1:10">
      <c r="A65" s="818"/>
      <c r="B65" s="831"/>
      <c r="C65" s="829"/>
      <c r="D65" s="832"/>
      <c r="E65" s="831"/>
      <c r="F65" s="831"/>
      <c r="G65" s="829"/>
      <c r="H65" s="832"/>
      <c r="I65" s="833"/>
    </row>
    <row r="66" spans="1:10">
      <c r="A66" s="818"/>
      <c r="B66" s="831"/>
      <c r="C66" s="829"/>
      <c r="D66" s="832"/>
      <c r="E66" s="837" t="s">
        <v>65</v>
      </c>
      <c r="F66" s="831">
        <v>1</v>
      </c>
      <c r="G66" s="829">
        <v>3</v>
      </c>
      <c r="H66" s="832"/>
      <c r="I66" s="833"/>
    </row>
    <row r="67" spans="1:10">
      <c r="A67" s="818"/>
      <c r="B67" s="831">
        <v>1</v>
      </c>
      <c r="C67" s="829">
        <v>36.9</v>
      </c>
      <c r="D67" s="832"/>
      <c r="E67" s="831" t="s">
        <v>66</v>
      </c>
      <c r="F67" s="831"/>
      <c r="G67" s="829">
        <v>2.73</v>
      </c>
      <c r="H67" s="832">
        <f>G66*G67*F66</f>
        <v>8.19</v>
      </c>
      <c r="I67" s="833"/>
    </row>
    <row r="68" spans="1:10">
      <c r="A68" s="818"/>
      <c r="B68" s="831"/>
      <c r="C68" s="829">
        <v>2.73</v>
      </c>
      <c r="D68" s="832">
        <f>C68*C67*B67</f>
        <v>100.73699999999999</v>
      </c>
      <c r="E68" s="831"/>
      <c r="F68" s="831"/>
      <c r="G68" s="829"/>
      <c r="H68" s="832"/>
      <c r="I68" s="833"/>
    </row>
    <row r="69" spans="1:10">
      <c r="A69" s="818"/>
      <c r="B69" s="831"/>
      <c r="C69" s="829"/>
      <c r="D69" s="832"/>
      <c r="E69" s="831" t="s">
        <v>68</v>
      </c>
      <c r="F69" s="831">
        <v>1</v>
      </c>
      <c r="G69" s="829">
        <v>36.9</v>
      </c>
      <c r="H69" s="832"/>
      <c r="I69" s="833" t="s">
        <v>75</v>
      </c>
    </row>
    <row r="70" spans="1:10">
      <c r="A70" s="818"/>
      <c r="B70" s="831">
        <v>5</v>
      </c>
      <c r="C70" s="829">
        <v>1.5</v>
      </c>
      <c r="D70" s="832"/>
      <c r="E70" s="831" t="s">
        <v>69</v>
      </c>
      <c r="F70" s="831"/>
      <c r="G70" s="829">
        <v>2.73</v>
      </c>
      <c r="H70" s="832">
        <f>(G69*G70*F69)</f>
        <v>100.73699999999999</v>
      </c>
      <c r="I70" s="833"/>
    </row>
    <row r="71" spans="1:10">
      <c r="A71" s="818"/>
      <c r="B71" s="831"/>
      <c r="C71" s="829">
        <v>1.73</v>
      </c>
      <c r="D71" s="832">
        <f>-C71*C70*B70</f>
        <v>-12.974999999999998</v>
      </c>
      <c r="E71" s="831"/>
      <c r="F71" s="831"/>
      <c r="G71" s="829"/>
      <c r="H71" s="832"/>
      <c r="I71" s="833"/>
    </row>
    <row r="72" spans="1:10">
      <c r="A72" s="818"/>
      <c r="B72" s="831"/>
      <c r="C72" s="829"/>
      <c r="D72" s="832"/>
      <c r="E72" s="831"/>
      <c r="F72" s="831">
        <v>3</v>
      </c>
      <c r="G72" s="829">
        <v>3.5</v>
      </c>
      <c r="H72" s="832"/>
      <c r="I72" s="833" t="s">
        <v>77</v>
      </c>
    </row>
    <row r="73" spans="1:10">
      <c r="A73" s="818"/>
      <c r="B73" s="831">
        <v>3</v>
      </c>
      <c r="C73" s="829">
        <v>1.3</v>
      </c>
      <c r="D73" s="832"/>
      <c r="E73" s="831" t="s">
        <v>71</v>
      </c>
      <c r="F73" s="831"/>
      <c r="G73" s="829">
        <v>2.73</v>
      </c>
      <c r="H73" s="832">
        <f>-(G72*G73*F72)</f>
        <v>-28.664999999999999</v>
      </c>
      <c r="I73" s="833"/>
    </row>
    <row r="74" spans="1:10">
      <c r="A74" s="818"/>
      <c r="B74" s="831"/>
      <c r="C74" s="829">
        <v>1.73</v>
      </c>
      <c r="D74" s="832">
        <f>-C74*C73*B73</f>
        <v>-6.7469999999999999</v>
      </c>
      <c r="E74" s="831"/>
      <c r="F74" s="831"/>
      <c r="G74" s="829"/>
      <c r="H74" s="832"/>
      <c r="I74" s="833"/>
    </row>
    <row r="75" spans="1:10">
      <c r="A75" s="818"/>
      <c r="B75" s="831"/>
      <c r="C75" s="829"/>
      <c r="D75" s="832"/>
      <c r="E75" s="831"/>
      <c r="F75" s="831">
        <v>2</v>
      </c>
      <c r="G75" s="829">
        <v>3.4</v>
      </c>
      <c r="H75" s="832"/>
      <c r="I75" s="833" t="s">
        <v>78</v>
      </c>
    </row>
    <row r="76" spans="1:10">
      <c r="A76" s="818"/>
      <c r="B76" s="831">
        <v>1</v>
      </c>
      <c r="C76" s="829">
        <v>0.75</v>
      </c>
      <c r="D76" s="832"/>
      <c r="E76" s="831" t="s">
        <v>73</v>
      </c>
      <c r="F76" s="831"/>
      <c r="G76" s="829">
        <v>2.73</v>
      </c>
      <c r="H76" s="832">
        <f>-(G75*G76*F75)</f>
        <v>-18.564</v>
      </c>
      <c r="I76" s="833"/>
    </row>
    <row r="77" spans="1:10">
      <c r="A77" s="818"/>
      <c r="B77" s="831"/>
      <c r="C77" s="829">
        <v>1.73</v>
      </c>
      <c r="D77" s="832">
        <f>-C77*C76*B76</f>
        <v>-1.2974999999999999</v>
      </c>
      <c r="E77" s="831"/>
      <c r="F77" s="831"/>
      <c r="G77" s="829"/>
      <c r="H77" s="832"/>
      <c r="I77" s="833"/>
    </row>
    <row r="78" spans="1:10">
      <c r="A78" s="818"/>
      <c r="B78" s="831"/>
      <c r="C78" s="829"/>
      <c r="D78" s="832"/>
      <c r="E78" s="831"/>
      <c r="F78" s="831">
        <v>3</v>
      </c>
      <c r="G78" s="829">
        <v>1.5</v>
      </c>
      <c r="H78" s="832"/>
      <c r="I78" s="833" t="s">
        <v>79</v>
      </c>
    </row>
    <row r="79" spans="1:10">
      <c r="A79" s="818"/>
      <c r="B79" s="831">
        <v>1</v>
      </c>
      <c r="C79" s="829">
        <v>0.9</v>
      </c>
      <c r="D79" s="832"/>
      <c r="E79" s="831" t="s">
        <v>74</v>
      </c>
      <c r="F79" s="831"/>
      <c r="G79" s="829">
        <v>1.73</v>
      </c>
      <c r="H79" s="832">
        <f>-(G78*G79*F78)</f>
        <v>-7.7849999999999993</v>
      </c>
      <c r="I79" s="833"/>
      <c r="J79" s="818"/>
    </row>
    <row r="80" spans="1:10">
      <c r="A80" s="818"/>
      <c r="B80" s="831"/>
      <c r="C80" s="829">
        <v>0.6</v>
      </c>
      <c r="D80" s="832">
        <f>-C80*C79*B79</f>
        <v>-0.54</v>
      </c>
      <c r="E80" s="831"/>
      <c r="F80" s="831"/>
      <c r="G80" s="829"/>
      <c r="H80" s="832"/>
      <c r="I80" s="833"/>
      <c r="J80" s="818"/>
    </row>
    <row r="81" spans="1:10">
      <c r="A81" s="818"/>
      <c r="B81" s="831"/>
      <c r="C81" s="829"/>
      <c r="D81" s="832"/>
      <c r="E81" s="831"/>
      <c r="F81" s="831">
        <v>5</v>
      </c>
      <c r="G81" s="829">
        <v>2.5</v>
      </c>
      <c r="H81" s="832"/>
      <c r="I81" s="833" t="s">
        <v>82</v>
      </c>
      <c r="J81" s="818"/>
    </row>
    <row r="82" spans="1:10">
      <c r="A82" s="818"/>
      <c r="B82" s="831">
        <v>2</v>
      </c>
      <c r="C82" s="829">
        <v>1.3</v>
      </c>
      <c r="D82" s="832"/>
      <c r="E82" s="831" t="s">
        <v>76</v>
      </c>
      <c r="F82" s="831"/>
      <c r="G82" s="829">
        <v>2.73</v>
      </c>
      <c r="H82" s="832">
        <f>(G81*G82*F81)</f>
        <v>34.125</v>
      </c>
      <c r="I82" s="833" t="s">
        <v>84</v>
      </c>
      <c r="J82" s="818"/>
    </row>
    <row r="83" spans="1:10">
      <c r="A83" s="818"/>
      <c r="B83" s="831"/>
      <c r="C83" s="829">
        <v>0.6</v>
      </c>
      <c r="D83" s="832">
        <f>-C83*C82*B82</f>
        <v>-1.56</v>
      </c>
      <c r="E83" s="831"/>
      <c r="F83" s="831"/>
      <c r="G83" s="829"/>
      <c r="H83" s="832"/>
      <c r="I83" s="833"/>
      <c r="J83" s="818"/>
    </row>
    <row r="84" spans="1:10">
      <c r="A84" s="818"/>
      <c r="B84" s="831"/>
      <c r="C84" s="829"/>
      <c r="D84" s="832"/>
      <c r="E84" s="831"/>
      <c r="F84" s="831">
        <v>5</v>
      </c>
      <c r="G84" s="829">
        <v>1.3</v>
      </c>
      <c r="H84" s="832"/>
      <c r="I84" s="833" t="s">
        <v>85</v>
      </c>
      <c r="J84" s="818"/>
    </row>
    <row r="85" spans="1:10">
      <c r="A85" s="818"/>
      <c r="B85" s="831">
        <v>1</v>
      </c>
      <c r="C85" s="829">
        <v>6</v>
      </c>
      <c r="D85" s="832"/>
      <c r="E85" s="831" t="s">
        <v>54</v>
      </c>
      <c r="F85" s="831"/>
      <c r="G85" s="829">
        <v>0.6</v>
      </c>
      <c r="H85" s="832">
        <f>-(G84*G85*F84)</f>
        <v>-3.9000000000000004</v>
      </c>
      <c r="I85" s="833"/>
      <c r="J85" s="818"/>
    </row>
    <row r="86" spans="1:10">
      <c r="A86" s="818"/>
      <c r="B86" s="831"/>
      <c r="C86" s="829">
        <v>0.6</v>
      </c>
      <c r="D86" s="832">
        <f>-C86*C85*B85</f>
        <v>-3.5999999999999996</v>
      </c>
      <c r="E86" s="831"/>
      <c r="F86" s="831"/>
      <c r="G86" s="829"/>
      <c r="H86" s="832"/>
      <c r="I86" s="833"/>
      <c r="J86" s="818"/>
    </row>
    <row r="87" spans="1:10">
      <c r="A87" s="818"/>
      <c r="B87" s="831"/>
      <c r="C87" s="829"/>
      <c r="D87" s="832"/>
      <c r="E87" s="831"/>
      <c r="F87" s="831">
        <v>1</v>
      </c>
      <c r="G87" s="829">
        <v>17.55</v>
      </c>
      <c r="H87" s="832"/>
      <c r="I87" s="833" t="s">
        <v>87</v>
      </c>
      <c r="J87" s="818"/>
    </row>
    <row r="88" spans="1:10">
      <c r="A88" s="818"/>
      <c r="B88" s="831">
        <v>1</v>
      </c>
      <c r="C88" s="829">
        <v>1.2</v>
      </c>
      <c r="D88" s="832"/>
      <c r="E88" s="831" t="s">
        <v>55</v>
      </c>
      <c r="F88" s="831"/>
      <c r="G88" s="829">
        <v>2.73</v>
      </c>
      <c r="H88" s="832">
        <f>(G87*G88*F87)</f>
        <v>47.911500000000004</v>
      </c>
      <c r="I88" s="833"/>
      <c r="J88" s="818"/>
    </row>
    <row r="89" spans="1:10">
      <c r="A89" s="818"/>
      <c r="B89" s="831"/>
      <c r="C89" s="829">
        <v>1.73</v>
      </c>
      <c r="D89" s="832">
        <f>-C89*C88*B88</f>
        <v>-2.0760000000000001</v>
      </c>
      <c r="E89" s="831"/>
      <c r="F89" s="831"/>
      <c r="G89" s="829"/>
      <c r="H89" s="832"/>
      <c r="I89" s="833"/>
      <c r="J89" s="818"/>
    </row>
    <row r="90" spans="1:10">
      <c r="A90" s="818"/>
      <c r="B90" s="831"/>
      <c r="C90" s="829"/>
      <c r="D90" s="832"/>
      <c r="E90" s="831"/>
      <c r="F90" s="831">
        <v>1</v>
      </c>
      <c r="G90" s="829">
        <v>2.5</v>
      </c>
      <c r="H90" s="832"/>
      <c r="I90" s="833" t="s">
        <v>62</v>
      </c>
      <c r="J90" s="818"/>
    </row>
    <row r="91" spans="1:10">
      <c r="A91" s="818"/>
      <c r="B91" s="831">
        <v>1</v>
      </c>
      <c r="C91" s="829">
        <v>2.2999999999999998</v>
      </c>
      <c r="D91" s="832"/>
      <c r="E91" s="831" t="s">
        <v>56</v>
      </c>
      <c r="F91" s="831"/>
      <c r="G91" s="829">
        <v>2.73</v>
      </c>
      <c r="H91" s="832">
        <f>-(G90*G91*F90)</f>
        <v>-6.8250000000000002</v>
      </c>
      <c r="I91" s="833"/>
      <c r="J91" s="818"/>
    </row>
    <row r="92" spans="1:10">
      <c r="A92" s="818"/>
      <c r="B92" s="831"/>
      <c r="C92" s="829">
        <v>2.73</v>
      </c>
      <c r="D92" s="832">
        <f>C92*C91*B91</f>
        <v>6.2789999999999999</v>
      </c>
      <c r="E92" s="831"/>
      <c r="F92" s="831"/>
      <c r="G92" s="829"/>
      <c r="H92" s="832"/>
      <c r="I92" s="833"/>
      <c r="J92" s="818"/>
    </row>
    <row r="93" spans="1:10">
      <c r="A93" s="818"/>
      <c r="B93" s="831"/>
      <c r="C93" s="829"/>
      <c r="D93" s="832"/>
      <c r="E93" s="831"/>
      <c r="F93" s="831">
        <v>1</v>
      </c>
      <c r="G93" s="829">
        <v>1.5</v>
      </c>
      <c r="H93" s="832"/>
      <c r="I93" s="833" t="s">
        <v>90</v>
      </c>
      <c r="J93" s="818"/>
    </row>
    <row r="94" spans="1:10">
      <c r="A94" s="818"/>
      <c r="B94" s="831">
        <v>1</v>
      </c>
      <c r="C94" s="829">
        <v>30.95</v>
      </c>
      <c r="D94" s="832"/>
      <c r="E94" s="831" t="s">
        <v>57</v>
      </c>
      <c r="F94" s="831"/>
      <c r="G94" s="829">
        <v>1.73</v>
      </c>
      <c r="H94" s="832">
        <f>-(G93*G94*F93)</f>
        <v>-2.5949999999999998</v>
      </c>
      <c r="I94" s="833"/>
      <c r="J94" s="818"/>
    </row>
    <row r="95" spans="1:10">
      <c r="A95" s="818"/>
      <c r="B95" s="831"/>
      <c r="C95" s="829">
        <v>2.73</v>
      </c>
      <c r="D95" s="832">
        <f>C95*C94*B94</f>
        <v>84.493499999999997</v>
      </c>
      <c r="E95" s="831"/>
      <c r="F95" s="831"/>
      <c r="G95" s="829"/>
      <c r="H95" s="832"/>
      <c r="I95" s="833"/>
      <c r="J95" s="818"/>
    </row>
    <row r="96" spans="1:10">
      <c r="A96" s="818"/>
      <c r="B96" s="831"/>
      <c r="C96" s="829"/>
      <c r="D96" s="832"/>
      <c r="E96" s="831"/>
      <c r="F96" s="831">
        <v>7</v>
      </c>
      <c r="G96" s="829">
        <v>2</v>
      </c>
      <c r="H96" s="832"/>
      <c r="I96" s="833" t="s">
        <v>91</v>
      </c>
      <c r="J96" s="818"/>
    </row>
    <row r="97" spans="1:10">
      <c r="A97" s="818"/>
      <c r="B97" s="831">
        <v>4</v>
      </c>
      <c r="C97" s="829">
        <v>0.8</v>
      </c>
      <c r="D97" s="832"/>
      <c r="E97" s="831" t="s">
        <v>58</v>
      </c>
      <c r="F97" s="831"/>
      <c r="G97" s="829">
        <v>3.06</v>
      </c>
      <c r="H97" s="832">
        <f>(G96*G97*F96)</f>
        <v>42.84</v>
      </c>
      <c r="I97" s="833"/>
      <c r="J97" s="818"/>
    </row>
    <row r="98" spans="1:10">
      <c r="A98" s="818"/>
      <c r="B98" s="831"/>
      <c r="C98" s="829">
        <v>2.73</v>
      </c>
      <c r="D98" s="832">
        <f>-C98*C97*B97</f>
        <v>-8.7360000000000007</v>
      </c>
      <c r="E98" s="831"/>
      <c r="F98" s="831"/>
      <c r="G98" s="829"/>
      <c r="H98" s="832"/>
      <c r="I98" s="833"/>
      <c r="J98" s="818"/>
    </row>
    <row r="99" spans="1:10">
      <c r="A99" s="818"/>
      <c r="B99" s="831"/>
      <c r="C99" s="829"/>
      <c r="D99" s="832"/>
      <c r="E99" s="831"/>
      <c r="F99" s="831">
        <v>5</v>
      </c>
      <c r="G99" s="829">
        <v>0.8</v>
      </c>
      <c r="H99" s="832"/>
      <c r="I99" s="833" t="s">
        <v>28</v>
      </c>
      <c r="J99" s="818"/>
    </row>
    <row r="100" spans="1:10">
      <c r="A100" s="818"/>
      <c r="B100" s="831">
        <v>3</v>
      </c>
      <c r="C100" s="829">
        <v>0.9</v>
      </c>
      <c r="D100" s="832"/>
      <c r="E100" s="831" t="s">
        <v>59</v>
      </c>
      <c r="F100" s="831"/>
      <c r="G100" s="829">
        <v>2.73</v>
      </c>
      <c r="H100" s="832">
        <f>-(G99*G100*F99)</f>
        <v>-10.920000000000002</v>
      </c>
      <c r="I100" s="833"/>
      <c r="J100" s="818"/>
    </row>
    <row r="101" spans="1:10">
      <c r="A101" s="818"/>
      <c r="B101" s="831"/>
      <c r="C101" s="829">
        <v>2.73</v>
      </c>
      <c r="D101" s="832">
        <f>-C101*C100*B100</f>
        <v>-7.3709999999999996</v>
      </c>
      <c r="E101" s="831"/>
      <c r="F101" s="831"/>
      <c r="G101" s="829"/>
      <c r="H101" s="832"/>
      <c r="I101" s="833" t="s">
        <v>94</v>
      </c>
      <c r="J101" s="818"/>
    </row>
    <row r="102" spans="1:10">
      <c r="A102" s="818"/>
      <c r="B102" s="831"/>
      <c r="C102" s="829"/>
      <c r="D102" s="832"/>
      <c r="E102" s="831"/>
      <c r="F102" s="831">
        <v>4</v>
      </c>
      <c r="G102" s="829">
        <v>5.85</v>
      </c>
      <c r="H102" s="832"/>
      <c r="I102" s="833" t="s">
        <v>96</v>
      </c>
      <c r="J102" s="818"/>
    </row>
    <row r="103" spans="1:10">
      <c r="A103" s="818"/>
      <c r="B103" s="831">
        <v>1</v>
      </c>
      <c r="C103" s="829">
        <v>1.3</v>
      </c>
      <c r="D103" s="832"/>
      <c r="E103" s="831"/>
      <c r="F103" s="831"/>
      <c r="G103" s="829">
        <v>3.06</v>
      </c>
      <c r="H103" s="832">
        <f>(G102*G103*F102)</f>
        <v>71.603999999999999</v>
      </c>
      <c r="I103" s="833">
        <f>'IPD Super TOS'!H232</f>
        <v>260.51100000000002</v>
      </c>
      <c r="J103" s="818">
        <f>G103*I103</f>
        <v>797.16366000000005</v>
      </c>
    </row>
    <row r="104" spans="1:10">
      <c r="A104" s="818"/>
      <c r="B104" s="831"/>
      <c r="C104" s="829">
        <v>2.73</v>
      </c>
      <c r="D104" s="832">
        <f>-C104*C103*B103</f>
        <v>-3.5489999999999999</v>
      </c>
      <c r="E104" s="831" t="s">
        <v>60</v>
      </c>
      <c r="F104" s="831"/>
      <c r="G104" s="829"/>
      <c r="H104" s="832"/>
      <c r="I104" s="833">
        <f>'IPD Super TOS'!D432</f>
        <v>1502.5857000000001</v>
      </c>
      <c r="J104" s="818"/>
    </row>
    <row r="105" spans="1:10">
      <c r="A105" s="818"/>
      <c r="B105" s="831"/>
      <c r="C105" s="829"/>
      <c r="D105" s="832"/>
      <c r="E105" s="831"/>
      <c r="F105" s="831">
        <v>2</v>
      </c>
      <c r="G105" s="829">
        <v>0.9</v>
      </c>
      <c r="H105" s="832"/>
      <c r="I105" s="833">
        <f>'IPD Super TOS'!D472</f>
        <v>638.22700000000009</v>
      </c>
      <c r="J105" s="818"/>
    </row>
    <row r="106" spans="1:10">
      <c r="A106" s="818"/>
      <c r="B106" s="831">
        <v>1</v>
      </c>
      <c r="C106" s="829">
        <v>1.85</v>
      </c>
      <c r="D106" s="832"/>
      <c r="E106" s="831"/>
      <c r="F106" s="831"/>
      <c r="G106" s="829">
        <v>2.73</v>
      </c>
      <c r="H106" s="832">
        <f>-(G105*G106*F105)</f>
        <v>-4.9139999999999997</v>
      </c>
      <c r="I106" s="833">
        <f>'IPD Super TOS'!D493</f>
        <v>39.03</v>
      </c>
      <c r="J106" s="818"/>
    </row>
    <row r="107" spans="1:10">
      <c r="A107" s="818"/>
      <c r="B107" s="831"/>
      <c r="C107" s="829">
        <v>2.73</v>
      </c>
      <c r="D107" s="832">
        <f>-C107*C106*B106</f>
        <v>-5.0505000000000004</v>
      </c>
      <c r="E107" s="831" t="s">
        <v>62</v>
      </c>
      <c r="F107" s="831"/>
      <c r="G107" s="829"/>
      <c r="H107" s="832"/>
      <c r="I107" s="833">
        <f>'IPD Super TOS'!D559</f>
        <v>624.36699999999996</v>
      </c>
      <c r="J107" s="818"/>
    </row>
    <row r="108" spans="1:10">
      <c r="A108" s="818"/>
      <c r="B108" s="831"/>
      <c r="C108" s="829"/>
      <c r="D108" s="832"/>
      <c r="E108" s="831" t="s">
        <v>63</v>
      </c>
      <c r="F108" s="831">
        <v>1</v>
      </c>
      <c r="G108" s="829">
        <v>5.85</v>
      </c>
      <c r="H108" s="832"/>
      <c r="I108" s="833">
        <f ca="1">'IPD Super TOS'!D581</f>
        <v>323.90999999999997</v>
      </c>
      <c r="J108" s="818"/>
    </row>
    <row r="109" spans="1:10">
      <c r="A109" s="818"/>
      <c r="B109" s="831">
        <v>3</v>
      </c>
      <c r="C109" s="829">
        <v>4.7</v>
      </c>
      <c r="D109" s="832"/>
      <c r="E109" s="831" t="s">
        <v>64</v>
      </c>
      <c r="F109" s="831"/>
      <c r="G109" s="829">
        <v>2.73</v>
      </c>
      <c r="H109" s="832">
        <f>(G108*G109*F108)</f>
        <v>15.970499999999999</v>
      </c>
      <c r="I109" s="833">
        <f>'IPD Super TOS'!D597</f>
        <v>42.45</v>
      </c>
      <c r="J109" s="818"/>
    </row>
    <row r="110" spans="1:10">
      <c r="A110" s="818"/>
      <c r="B110" s="831"/>
      <c r="C110" s="829">
        <v>1</v>
      </c>
      <c r="D110" s="832">
        <f>C110*C109*B109</f>
        <v>14.100000000000001</v>
      </c>
      <c r="E110" s="831"/>
      <c r="F110" s="831"/>
      <c r="G110" s="829"/>
      <c r="H110" s="832"/>
      <c r="I110" s="833"/>
      <c r="J110" s="818"/>
    </row>
    <row r="111" spans="1:10">
      <c r="A111" s="818"/>
      <c r="B111" s="831"/>
      <c r="C111" s="829"/>
      <c r="D111" s="832"/>
      <c r="E111" s="831"/>
      <c r="F111" s="831">
        <v>2</v>
      </c>
      <c r="G111" s="829">
        <v>1</v>
      </c>
      <c r="H111" s="832"/>
      <c r="I111" s="833">
        <f ca="1">'IPD Super TOS'!D604</f>
        <v>70.08</v>
      </c>
      <c r="J111" s="818"/>
    </row>
    <row r="112" spans="1:10">
      <c r="A112" s="818"/>
      <c r="B112" s="831">
        <v>2</v>
      </c>
      <c r="C112" s="829">
        <v>4.7</v>
      </c>
      <c r="D112" s="832"/>
      <c r="E112" s="831" t="s">
        <v>67</v>
      </c>
      <c r="F112" s="831"/>
      <c r="G112" s="829">
        <v>2.73</v>
      </c>
      <c r="H112" s="832">
        <f>-(G111*G112*F111)</f>
        <v>-5.46</v>
      </c>
      <c r="I112" s="833">
        <f ca="1">'IPD Super TOS'!D611</f>
        <v>101.15</v>
      </c>
      <c r="J112" s="818"/>
    </row>
    <row r="113" spans="1:10">
      <c r="A113" s="818"/>
      <c r="B113" s="831"/>
      <c r="C113" s="829">
        <v>1</v>
      </c>
      <c r="D113" s="832">
        <f>C113*C112*B112</f>
        <v>9.4</v>
      </c>
      <c r="E113" s="831"/>
      <c r="F113" s="831"/>
      <c r="G113" s="829"/>
      <c r="H113" s="832"/>
      <c r="I113" s="833">
        <f ca="1">'IPD Super TOS'!D617</f>
        <v>44.5</v>
      </c>
      <c r="J113" s="818"/>
    </row>
    <row r="114" spans="1:10">
      <c r="A114" s="818"/>
      <c r="B114" s="989"/>
      <c r="C114" s="990"/>
      <c r="D114" s="991"/>
      <c r="E114" s="989"/>
      <c r="F114" s="989">
        <v>1</v>
      </c>
      <c r="G114" s="990">
        <v>7.2</v>
      </c>
      <c r="H114" s="991">
        <f>SUM(H103:H113)</f>
        <v>77.200500000000005</v>
      </c>
      <c r="I114" s="992" t="s">
        <v>102</v>
      </c>
      <c r="J114" s="993">
        <f>SUM(J103:J113)</f>
        <v>797.16366000000005</v>
      </c>
    </row>
    <row r="115" spans="1:10" s="998" customFormat="1">
      <c r="A115" s="994"/>
      <c r="B115" s="995">
        <v>1</v>
      </c>
      <c r="C115" s="996">
        <v>2.5</v>
      </c>
      <c r="D115" s="996"/>
      <c r="E115" s="995" t="s">
        <v>70</v>
      </c>
      <c r="F115" s="995"/>
      <c r="G115" s="996">
        <v>2.73</v>
      </c>
      <c r="H115" s="996">
        <f>(G114*G115*F114)</f>
        <v>19.655999999999999</v>
      </c>
      <c r="I115" s="997"/>
      <c r="J115" s="994"/>
    </row>
    <row r="116" spans="1:10" s="998" customFormat="1">
      <c r="A116" s="994"/>
      <c r="B116" s="995"/>
      <c r="C116" s="996">
        <v>2.73</v>
      </c>
      <c r="D116" s="996">
        <f>C116*C115*B115</f>
        <v>6.8250000000000002</v>
      </c>
      <c r="E116" s="995"/>
      <c r="F116" s="995"/>
      <c r="G116" s="996"/>
      <c r="H116" s="996"/>
      <c r="I116" s="997"/>
      <c r="J116" s="994"/>
    </row>
    <row r="117" spans="1:10" s="998" customFormat="1">
      <c r="A117" s="994"/>
      <c r="B117" s="999"/>
      <c r="C117" s="1000"/>
      <c r="D117" s="1000"/>
      <c r="E117" s="999"/>
      <c r="F117" s="999"/>
      <c r="G117" s="1000"/>
      <c r="H117" s="1000"/>
      <c r="I117" s="1001"/>
      <c r="J117" s="994"/>
    </row>
    <row r="118" spans="1:10" s="998" customFormat="1">
      <c r="A118" s="1002"/>
      <c r="B118" s="1003" t="s">
        <v>1884</v>
      </c>
      <c r="C118" s="1004" t="s">
        <v>526</v>
      </c>
      <c r="D118" s="1005" t="s">
        <v>1885</v>
      </c>
      <c r="E118" s="1004" t="s">
        <v>1886</v>
      </c>
      <c r="F118" s="1003" t="s">
        <v>1884</v>
      </c>
      <c r="G118" s="1004" t="s">
        <v>526</v>
      </c>
      <c r="H118" s="1005" t="s">
        <v>1885</v>
      </c>
      <c r="I118" s="1004"/>
      <c r="J118" s="1002"/>
    </row>
    <row r="119" spans="1:10">
      <c r="A119" s="818"/>
      <c r="B119" s="989">
        <v>1</v>
      </c>
      <c r="C119" s="990">
        <v>17.55</v>
      </c>
      <c r="D119" s="991"/>
      <c r="E119" s="989" t="s">
        <v>103</v>
      </c>
      <c r="F119" s="989">
        <v>1</v>
      </c>
      <c r="G119" s="990">
        <v>19.309999999999999</v>
      </c>
      <c r="H119" s="991"/>
      <c r="I119" s="992" t="s">
        <v>111</v>
      </c>
      <c r="J119" s="993"/>
    </row>
    <row r="120" spans="1:10">
      <c r="A120" s="818"/>
      <c r="B120" s="831"/>
      <c r="C120" s="829">
        <v>2.73</v>
      </c>
      <c r="D120" s="832">
        <f>(C119*C120*B119)</f>
        <v>47.911500000000004</v>
      </c>
      <c r="E120" s="831"/>
      <c r="F120" s="831"/>
      <c r="G120" s="829">
        <v>3.06</v>
      </c>
      <c r="H120" s="832">
        <f>(G119*G120*F119)</f>
        <v>59.0886</v>
      </c>
      <c r="I120" s="833"/>
    </row>
    <row r="121" spans="1:10">
      <c r="A121" s="818"/>
      <c r="B121" s="831"/>
      <c r="C121" s="829"/>
      <c r="D121" s="832"/>
      <c r="E121" s="831"/>
      <c r="F121" s="831"/>
      <c r="G121" s="829"/>
      <c r="H121" s="832"/>
      <c r="I121" s="833"/>
    </row>
    <row r="122" spans="1:10">
      <c r="A122" s="818"/>
      <c r="B122" s="831">
        <v>3</v>
      </c>
      <c r="C122" s="829">
        <v>1.5</v>
      </c>
      <c r="D122" s="832"/>
      <c r="E122" s="831" t="s">
        <v>79</v>
      </c>
      <c r="F122" s="831">
        <v>3</v>
      </c>
      <c r="G122" s="829">
        <v>0.8</v>
      </c>
      <c r="H122" s="832"/>
      <c r="I122" s="833" t="s">
        <v>113</v>
      </c>
    </row>
    <row r="123" spans="1:10">
      <c r="A123" s="818"/>
      <c r="B123" s="831"/>
      <c r="C123" s="829">
        <v>1.73</v>
      </c>
      <c r="D123" s="832">
        <f>-(C122*C123*B122)</f>
        <v>-7.7849999999999993</v>
      </c>
      <c r="E123" s="831"/>
      <c r="F123" s="831"/>
      <c r="G123" s="829">
        <v>2.73</v>
      </c>
      <c r="H123" s="832">
        <f>-(G122*G123*F122)</f>
        <v>-6.5520000000000005</v>
      </c>
      <c r="I123" s="833"/>
    </row>
    <row r="124" spans="1:10">
      <c r="A124" s="818"/>
      <c r="B124" s="989"/>
      <c r="C124" s="990"/>
      <c r="D124" s="991"/>
      <c r="E124" s="989" t="s">
        <v>80</v>
      </c>
      <c r="F124" s="989"/>
      <c r="G124" s="990"/>
      <c r="H124" s="991"/>
      <c r="I124" s="992" t="s">
        <v>99</v>
      </c>
      <c r="J124" s="993"/>
    </row>
    <row r="125" spans="1:10">
      <c r="A125" s="818"/>
      <c r="B125" s="831">
        <v>2</v>
      </c>
      <c r="C125" s="829">
        <v>18.55</v>
      </c>
      <c r="D125" s="832"/>
      <c r="E125" s="831" t="s">
        <v>81</v>
      </c>
      <c r="F125" s="831">
        <v>2</v>
      </c>
      <c r="G125" s="829">
        <v>0.7</v>
      </c>
      <c r="H125" s="832"/>
      <c r="I125" s="833"/>
    </row>
    <row r="126" spans="1:10">
      <c r="A126" s="818"/>
      <c r="B126" s="831"/>
      <c r="C126" s="829">
        <v>1.2</v>
      </c>
      <c r="D126" s="832">
        <f>(C125*C126*B125)</f>
        <v>44.52</v>
      </c>
      <c r="E126" s="831"/>
      <c r="F126" s="831"/>
      <c r="G126" s="829">
        <v>2.73</v>
      </c>
      <c r="H126" s="832">
        <f>-(G125*G126*F125)</f>
        <v>-3.8219999999999996</v>
      </c>
      <c r="I126" s="833"/>
    </row>
    <row r="127" spans="1:10">
      <c r="A127" s="818"/>
      <c r="B127" s="831"/>
      <c r="C127" s="829"/>
      <c r="D127" s="832"/>
      <c r="E127" s="831"/>
      <c r="F127" s="831"/>
      <c r="G127" s="829"/>
      <c r="H127" s="832"/>
      <c r="I127" s="833"/>
    </row>
    <row r="128" spans="1:10">
      <c r="A128" s="818"/>
      <c r="B128" s="831">
        <v>2</v>
      </c>
      <c r="C128" s="829">
        <v>38.5</v>
      </c>
      <c r="D128" s="832"/>
      <c r="E128" s="831" t="s">
        <v>83</v>
      </c>
      <c r="F128" s="839"/>
      <c r="G128" s="839"/>
      <c r="H128" s="838">
        <f>SUM(D135:D172)+SUM(H120:H126)</f>
        <v>314.18760000000003</v>
      </c>
      <c r="I128" s="845" t="s">
        <v>2123</v>
      </c>
    </row>
    <row r="129" spans="1:10">
      <c r="A129" s="818"/>
      <c r="B129" s="831"/>
      <c r="C129" s="829">
        <v>0.2</v>
      </c>
      <c r="D129" s="832">
        <f>(C128*C129*B128)</f>
        <v>15.4</v>
      </c>
      <c r="E129" s="831"/>
      <c r="F129" s="831"/>
      <c r="G129" s="829"/>
      <c r="H129" s="832"/>
      <c r="I129" s="844"/>
    </row>
    <row r="130" spans="1:10">
      <c r="A130" s="818"/>
      <c r="B130" s="831"/>
      <c r="C130" s="829"/>
      <c r="D130" s="832"/>
      <c r="E130" s="831"/>
      <c r="F130" s="831"/>
      <c r="G130" s="829"/>
      <c r="H130" s="832"/>
      <c r="I130" s="844">
        <f>'IPD Super TOS'!H577</f>
        <v>119.08</v>
      </c>
    </row>
    <row r="131" spans="1:10">
      <c r="A131" s="818"/>
      <c r="B131" s="839"/>
      <c r="C131" s="839"/>
      <c r="D131" s="838">
        <f>SUM(D120:D130)+SUM(H63:H116)+SUM(D68:D116)</f>
        <v>594.52850000000001</v>
      </c>
      <c r="E131" s="845" t="s">
        <v>2122</v>
      </c>
      <c r="F131" s="831"/>
      <c r="G131" s="829"/>
      <c r="H131" s="832"/>
      <c r="I131" s="844">
        <f>'IPD Super TOS'!H589</f>
        <v>32.03</v>
      </c>
    </row>
    <row r="132" spans="1:10">
      <c r="A132" s="818"/>
      <c r="B132" s="831"/>
      <c r="C132" s="829"/>
      <c r="D132" s="832"/>
      <c r="E132" s="831"/>
      <c r="F132" s="831">
        <v>1</v>
      </c>
      <c r="G132" s="829">
        <v>39.700000000000003</v>
      </c>
      <c r="H132" s="832"/>
      <c r="I132" s="833">
        <f>'IPD Super TOS'!H589</f>
        <v>32.03</v>
      </c>
    </row>
    <row r="133" spans="1:10">
      <c r="A133" s="818"/>
      <c r="B133" s="831"/>
      <c r="C133" s="829"/>
      <c r="D133" s="832"/>
      <c r="E133" s="831" t="s">
        <v>86</v>
      </c>
      <c r="F133" s="831"/>
      <c r="G133" s="829">
        <v>19.899999999999999</v>
      </c>
      <c r="H133" s="832">
        <f>G132*G133*F132</f>
        <v>790.03</v>
      </c>
      <c r="I133" s="833" t="s">
        <v>127</v>
      </c>
    </row>
    <row r="134" spans="1:10">
      <c r="A134" s="818"/>
      <c r="B134" s="831">
        <v>5</v>
      </c>
      <c r="C134" s="829">
        <v>7.2</v>
      </c>
      <c r="D134" s="832"/>
      <c r="E134" s="831" t="s">
        <v>88</v>
      </c>
      <c r="F134" s="831"/>
      <c r="G134" s="829"/>
      <c r="H134" s="832"/>
      <c r="I134" s="833"/>
    </row>
    <row r="135" spans="1:10">
      <c r="A135" s="818"/>
      <c r="B135" s="831"/>
      <c r="C135" s="829">
        <v>2.73</v>
      </c>
      <c r="D135" s="832">
        <f>(C134*C135*B134)</f>
        <v>98.28</v>
      </c>
      <c r="E135" s="831"/>
      <c r="F135" s="839"/>
      <c r="G135" s="839"/>
      <c r="H135" s="838">
        <f>H133</f>
        <v>790.03</v>
      </c>
      <c r="I135" s="845" t="s">
        <v>2124</v>
      </c>
      <c r="J135" s="818"/>
    </row>
    <row r="136" spans="1:10">
      <c r="A136" s="818"/>
      <c r="B136" s="831"/>
      <c r="C136" s="829"/>
      <c r="D136" s="832"/>
      <c r="E136" s="831"/>
      <c r="F136" s="831"/>
      <c r="G136" s="829"/>
      <c r="H136" s="832"/>
      <c r="I136" s="833"/>
      <c r="J136" s="818"/>
    </row>
    <row r="137" spans="1:10">
      <c r="A137" s="818"/>
      <c r="B137" s="831">
        <v>1</v>
      </c>
      <c r="C137" s="829">
        <v>7.2</v>
      </c>
      <c r="D137" s="832"/>
      <c r="E137" s="831" t="s">
        <v>89</v>
      </c>
      <c r="F137" s="831"/>
      <c r="G137" s="829"/>
      <c r="H137" s="832"/>
      <c r="I137" s="844"/>
      <c r="J137" s="818"/>
    </row>
    <row r="138" spans="1:10">
      <c r="A138" s="818"/>
      <c r="B138" s="831"/>
      <c r="C138" s="829">
        <v>3.06</v>
      </c>
      <c r="D138" s="832">
        <f>(C137*C138*B137)</f>
        <v>22.032</v>
      </c>
      <c r="E138" s="831"/>
      <c r="F138" s="831">
        <v>4</v>
      </c>
      <c r="G138" s="829">
        <v>10.02</v>
      </c>
      <c r="H138" s="832"/>
      <c r="I138" s="833">
        <f>'IPD Super TOS'!H609</f>
        <v>24</v>
      </c>
      <c r="J138" s="818"/>
    </row>
    <row r="139" spans="1:10">
      <c r="A139" s="818"/>
      <c r="B139" s="831"/>
      <c r="C139" s="829"/>
      <c r="D139" s="832"/>
      <c r="E139" s="831"/>
      <c r="F139" s="831"/>
      <c r="G139" s="829">
        <v>0.5</v>
      </c>
      <c r="H139" s="832">
        <f>G138*G139*F138</f>
        <v>20.04</v>
      </c>
      <c r="I139" s="833">
        <f>'IPD Super TOS'!H613</f>
        <v>49.32</v>
      </c>
      <c r="J139" s="818"/>
    </row>
    <row r="140" spans="1:10">
      <c r="A140" s="818"/>
      <c r="B140" s="831">
        <v>2</v>
      </c>
      <c r="C140" s="829">
        <v>1</v>
      </c>
      <c r="D140" s="832"/>
      <c r="E140" s="831" t="s">
        <v>45</v>
      </c>
      <c r="F140" s="831"/>
      <c r="G140" s="829"/>
      <c r="H140" s="832"/>
      <c r="I140" s="833"/>
      <c r="J140" s="818"/>
    </row>
    <row r="141" spans="1:10">
      <c r="A141" s="818"/>
      <c r="B141" s="831"/>
      <c r="C141" s="829">
        <v>2.73</v>
      </c>
      <c r="D141" s="832">
        <f>-(C140*C141*B140)</f>
        <v>-5.46</v>
      </c>
      <c r="E141" s="831"/>
      <c r="F141" s="831">
        <v>2</v>
      </c>
      <c r="G141" s="829">
        <v>38.5</v>
      </c>
      <c r="H141" s="832"/>
      <c r="I141" s="833"/>
      <c r="J141" s="818"/>
    </row>
    <row r="142" spans="1:10">
      <c r="A142" s="818"/>
      <c r="B142" s="831"/>
      <c r="C142" s="829"/>
      <c r="D142" s="832"/>
      <c r="E142" s="831"/>
      <c r="F142" s="831"/>
      <c r="G142" s="829">
        <v>0.5</v>
      </c>
      <c r="H142" s="832">
        <f>F141*G141*G142</f>
        <v>38.5</v>
      </c>
      <c r="I142" s="833"/>
      <c r="J142" s="818"/>
    </row>
    <row r="143" spans="1:10">
      <c r="A143" s="818"/>
      <c r="B143" s="831">
        <v>1</v>
      </c>
      <c r="C143" s="829">
        <v>5.85</v>
      </c>
      <c r="D143" s="832"/>
      <c r="E143" s="831" t="s">
        <v>92</v>
      </c>
      <c r="F143" s="831"/>
      <c r="G143" s="829"/>
      <c r="H143" s="832"/>
      <c r="I143" s="833"/>
      <c r="J143" s="818"/>
    </row>
    <row r="144" spans="1:10">
      <c r="A144" s="818"/>
      <c r="B144" s="831"/>
      <c r="C144" s="829">
        <v>3.06</v>
      </c>
      <c r="D144" s="832">
        <f>(C143*C144*B143)</f>
        <v>17.901</v>
      </c>
      <c r="E144" s="831"/>
      <c r="F144" s="839"/>
      <c r="G144" s="839"/>
      <c r="H144" s="838">
        <f>SUM(H139:H142)</f>
        <v>58.54</v>
      </c>
      <c r="I144" s="845" t="s">
        <v>2129</v>
      </c>
      <c r="J144" s="818"/>
    </row>
    <row r="145" spans="1:10">
      <c r="A145" s="818"/>
      <c r="B145" s="831"/>
      <c r="C145" s="829"/>
      <c r="D145" s="832"/>
      <c r="E145" s="831"/>
      <c r="F145" s="831"/>
      <c r="G145" s="829"/>
      <c r="H145" s="832"/>
      <c r="I145" s="833"/>
      <c r="J145" s="818"/>
    </row>
    <row r="146" spans="1:10">
      <c r="A146" s="818"/>
      <c r="B146" s="831">
        <v>2</v>
      </c>
      <c r="C146" s="829">
        <v>0.9</v>
      </c>
      <c r="D146" s="832"/>
      <c r="E146" s="831" t="s">
        <v>93</v>
      </c>
      <c r="F146" s="831"/>
      <c r="G146" s="829"/>
      <c r="H146" s="832"/>
      <c r="I146" s="844" t="s">
        <v>131</v>
      </c>
      <c r="J146" s="818"/>
    </row>
    <row r="147" spans="1:10">
      <c r="A147" s="818"/>
      <c r="B147" s="831"/>
      <c r="C147" s="829">
        <v>2.73</v>
      </c>
      <c r="D147" s="832">
        <f>-(C146*C147*B146)</f>
        <v>-4.9139999999999997</v>
      </c>
      <c r="E147" s="831"/>
      <c r="F147" s="831">
        <v>1</v>
      </c>
      <c r="G147" s="829">
        <v>39.700000000000003</v>
      </c>
      <c r="H147" s="832"/>
      <c r="I147" s="833" t="s">
        <v>133</v>
      </c>
      <c r="J147" s="818"/>
    </row>
    <row r="148" spans="1:10">
      <c r="A148" s="818"/>
      <c r="B148" s="831"/>
      <c r="C148" s="829"/>
      <c r="D148" s="832"/>
      <c r="E148" s="831" t="s">
        <v>95</v>
      </c>
      <c r="F148" s="831"/>
      <c r="G148" s="829"/>
      <c r="H148" s="832">
        <f>G147*F147</f>
        <v>39.700000000000003</v>
      </c>
      <c r="I148" s="833" t="s">
        <v>134</v>
      </c>
      <c r="J148" s="818"/>
    </row>
    <row r="149" spans="1:10">
      <c r="A149" s="818"/>
      <c r="B149" s="905">
        <v>7</v>
      </c>
      <c r="C149" s="904">
        <v>5.85</v>
      </c>
      <c r="D149" s="844"/>
      <c r="E149" s="905" t="s">
        <v>97</v>
      </c>
      <c r="F149" s="831"/>
      <c r="G149" s="829"/>
      <c r="H149" s="832"/>
      <c r="I149" s="833"/>
      <c r="J149" s="818"/>
    </row>
    <row r="150" spans="1:10">
      <c r="A150" s="818"/>
      <c r="B150" s="831"/>
      <c r="C150" s="829">
        <v>3.06</v>
      </c>
      <c r="D150" s="832">
        <f>(C149*C150*B149)</f>
        <v>125.307</v>
      </c>
      <c r="E150" s="831"/>
      <c r="F150" s="831">
        <v>4</v>
      </c>
      <c r="G150" s="829">
        <v>10.02</v>
      </c>
      <c r="H150" s="832">
        <f>G148*F148</f>
        <v>0</v>
      </c>
      <c r="I150" s="833"/>
      <c r="J150" s="818"/>
    </row>
    <row r="151" spans="1:10">
      <c r="A151" s="818"/>
      <c r="B151" s="831"/>
      <c r="C151" s="829"/>
      <c r="D151" s="832"/>
      <c r="E151" s="831"/>
      <c r="F151" s="831"/>
      <c r="G151" s="829">
        <v>0.5</v>
      </c>
      <c r="H151" s="832">
        <f>G151*F150*G150</f>
        <v>20.04</v>
      </c>
      <c r="I151" s="833" t="s">
        <v>2242</v>
      </c>
      <c r="J151" s="818"/>
    </row>
    <row r="152" spans="1:10">
      <c r="A152" s="818"/>
      <c r="B152" s="831">
        <v>2</v>
      </c>
      <c r="C152" s="829">
        <v>0.8</v>
      </c>
      <c r="D152" s="832"/>
      <c r="E152" s="831" t="s">
        <v>99</v>
      </c>
      <c r="F152" s="831"/>
      <c r="G152" s="829"/>
      <c r="H152" s="832"/>
      <c r="I152" s="833"/>
      <c r="J152" s="818"/>
    </row>
    <row r="153" spans="1:10">
      <c r="A153" s="818"/>
      <c r="B153" s="831"/>
      <c r="C153" s="829">
        <v>2.73</v>
      </c>
      <c r="D153" s="832">
        <f>-(C152*C153*B152)</f>
        <v>-4.3680000000000003</v>
      </c>
      <c r="E153" s="831"/>
      <c r="F153" s="839"/>
      <c r="G153" s="839"/>
      <c r="H153" s="838">
        <f>SUM(H148:H152)</f>
        <v>59.74</v>
      </c>
      <c r="I153" s="845" t="s">
        <v>2240</v>
      </c>
      <c r="J153" s="818"/>
    </row>
    <row r="154" spans="1:10">
      <c r="A154" s="818"/>
      <c r="B154" s="831"/>
      <c r="C154" s="829"/>
      <c r="D154" s="832"/>
      <c r="E154" s="831"/>
      <c r="F154" s="831"/>
      <c r="G154" s="829"/>
      <c r="H154" s="832"/>
      <c r="I154" s="833"/>
      <c r="J154" s="818"/>
    </row>
    <row r="155" spans="1:10">
      <c r="A155" s="818"/>
      <c r="B155" s="831">
        <v>4</v>
      </c>
      <c r="C155" s="829">
        <v>0.9</v>
      </c>
      <c r="D155" s="832"/>
      <c r="E155" s="831" t="s">
        <v>100</v>
      </c>
      <c r="F155" s="831"/>
      <c r="G155" s="829"/>
      <c r="H155" s="832"/>
      <c r="I155" s="844" t="s">
        <v>105</v>
      </c>
      <c r="J155" s="818"/>
    </row>
    <row r="156" spans="1:10">
      <c r="A156" s="818"/>
      <c r="B156" s="831"/>
      <c r="C156" s="829">
        <v>0.6</v>
      </c>
      <c r="D156" s="832">
        <f>-(C155*C156*B155)</f>
        <v>-2.16</v>
      </c>
      <c r="E156" s="831"/>
      <c r="F156" s="831">
        <v>2</v>
      </c>
      <c r="G156" s="829">
        <v>39.700000000000003</v>
      </c>
      <c r="H156" s="832"/>
      <c r="I156" s="833" t="s">
        <v>107</v>
      </c>
      <c r="J156" s="818"/>
    </row>
    <row r="157" spans="1:10">
      <c r="A157" s="818"/>
      <c r="B157" s="989"/>
      <c r="C157" s="990"/>
      <c r="D157" s="991"/>
      <c r="E157" s="989"/>
      <c r="F157" s="989"/>
      <c r="G157" s="990"/>
      <c r="H157" s="991"/>
      <c r="I157" s="992"/>
      <c r="J157" s="993"/>
    </row>
    <row r="158" spans="1:10">
      <c r="A158" s="818"/>
      <c r="B158" s="831">
        <v>1</v>
      </c>
      <c r="C158" s="829">
        <v>2.5</v>
      </c>
      <c r="D158" s="832"/>
      <c r="E158" s="831" t="s">
        <v>101</v>
      </c>
      <c r="F158" s="839"/>
      <c r="G158" s="839"/>
      <c r="H158" s="838">
        <f>G156*F156</f>
        <v>79.400000000000006</v>
      </c>
      <c r="I158" s="845" t="s">
        <v>2241</v>
      </c>
      <c r="J158" s="818"/>
    </row>
    <row r="159" spans="1:10">
      <c r="A159" s="818"/>
      <c r="B159" s="831"/>
      <c r="C159" s="829">
        <v>3.06</v>
      </c>
      <c r="D159" s="832">
        <f>(C158*C159*B158)</f>
        <v>7.65</v>
      </c>
      <c r="E159" s="831"/>
      <c r="F159" s="831"/>
      <c r="G159" s="829"/>
      <c r="H159" s="832"/>
      <c r="I159" s="833"/>
      <c r="J159" s="818"/>
    </row>
    <row r="160" spans="1:10">
      <c r="A160" s="818"/>
      <c r="B160" s="831"/>
      <c r="C160" s="829"/>
      <c r="D160" s="832"/>
      <c r="E160" s="831"/>
      <c r="F160" s="831"/>
      <c r="G160" s="829"/>
      <c r="H160" s="832"/>
      <c r="I160" s="844" t="s">
        <v>109</v>
      </c>
      <c r="J160" s="818"/>
    </row>
    <row r="161" spans="1:10">
      <c r="A161" s="818"/>
      <c r="B161" s="831">
        <v>1</v>
      </c>
      <c r="C161" s="829">
        <v>0.9</v>
      </c>
      <c r="D161" s="832"/>
      <c r="E161" s="831" t="s">
        <v>72</v>
      </c>
      <c r="F161" s="831"/>
      <c r="G161" s="829"/>
      <c r="H161" s="832"/>
      <c r="I161" s="844" t="s">
        <v>110</v>
      </c>
      <c r="J161" s="818"/>
    </row>
    <row r="162" spans="1:10">
      <c r="A162" s="818"/>
      <c r="B162" s="831"/>
      <c r="C162" s="829">
        <v>2.73</v>
      </c>
      <c r="D162" s="832">
        <f>-(C161*C162*B161)</f>
        <v>-2.4569999999999999</v>
      </c>
      <c r="E162" s="831"/>
      <c r="F162" s="831">
        <v>30</v>
      </c>
      <c r="G162" s="829">
        <v>21.22</v>
      </c>
      <c r="H162" s="832"/>
      <c r="I162" s="833" t="s">
        <v>1225</v>
      </c>
      <c r="J162" s="818"/>
    </row>
    <row r="163" spans="1:10">
      <c r="A163" s="818"/>
      <c r="B163" s="831"/>
      <c r="C163" s="829"/>
      <c r="D163" s="832"/>
      <c r="E163" s="831"/>
      <c r="F163" s="831"/>
      <c r="G163" s="829"/>
      <c r="H163" s="832">
        <f>F162*G162</f>
        <v>636.59999999999991</v>
      </c>
      <c r="I163" s="833" t="s">
        <v>112</v>
      </c>
      <c r="J163" s="818"/>
    </row>
    <row r="164" spans="1:10">
      <c r="A164" s="818"/>
      <c r="B164" s="831">
        <v>1</v>
      </c>
      <c r="C164" s="829">
        <v>3</v>
      </c>
      <c r="D164" s="832"/>
      <c r="E164" s="831" t="s">
        <v>104</v>
      </c>
      <c r="F164" s="831">
        <v>30</v>
      </c>
      <c r="G164" s="829">
        <v>19.34</v>
      </c>
      <c r="H164" s="832"/>
      <c r="I164" s="833"/>
      <c r="J164" s="818"/>
    </row>
    <row r="165" spans="1:10">
      <c r="A165" s="818"/>
      <c r="B165" s="831"/>
      <c r="C165" s="829">
        <v>3.06</v>
      </c>
      <c r="D165" s="832">
        <f>(C164*C165*B164)</f>
        <v>9.18</v>
      </c>
      <c r="E165" s="831"/>
      <c r="F165" s="831"/>
      <c r="G165" s="829"/>
      <c r="H165" s="832">
        <f>F164*G164</f>
        <v>580.20000000000005</v>
      </c>
      <c r="I165" s="833"/>
      <c r="J165" s="818"/>
    </row>
    <row r="166" spans="1:10">
      <c r="A166" s="818"/>
      <c r="B166" s="831"/>
      <c r="C166" s="829"/>
      <c r="D166" s="832"/>
      <c r="E166" s="831"/>
      <c r="F166" s="831"/>
      <c r="G166" s="829"/>
      <c r="H166" s="832"/>
      <c r="I166" s="435"/>
      <c r="J166" s="818"/>
    </row>
    <row r="167" spans="1:10">
      <c r="A167" s="818"/>
      <c r="B167" s="831">
        <v>1</v>
      </c>
      <c r="C167" s="829">
        <v>1.7</v>
      </c>
      <c r="D167" s="832"/>
      <c r="E167" s="831" t="s">
        <v>106</v>
      </c>
      <c r="F167" s="839"/>
      <c r="G167" s="839"/>
      <c r="H167" s="838">
        <f>SUM(H163:H165)</f>
        <v>1216.8</v>
      </c>
      <c r="I167" s="845" t="s">
        <v>2243</v>
      </c>
      <c r="J167" s="818"/>
    </row>
    <row r="168" spans="1:10">
      <c r="A168" s="818"/>
      <c r="B168" s="831"/>
      <c r="C168" s="829">
        <v>3.06</v>
      </c>
      <c r="D168" s="832">
        <f>C168*C167*B167</f>
        <v>5.202</v>
      </c>
      <c r="E168" s="831"/>
      <c r="F168" s="831"/>
      <c r="G168" s="829"/>
      <c r="H168" s="832"/>
      <c r="I168" s="833"/>
      <c r="J168" s="818"/>
    </row>
    <row r="169" spans="1:10">
      <c r="A169" s="818"/>
      <c r="B169" s="831"/>
      <c r="C169" s="829"/>
      <c r="D169" s="832"/>
      <c r="E169" s="831"/>
      <c r="F169" s="831"/>
      <c r="G169" s="829"/>
      <c r="H169" s="832"/>
      <c r="I169" s="844" t="s">
        <v>114</v>
      </c>
      <c r="J169" s="818"/>
    </row>
    <row r="170" spans="1:10">
      <c r="A170" s="818"/>
      <c r="B170" s="831">
        <v>1</v>
      </c>
      <c r="C170" s="829">
        <v>1.2</v>
      </c>
      <c r="D170" s="832"/>
      <c r="E170" s="831" t="s">
        <v>108</v>
      </c>
      <c r="F170" s="831">
        <v>30</v>
      </c>
      <c r="G170" s="829">
        <v>23.7</v>
      </c>
      <c r="H170" s="832"/>
      <c r="I170" s="833" t="s">
        <v>115</v>
      </c>
      <c r="J170" s="818"/>
    </row>
    <row r="171" spans="1:10">
      <c r="A171" s="818"/>
      <c r="B171" s="831"/>
      <c r="C171" s="829">
        <v>0.6</v>
      </c>
      <c r="D171" s="832">
        <f>-C171*C170*B170</f>
        <v>-0.72</v>
      </c>
      <c r="E171" s="831"/>
      <c r="F171" s="831"/>
      <c r="G171" s="829"/>
      <c r="H171" s="832">
        <f>F170*G170</f>
        <v>711</v>
      </c>
      <c r="I171" s="833" t="s">
        <v>116</v>
      </c>
      <c r="J171" s="818"/>
    </row>
    <row r="172" spans="1:10">
      <c r="A172" s="818"/>
      <c r="B172" s="831"/>
      <c r="C172" s="829"/>
      <c r="D172" s="832"/>
      <c r="E172" s="831"/>
      <c r="F172" s="831"/>
      <c r="G172" s="829"/>
      <c r="H172" s="832"/>
      <c r="I172" s="833"/>
      <c r="J172" s="818"/>
    </row>
    <row r="173" spans="1:10">
      <c r="A173" s="818"/>
      <c r="B173" s="831"/>
      <c r="C173" s="829"/>
      <c r="D173" s="832"/>
      <c r="E173" s="831"/>
      <c r="F173" s="831">
        <v>30</v>
      </c>
      <c r="G173" s="829">
        <v>34.14</v>
      </c>
      <c r="H173" s="832"/>
      <c r="I173" s="833"/>
      <c r="J173" s="818"/>
    </row>
    <row r="174" spans="1:10">
      <c r="A174" s="818"/>
      <c r="B174" s="831"/>
      <c r="C174" s="829"/>
      <c r="D174" s="832"/>
      <c r="E174" s="831"/>
      <c r="F174" s="831"/>
      <c r="G174" s="829"/>
      <c r="H174" s="832">
        <f>F173*G173</f>
        <v>1024.2</v>
      </c>
      <c r="I174" s="833"/>
      <c r="J174" s="818"/>
    </row>
    <row r="175" spans="1:10">
      <c r="A175" s="818"/>
      <c r="B175" s="831"/>
      <c r="C175" s="829"/>
      <c r="D175" s="832"/>
      <c r="E175" s="831"/>
      <c r="F175" s="831"/>
      <c r="G175" s="829"/>
      <c r="H175" s="832"/>
      <c r="I175" s="833"/>
      <c r="J175" s="818"/>
    </row>
    <row r="176" spans="1:10">
      <c r="A176" s="818"/>
      <c r="B176" s="831"/>
      <c r="C176" s="829"/>
      <c r="D176" s="832"/>
      <c r="E176" s="831"/>
      <c r="F176" s="839"/>
      <c r="G176" s="839"/>
      <c r="H176" s="838">
        <f>SUM(H171:H174)</f>
        <v>1735.2</v>
      </c>
      <c r="I176" s="845" t="s">
        <v>2244</v>
      </c>
      <c r="J176" s="818"/>
    </row>
    <row r="177" spans="1:10">
      <c r="A177" s="818"/>
      <c r="B177" s="849"/>
      <c r="C177" s="850"/>
      <c r="D177" s="851"/>
      <c r="E177" s="849"/>
      <c r="F177" s="849"/>
      <c r="G177" s="850"/>
      <c r="H177" s="851"/>
      <c r="I177" s="849"/>
      <c r="J177" s="818"/>
    </row>
    <row r="178" spans="1:10">
      <c r="A178" s="828"/>
      <c r="B178" s="909" t="s">
        <v>1884</v>
      </c>
      <c r="C178" s="911" t="s">
        <v>526</v>
      </c>
      <c r="D178" s="910" t="s">
        <v>1885</v>
      </c>
      <c r="E178" s="911" t="s">
        <v>1886</v>
      </c>
      <c r="F178" s="909" t="s">
        <v>1884</v>
      </c>
      <c r="G178" s="911" t="s">
        <v>526</v>
      </c>
      <c r="H178" s="910" t="s">
        <v>1885</v>
      </c>
      <c r="I178" s="911" t="s">
        <v>1886</v>
      </c>
      <c r="J178" s="828"/>
    </row>
    <row r="179" spans="1:10">
      <c r="A179" s="818"/>
      <c r="B179" s="831"/>
      <c r="C179" s="829"/>
      <c r="D179" s="832"/>
      <c r="E179" s="837" t="s">
        <v>2252</v>
      </c>
      <c r="F179" s="831"/>
      <c r="G179" s="829"/>
      <c r="H179" s="832"/>
      <c r="I179" s="837" t="s">
        <v>136</v>
      </c>
    </row>
    <row r="180" spans="1:10">
      <c r="A180" s="818"/>
      <c r="B180" s="831"/>
      <c r="C180" s="829"/>
      <c r="D180" s="832"/>
      <c r="E180" s="831" t="s">
        <v>119</v>
      </c>
      <c r="F180" s="831"/>
      <c r="G180" s="829"/>
      <c r="H180" s="832"/>
      <c r="I180" s="844" t="s">
        <v>139</v>
      </c>
    </row>
    <row r="181" spans="1:10">
      <c r="A181" s="818"/>
      <c r="B181" s="831">
        <v>24</v>
      </c>
      <c r="C181" s="829">
        <v>39.700000000000003</v>
      </c>
      <c r="D181" s="832"/>
      <c r="E181" s="831" t="s">
        <v>120</v>
      </c>
      <c r="F181" s="831">
        <v>1</v>
      </c>
      <c r="G181" s="829">
        <v>1</v>
      </c>
      <c r="H181" s="832"/>
      <c r="I181" s="833"/>
    </row>
    <row r="182" spans="1:10">
      <c r="A182" s="818"/>
      <c r="B182" s="839"/>
      <c r="C182" s="839"/>
      <c r="D182" s="838">
        <f>B181*C181</f>
        <v>952.80000000000007</v>
      </c>
      <c r="E182" s="845" t="s">
        <v>2245</v>
      </c>
      <c r="F182" s="831"/>
      <c r="G182" s="829"/>
      <c r="H182" s="832">
        <f>G181*F181</f>
        <v>1</v>
      </c>
      <c r="I182" s="845" t="s">
        <v>2264</v>
      </c>
    </row>
    <row r="183" spans="1:10">
      <c r="A183" s="818"/>
      <c r="B183" s="831"/>
      <c r="C183" s="829"/>
      <c r="D183" s="832"/>
      <c r="E183" s="831"/>
      <c r="F183" s="847"/>
      <c r="G183" s="848"/>
      <c r="H183" s="843"/>
      <c r="I183" s="435"/>
    </row>
    <row r="184" spans="1:10">
      <c r="A184" s="818"/>
      <c r="B184" s="831"/>
      <c r="C184" s="829"/>
      <c r="D184" s="832"/>
      <c r="E184" s="837" t="s">
        <v>2253</v>
      </c>
      <c r="F184" s="831"/>
      <c r="G184" s="829"/>
      <c r="H184" s="832"/>
      <c r="I184" s="837" t="s">
        <v>140</v>
      </c>
    </row>
    <row r="185" spans="1:10">
      <c r="A185" s="818"/>
      <c r="B185" s="831">
        <v>4</v>
      </c>
      <c r="C185" s="829">
        <v>10.02</v>
      </c>
      <c r="D185" s="832"/>
      <c r="E185" s="831"/>
      <c r="F185" s="831"/>
      <c r="G185" s="829"/>
      <c r="H185" s="832"/>
      <c r="I185" s="844" t="s">
        <v>141</v>
      </c>
    </row>
    <row r="186" spans="1:10">
      <c r="A186" s="818"/>
      <c r="B186" s="831"/>
      <c r="C186" s="829"/>
      <c r="D186" s="832">
        <f>B185*C185</f>
        <v>40.08</v>
      </c>
      <c r="E186" s="831"/>
      <c r="F186" s="831">
        <v>2</v>
      </c>
      <c r="G186" s="829">
        <v>17.55</v>
      </c>
      <c r="H186" s="832"/>
      <c r="I186" s="837" t="s">
        <v>142</v>
      </c>
    </row>
    <row r="187" spans="1:10">
      <c r="A187" s="818"/>
      <c r="B187" s="831"/>
      <c r="C187" s="829"/>
      <c r="D187" s="832"/>
      <c r="E187" s="831"/>
      <c r="F187" s="831"/>
      <c r="G187" s="829">
        <v>2.73</v>
      </c>
      <c r="H187" s="832">
        <f>G186*G187*F186</f>
        <v>95.823000000000008</v>
      </c>
      <c r="I187" s="833" t="s">
        <v>143</v>
      </c>
    </row>
    <row r="188" spans="1:10">
      <c r="A188" s="818"/>
      <c r="B188" s="831">
        <v>2</v>
      </c>
      <c r="C188" s="829">
        <v>39.700000000000003</v>
      </c>
      <c r="D188" s="832"/>
      <c r="E188" s="831"/>
      <c r="F188" s="831">
        <v>4</v>
      </c>
      <c r="G188" s="829">
        <v>9.2799999999999994</v>
      </c>
      <c r="H188" s="832"/>
      <c r="I188" s="833" t="s">
        <v>80</v>
      </c>
    </row>
    <row r="189" spans="1:10">
      <c r="A189" s="818"/>
      <c r="B189" s="831"/>
      <c r="C189" s="829"/>
      <c r="D189" s="832">
        <f>B188*C188</f>
        <v>79.400000000000006</v>
      </c>
      <c r="E189" s="831"/>
      <c r="F189" s="831"/>
      <c r="G189" s="829">
        <v>1.2</v>
      </c>
      <c r="H189" s="832">
        <f>G188*G189*F188</f>
        <v>44.543999999999997</v>
      </c>
      <c r="I189" s="913" t="s">
        <v>145</v>
      </c>
    </row>
    <row r="190" spans="1:10">
      <c r="A190" s="818"/>
      <c r="B190" s="831"/>
      <c r="C190" s="829"/>
      <c r="D190" s="832"/>
      <c r="E190" s="831"/>
      <c r="F190" s="831">
        <v>1</v>
      </c>
      <c r="G190" s="829">
        <v>2.5</v>
      </c>
      <c r="H190" s="832"/>
      <c r="I190" s="833" t="s">
        <v>62</v>
      </c>
    </row>
    <row r="191" spans="1:10">
      <c r="A191" s="818"/>
      <c r="B191" s="839"/>
      <c r="C191" s="839"/>
      <c r="D191" s="838">
        <f>SUM(D186:D189)</f>
        <v>119.48</v>
      </c>
      <c r="E191" s="845" t="s">
        <v>2246</v>
      </c>
      <c r="F191" s="831"/>
      <c r="G191" s="829">
        <v>2.73</v>
      </c>
      <c r="H191" s="832">
        <f>-(G190*G191*F190)</f>
        <v>-6.8250000000000002</v>
      </c>
      <c r="I191" s="913"/>
    </row>
    <row r="192" spans="1:10">
      <c r="A192" s="818"/>
      <c r="B192" s="831"/>
      <c r="C192" s="829"/>
      <c r="D192" s="832"/>
      <c r="E192" s="831"/>
      <c r="F192" s="831">
        <v>4</v>
      </c>
      <c r="G192" s="829">
        <v>1.5</v>
      </c>
      <c r="H192" s="832"/>
      <c r="I192" s="913" t="s">
        <v>146</v>
      </c>
    </row>
    <row r="193" spans="1:10">
      <c r="A193" s="818"/>
      <c r="B193" s="831"/>
      <c r="C193" s="829"/>
      <c r="D193" s="832"/>
      <c r="E193" s="837" t="s">
        <v>2251</v>
      </c>
      <c r="F193" s="831"/>
      <c r="G193" s="829">
        <v>1.63</v>
      </c>
      <c r="H193" s="832">
        <f>-(G192*G193*F192)</f>
        <v>-9.7799999999999994</v>
      </c>
      <c r="I193" s="833"/>
    </row>
    <row r="194" spans="1:10">
      <c r="A194" s="818"/>
      <c r="B194" s="831">
        <v>1</v>
      </c>
      <c r="C194" s="829">
        <v>4</v>
      </c>
      <c r="D194" s="832"/>
      <c r="E194" s="831"/>
      <c r="F194" s="847"/>
      <c r="G194" s="848"/>
      <c r="H194" s="843"/>
      <c r="I194" s="435"/>
    </row>
    <row r="195" spans="1:10">
      <c r="A195" s="818"/>
      <c r="B195" s="839"/>
      <c r="C195" s="839"/>
      <c r="D195" s="838">
        <f>C194*B194</f>
        <v>4</v>
      </c>
      <c r="E195" s="845" t="s">
        <v>2247</v>
      </c>
      <c r="F195" s="831">
        <v>1</v>
      </c>
      <c r="G195" s="829">
        <v>36.9</v>
      </c>
      <c r="H195" s="832"/>
      <c r="I195" s="833" t="s">
        <v>147</v>
      </c>
      <c r="J195" s="818"/>
    </row>
    <row r="196" spans="1:10">
      <c r="A196" s="818"/>
      <c r="B196" s="831"/>
      <c r="C196" s="829"/>
      <c r="D196" s="832"/>
      <c r="E196" s="831"/>
      <c r="F196" s="831"/>
      <c r="G196" s="829">
        <v>2.73</v>
      </c>
      <c r="H196" s="832">
        <f>G195*G196*F195</f>
        <v>100.73699999999999</v>
      </c>
      <c r="I196" s="913"/>
      <c r="J196" s="818"/>
    </row>
    <row r="197" spans="1:10">
      <c r="A197" s="818"/>
      <c r="B197" s="831"/>
      <c r="C197" s="829"/>
      <c r="D197" s="832"/>
      <c r="E197" s="837" t="s">
        <v>2249</v>
      </c>
      <c r="F197" s="831">
        <v>5</v>
      </c>
      <c r="G197" s="829">
        <v>1.5</v>
      </c>
      <c r="H197" s="832"/>
      <c r="I197" s="913" t="s">
        <v>69</v>
      </c>
      <c r="J197" s="818"/>
    </row>
    <row r="198" spans="1:10">
      <c r="A198" s="818"/>
      <c r="B198" s="831">
        <v>1</v>
      </c>
      <c r="C198" s="829">
        <v>6</v>
      </c>
      <c r="D198" s="832"/>
      <c r="E198" s="831"/>
      <c r="F198" s="831"/>
      <c r="G198" s="829">
        <v>1.63</v>
      </c>
      <c r="H198" s="832">
        <f>-(G197*G198*F197)</f>
        <v>-12.225</v>
      </c>
      <c r="I198" s="833"/>
      <c r="J198" s="818"/>
    </row>
    <row r="199" spans="1:10">
      <c r="A199" s="818"/>
      <c r="B199" s="839"/>
      <c r="C199" s="839"/>
      <c r="D199" s="838">
        <f>C198*B198</f>
        <v>6</v>
      </c>
      <c r="E199" s="845" t="s">
        <v>2254</v>
      </c>
      <c r="F199" s="831">
        <v>3</v>
      </c>
      <c r="G199" s="829">
        <v>1.3</v>
      </c>
      <c r="H199" s="832"/>
      <c r="I199" s="833" t="s">
        <v>148</v>
      </c>
      <c r="J199" s="818"/>
    </row>
    <row r="200" spans="1:10">
      <c r="A200" s="818"/>
      <c r="B200" s="831"/>
      <c r="C200" s="829"/>
      <c r="D200" s="832"/>
      <c r="E200" s="831"/>
      <c r="F200" s="831"/>
      <c r="G200" s="829">
        <v>1.63</v>
      </c>
      <c r="H200" s="832">
        <f>-(G199*G200*F199)</f>
        <v>-6.3569999999999993</v>
      </c>
      <c r="I200" s="913"/>
      <c r="J200" s="818"/>
    </row>
    <row r="201" spans="1:10">
      <c r="A201" s="818"/>
      <c r="B201" s="831"/>
      <c r="C201" s="829"/>
      <c r="D201" s="832"/>
      <c r="E201" s="837" t="s">
        <v>2250</v>
      </c>
      <c r="F201" s="847"/>
      <c r="G201" s="848"/>
      <c r="H201" s="843"/>
      <c r="I201" s="435"/>
      <c r="J201" s="818"/>
    </row>
    <row r="202" spans="1:10">
      <c r="A202" s="818"/>
      <c r="B202" s="831">
        <v>1</v>
      </c>
      <c r="C202" s="829">
        <v>8</v>
      </c>
      <c r="D202" s="832"/>
      <c r="E202" s="831"/>
      <c r="F202" s="831">
        <v>1</v>
      </c>
      <c r="G202" s="829">
        <v>0.75</v>
      </c>
      <c r="H202" s="832"/>
      <c r="I202" s="913" t="s">
        <v>149</v>
      </c>
      <c r="J202" s="818"/>
    </row>
    <row r="203" spans="1:10">
      <c r="A203" s="818"/>
      <c r="B203" s="839"/>
      <c r="C203" s="839"/>
      <c r="D203" s="838">
        <f>C202*B202</f>
        <v>8</v>
      </c>
      <c r="E203" s="845" t="s">
        <v>2255</v>
      </c>
      <c r="F203" s="831"/>
      <c r="G203" s="829">
        <v>0.6</v>
      </c>
      <c r="H203" s="832">
        <f>-(G202*G203*F202)</f>
        <v>-0.44999999999999996</v>
      </c>
      <c r="I203" s="833"/>
      <c r="J203" s="818"/>
    </row>
    <row r="204" spans="1:10">
      <c r="A204" s="818"/>
      <c r="B204" s="831"/>
      <c r="C204" s="829"/>
      <c r="D204" s="832"/>
      <c r="E204" s="831"/>
      <c r="F204" s="831">
        <v>1</v>
      </c>
      <c r="G204" s="829">
        <v>0.9</v>
      </c>
      <c r="H204" s="832"/>
      <c r="I204" s="833" t="s">
        <v>74</v>
      </c>
      <c r="J204" s="818"/>
    </row>
    <row r="205" spans="1:10">
      <c r="A205" s="818"/>
      <c r="B205" s="831"/>
      <c r="C205" s="829"/>
      <c r="D205" s="832"/>
      <c r="E205" s="837" t="s">
        <v>2263</v>
      </c>
      <c r="F205" s="831"/>
      <c r="G205" s="829">
        <v>0.6</v>
      </c>
      <c r="H205" s="832">
        <f>-(G204*G205*F204)</f>
        <v>-0.54</v>
      </c>
      <c r="I205" s="913"/>
      <c r="J205" s="818"/>
    </row>
    <row r="206" spans="1:10">
      <c r="A206" s="818"/>
      <c r="B206" s="831">
        <v>1</v>
      </c>
      <c r="C206" s="829">
        <v>1</v>
      </c>
      <c r="D206" s="832"/>
      <c r="E206" s="831"/>
      <c r="F206" s="831">
        <v>2</v>
      </c>
      <c r="G206" s="829">
        <v>1.3</v>
      </c>
      <c r="H206" s="832"/>
      <c r="I206" s="913" t="s">
        <v>150</v>
      </c>
      <c r="J206" s="818"/>
    </row>
    <row r="207" spans="1:10">
      <c r="A207" s="818"/>
      <c r="B207" s="839"/>
      <c r="C207" s="839"/>
      <c r="D207" s="838">
        <f>C206*B206</f>
        <v>1</v>
      </c>
      <c r="E207" s="845" t="s">
        <v>2256</v>
      </c>
      <c r="F207" s="831"/>
      <c r="G207" s="829">
        <v>0.6</v>
      </c>
      <c r="H207" s="832">
        <f>-(G206*G207*F206)</f>
        <v>-1.56</v>
      </c>
      <c r="I207" s="833"/>
      <c r="J207" s="818"/>
    </row>
    <row r="208" spans="1:10">
      <c r="A208" s="818"/>
      <c r="B208" s="831"/>
      <c r="C208" s="829"/>
      <c r="D208" s="832"/>
      <c r="E208" s="831"/>
      <c r="F208" s="831">
        <v>1</v>
      </c>
      <c r="G208" s="829">
        <v>6</v>
      </c>
      <c r="H208" s="832"/>
      <c r="I208" s="833" t="s">
        <v>152</v>
      </c>
      <c r="J208" s="818"/>
    </row>
    <row r="209" spans="1:10">
      <c r="A209" s="818"/>
      <c r="B209" s="831"/>
      <c r="C209" s="829"/>
      <c r="D209" s="832"/>
      <c r="E209" s="837" t="s">
        <v>2248</v>
      </c>
      <c r="F209" s="831"/>
      <c r="G209" s="829">
        <v>0.6</v>
      </c>
      <c r="H209" s="832">
        <f>-(G208*G209*F208)</f>
        <v>-3.5999999999999996</v>
      </c>
      <c r="I209" s="913"/>
      <c r="J209" s="818"/>
    </row>
    <row r="210" spans="1:10">
      <c r="A210" s="818"/>
      <c r="B210" s="831"/>
      <c r="C210" s="829"/>
      <c r="D210" s="832"/>
      <c r="E210" s="837" t="s">
        <v>2533</v>
      </c>
      <c r="F210" s="831">
        <v>1</v>
      </c>
      <c r="G210" s="829">
        <v>1.2</v>
      </c>
      <c r="H210" s="832"/>
      <c r="I210" s="913" t="s">
        <v>156</v>
      </c>
      <c r="J210" s="818"/>
    </row>
    <row r="211" spans="1:10">
      <c r="A211" s="818"/>
      <c r="B211" s="831">
        <v>1</v>
      </c>
      <c r="C211" s="829">
        <v>12</v>
      </c>
      <c r="D211" s="832"/>
      <c r="E211" s="831"/>
      <c r="F211" s="831"/>
      <c r="G211" s="829">
        <v>1.63</v>
      </c>
      <c r="H211" s="832">
        <f>-(G210*G211*F210)</f>
        <v>-1.9559999999999997</v>
      </c>
      <c r="I211" s="833"/>
      <c r="J211" s="818"/>
    </row>
    <row r="212" spans="1:10">
      <c r="A212" s="818"/>
      <c r="B212" s="839"/>
      <c r="C212" s="839"/>
      <c r="D212" s="838">
        <f>C211*B211</f>
        <v>12</v>
      </c>
      <c r="E212" s="845" t="s">
        <v>2257</v>
      </c>
      <c r="F212" s="847"/>
      <c r="G212" s="848"/>
      <c r="H212" s="843"/>
      <c r="I212" s="435"/>
      <c r="J212" s="818"/>
    </row>
    <row r="213" spans="1:10">
      <c r="A213" s="818"/>
      <c r="B213" s="831"/>
      <c r="C213" s="829"/>
      <c r="D213" s="832"/>
      <c r="E213" s="831"/>
      <c r="F213" s="831">
        <v>1</v>
      </c>
      <c r="G213" s="829">
        <v>36.9</v>
      </c>
      <c r="H213" s="832"/>
      <c r="I213" s="833" t="s">
        <v>2265</v>
      </c>
      <c r="J213" s="818"/>
    </row>
    <row r="214" spans="1:10">
      <c r="A214" s="818"/>
      <c r="B214" s="831"/>
      <c r="C214" s="829"/>
      <c r="D214" s="832"/>
      <c r="E214" s="837" t="s">
        <v>1252</v>
      </c>
      <c r="F214" s="831"/>
      <c r="G214" s="829">
        <v>2.73</v>
      </c>
      <c r="H214" s="832">
        <f>G213*G214*F213</f>
        <v>100.73699999999999</v>
      </c>
      <c r="I214" s="913"/>
      <c r="J214" s="818"/>
    </row>
    <row r="215" spans="1:10">
      <c r="A215" s="818"/>
      <c r="B215" s="831">
        <v>1</v>
      </c>
      <c r="C215" s="829">
        <v>5</v>
      </c>
      <c r="D215" s="832"/>
      <c r="E215" s="831"/>
      <c r="F215" s="831">
        <v>5</v>
      </c>
      <c r="G215" s="829">
        <v>1.3</v>
      </c>
      <c r="H215" s="832"/>
      <c r="I215" s="913" t="s">
        <v>85</v>
      </c>
      <c r="J215" s="818"/>
    </row>
    <row r="216" spans="1:10">
      <c r="A216" s="818"/>
      <c r="B216" s="839"/>
      <c r="C216" s="839"/>
      <c r="D216" s="838">
        <f>C215*B215</f>
        <v>5</v>
      </c>
      <c r="E216" s="845" t="s">
        <v>2258</v>
      </c>
      <c r="F216" s="831"/>
      <c r="G216" s="829">
        <v>0.6</v>
      </c>
      <c r="H216" s="832">
        <f>-(G215*G216*F215)</f>
        <v>-3.9000000000000004</v>
      </c>
      <c r="I216" s="833"/>
      <c r="J216" s="818"/>
    </row>
    <row r="217" spans="1:10">
      <c r="A217" s="818"/>
      <c r="B217" s="831"/>
      <c r="C217" s="829"/>
      <c r="D217" s="832"/>
      <c r="E217" s="831"/>
      <c r="F217" s="831">
        <v>3</v>
      </c>
      <c r="G217" s="829">
        <v>3.5</v>
      </c>
      <c r="H217" s="832"/>
      <c r="I217" s="833" t="s">
        <v>77</v>
      </c>
      <c r="J217" s="818"/>
    </row>
    <row r="218" spans="1:10">
      <c r="A218" s="818"/>
      <c r="B218" s="831"/>
      <c r="C218" s="829"/>
      <c r="D218" s="832"/>
      <c r="E218" s="837" t="s">
        <v>2532</v>
      </c>
      <c r="F218" s="847"/>
      <c r="G218" s="829">
        <v>2.73</v>
      </c>
      <c r="H218" s="832">
        <f>-(G217*G218*F217)</f>
        <v>-28.664999999999999</v>
      </c>
      <c r="I218" s="435"/>
      <c r="J218" s="818"/>
    </row>
    <row r="219" spans="1:10">
      <c r="A219" s="818"/>
      <c r="B219" s="831">
        <v>1</v>
      </c>
      <c r="C219" s="829">
        <v>1</v>
      </c>
      <c r="D219" s="832"/>
      <c r="E219" s="831"/>
      <c r="F219" s="847"/>
      <c r="G219" s="848"/>
      <c r="H219" s="843"/>
      <c r="I219" s="435"/>
      <c r="J219" s="818"/>
    </row>
    <row r="220" spans="1:10">
      <c r="A220" s="818"/>
      <c r="B220" s="839"/>
      <c r="C220" s="839"/>
      <c r="D220" s="838">
        <f>C219*B219</f>
        <v>1</v>
      </c>
      <c r="E220" s="845" t="s">
        <v>2259</v>
      </c>
      <c r="F220" s="831">
        <v>2</v>
      </c>
      <c r="G220" s="829">
        <v>3.4</v>
      </c>
      <c r="H220" s="832"/>
      <c r="I220" s="435" t="s">
        <v>78</v>
      </c>
      <c r="J220" s="818"/>
    </row>
    <row r="221" spans="1:10">
      <c r="A221" s="818"/>
      <c r="B221" s="831"/>
      <c r="C221" s="829"/>
      <c r="D221" s="832"/>
      <c r="E221" s="831"/>
      <c r="F221" s="831"/>
      <c r="G221" s="829">
        <v>2.73</v>
      </c>
      <c r="H221" s="832">
        <f>-(G220*G221*F220)</f>
        <v>-18.564</v>
      </c>
      <c r="I221" s="435"/>
      <c r="J221" s="818"/>
    </row>
    <row r="222" spans="1:10">
      <c r="A222" s="818"/>
      <c r="B222" s="831"/>
      <c r="C222" s="829"/>
      <c r="D222" s="832"/>
      <c r="E222" s="837" t="s">
        <v>2531</v>
      </c>
      <c r="F222" s="831">
        <v>3</v>
      </c>
      <c r="G222" s="829">
        <v>1.5</v>
      </c>
      <c r="H222" s="832"/>
      <c r="I222" s="435" t="s">
        <v>79</v>
      </c>
      <c r="J222" s="818"/>
    </row>
    <row r="223" spans="1:10">
      <c r="A223" s="818"/>
      <c r="B223" s="831">
        <v>1</v>
      </c>
      <c r="C223" s="829">
        <v>6</v>
      </c>
      <c r="D223" s="832"/>
      <c r="E223" s="831"/>
      <c r="F223" s="831"/>
      <c r="G223" s="829">
        <v>1.63</v>
      </c>
      <c r="H223" s="832">
        <f>-(G222*G223*F222)</f>
        <v>-7.3349999999999991</v>
      </c>
      <c r="I223" s="435"/>
      <c r="J223" s="818"/>
    </row>
    <row r="224" spans="1:10">
      <c r="A224" s="818"/>
      <c r="B224" s="839"/>
      <c r="C224" s="839"/>
      <c r="D224" s="838">
        <f>C223*B223</f>
        <v>6</v>
      </c>
      <c r="E224" s="845" t="s">
        <v>2260</v>
      </c>
      <c r="F224" s="847"/>
      <c r="G224" s="848"/>
      <c r="H224" s="843"/>
      <c r="I224" s="435"/>
      <c r="J224" s="818"/>
    </row>
    <row r="225" spans="1:10">
      <c r="A225" s="818"/>
      <c r="B225" s="831"/>
      <c r="C225" s="829"/>
      <c r="D225" s="832"/>
      <c r="E225" s="831"/>
      <c r="F225" s="831">
        <v>5</v>
      </c>
      <c r="G225" s="829">
        <v>0.9</v>
      </c>
      <c r="H225" s="832"/>
      <c r="I225" s="435" t="s">
        <v>162</v>
      </c>
      <c r="J225" s="818"/>
    </row>
    <row r="226" spans="1:10">
      <c r="A226" s="818"/>
      <c r="B226" s="831"/>
      <c r="C226" s="829"/>
      <c r="D226" s="832"/>
      <c r="E226" s="837" t="s">
        <v>144</v>
      </c>
      <c r="F226" s="831"/>
      <c r="G226" s="829">
        <v>2.73</v>
      </c>
      <c r="H226" s="832">
        <f>-(G225*G226*F225)</f>
        <v>-12.285</v>
      </c>
      <c r="I226" s="435"/>
      <c r="J226" s="818"/>
    </row>
    <row r="227" spans="1:10">
      <c r="A227" s="818"/>
      <c r="B227" s="831">
        <v>1</v>
      </c>
      <c r="C227" s="829">
        <v>1</v>
      </c>
      <c r="D227" s="832"/>
      <c r="E227" s="831"/>
      <c r="F227" s="831">
        <v>6</v>
      </c>
      <c r="G227" s="829">
        <v>2.4</v>
      </c>
      <c r="H227" s="832"/>
      <c r="I227" s="435" t="s">
        <v>2266</v>
      </c>
      <c r="J227" s="818"/>
    </row>
    <row r="228" spans="1:10">
      <c r="A228" s="818"/>
      <c r="B228" s="839"/>
      <c r="C228" s="839"/>
      <c r="D228" s="838">
        <f>C227*B227</f>
        <v>1</v>
      </c>
      <c r="E228" s="845" t="s">
        <v>2261</v>
      </c>
      <c r="F228" s="831"/>
      <c r="G228" s="829">
        <v>3.03</v>
      </c>
      <c r="H228" s="832">
        <f>G227*G228*F227</f>
        <v>43.631999999999998</v>
      </c>
      <c r="I228" s="435"/>
      <c r="J228" s="818"/>
    </row>
    <row r="229" spans="1:10">
      <c r="A229" s="818"/>
      <c r="B229" s="831"/>
      <c r="C229" s="829"/>
      <c r="D229" s="832"/>
      <c r="E229" s="831"/>
      <c r="F229" s="831">
        <v>5</v>
      </c>
      <c r="G229" s="829">
        <v>0.8</v>
      </c>
      <c r="H229" s="832"/>
      <c r="I229" s="435" t="s">
        <v>28</v>
      </c>
      <c r="J229" s="818"/>
    </row>
    <row r="230" spans="1:10">
      <c r="A230" s="818"/>
      <c r="B230" s="831"/>
      <c r="C230" s="829"/>
      <c r="D230" s="832"/>
      <c r="E230" s="837" t="s">
        <v>2262</v>
      </c>
      <c r="F230" s="847"/>
      <c r="G230" s="829">
        <v>2.73</v>
      </c>
      <c r="H230" s="832">
        <f>-(G229*G230*F229)</f>
        <v>-10.920000000000002</v>
      </c>
      <c r="I230" s="435"/>
      <c r="J230" s="818"/>
    </row>
    <row r="231" spans="1:10">
      <c r="A231" s="818"/>
      <c r="B231" s="831">
        <v>1</v>
      </c>
      <c r="C231" s="829">
        <v>1</v>
      </c>
      <c r="D231" s="832"/>
      <c r="E231" s="831"/>
      <c r="F231" s="847"/>
      <c r="G231" s="848"/>
      <c r="H231" s="843"/>
      <c r="I231" s="435"/>
      <c r="J231" s="818"/>
    </row>
    <row r="232" spans="1:10">
      <c r="A232" s="818"/>
      <c r="B232" s="839"/>
      <c r="C232" s="839"/>
      <c r="D232" s="838">
        <f>C231*B231</f>
        <v>1</v>
      </c>
      <c r="E232" s="845" t="s">
        <v>2261</v>
      </c>
      <c r="F232" s="839"/>
      <c r="G232" s="839"/>
      <c r="H232" s="838">
        <f>SUM(H186:H231)</f>
        <v>260.51100000000002</v>
      </c>
      <c r="I232" s="845" t="s">
        <v>2182</v>
      </c>
      <c r="J232" s="818"/>
    </row>
    <row r="233" spans="1:10">
      <c r="A233" s="818"/>
      <c r="B233" s="849"/>
      <c r="C233" s="850"/>
      <c r="D233" s="851"/>
      <c r="E233" s="849"/>
      <c r="F233" s="860"/>
      <c r="G233" s="927"/>
      <c r="H233" s="928"/>
      <c r="I233" s="109"/>
      <c r="J233" s="818"/>
    </row>
    <row r="234" spans="1:10">
      <c r="A234" s="828"/>
      <c r="B234" s="909" t="s">
        <v>1884</v>
      </c>
      <c r="C234" s="911" t="s">
        <v>526</v>
      </c>
      <c r="D234" s="910" t="s">
        <v>1885</v>
      </c>
      <c r="E234" s="911" t="s">
        <v>1886</v>
      </c>
      <c r="F234" s="909" t="s">
        <v>1884</v>
      </c>
      <c r="G234" s="911" t="s">
        <v>526</v>
      </c>
      <c r="H234" s="910" t="s">
        <v>1885</v>
      </c>
      <c r="I234" s="911" t="s">
        <v>1886</v>
      </c>
      <c r="J234" s="828"/>
    </row>
    <row r="235" spans="1:10">
      <c r="A235" s="818"/>
      <c r="B235" s="831">
        <v>1</v>
      </c>
      <c r="C235" s="829">
        <v>9.1999999999999993</v>
      </c>
      <c r="D235" s="832"/>
      <c r="E235" s="915" t="s">
        <v>2267</v>
      </c>
      <c r="F235" s="831">
        <v>1</v>
      </c>
      <c r="G235" s="829">
        <v>7.2</v>
      </c>
      <c r="H235" s="832"/>
      <c r="I235" s="833" t="s">
        <v>178</v>
      </c>
    </row>
    <row r="236" spans="1:10">
      <c r="A236" s="818"/>
      <c r="B236" s="831"/>
      <c r="C236" s="829">
        <v>3.06</v>
      </c>
      <c r="D236" s="832">
        <f>B235*C235*C236</f>
        <v>28.151999999999997</v>
      </c>
      <c r="E236" s="831" t="s">
        <v>154</v>
      </c>
      <c r="F236" s="831"/>
      <c r="G236" s="829">
        <v>3.06</v>
      </c>
      <c r="H236" s="832">
        <f>G235*G236*F235</f>
        <v>22.032</v>
      </c>
      <c r="I236" s="833" t="s">
        <v>180</v>
      </c>
    </row>
    <row r="237" spans="1:10">
      <c r="A237" s="818"/>
      <c r="B237" s="831"/>
      <c r="C237" s="829"/>
      <c r="D237" s="832"/>
      <c r="E237" s="831" t="s">
        <v>155</v>
      </c>
      <c r="F237" s="831"/>
      <c r="G237" s="829"/>
      <c r="H237" s="832"/>
      <c r="I237" s="833"/>
    </row>
    <row r="238" spans="1:10">
      <c r="A238" s="818"/>
      <c r="B238" s="831">
        <v>1</v>
      </c>
      <c r="C238" s="829">
        <v>0.9</v>
      </c>
      <c r="D238" s="832"/>
      <c r="E238" s="831"/>
      <c r="F238" s="831">
        <v>1</v>
      </c>
      <c r="G238" s="829">
        <v>0.8</v>
      </c>
      <c r="H238" s="832"/>
      <c r="I238" s="833" t="s">
        <v>182</v>
      </c>
    </row>
    <row r="239" spans="1:10">
      <c r="A239" s="818"/>
      <c r="B239" s="831"/>
      <c r="C239" s="829">
        <v>2.73</v>
      </c>
      <c r="D239" s="832">
        <f>-(B238*C238*C239)</f>
        <v>-2.4569999999999999</v>
      </c>
      <c r="E239" s="831" t="s">
        <v>72</v>
      </c>
      <c r="F239" s="831"/>
      <c r="G239" s="829">
        <v>2.73</v>
      </c>
      <c r="H239" s="832">
        <f>-G238*G239*F238</f>
        <v>-2.1840000000000002</v>
      </c>
      <c r="I239" s="833"/>
    </row>
    <row r="240" spans="1:10">
      <c r="A240" s="818"/>
      <c r="B240" s="831"/>
      <c r="C240" s="829"/>
      <c r="D240" s="832"/>
      <c r="E240" s="831"/>
      <c r="F240" s="831"/>
      <c r="G240" s="829"/>
      <c r="H240" s="832"/>
      <c r="I240" s="833"/>
    </row>
    <row r="241" spans="1:10">
      <c r="A241" s="818"/>
      <c r="B241" s="831">
        <v>1</v>
      </c>
      <c r="C241" s="829">
        <v>1.3</v>
      </c>
      <c r="D241" s="832"/>
      <c r="E241" s="831" t="s">
        <v>157</v>
      </c>
      <c r="F241" s="831">
        <v>1</v>
      </c>
      <c r="G241" s="829">
        <v>13.4</v>
      </c>
      <c r="H241" s="832"/>
      <c r="I241" s="833" t="s">
        <v>185</v>
      </c>
    </row>
    <row r="242" spans="1:10">
      <c r="A242" s="818"/>
      <c r="B242" s="831"/>
      <c r="C242" s="829">
        <v>1.73</v>
      </c>
      <c r="D242" s="832">
        <f>-B241*C241*C242</f>
        <v>-2.2490000000000001</v>
      </c>
      <c r="E242" s="831"/>
      <c r="F242" s="831"/>
      <c r="G242" s="829">
        <v>3.06</v>
      </c>
      <c r="H242" s="832">
        <f>G241*G242*F241</f>
        <v>41.004000000000005</v>
      </c>
      <c r="I242" s="833" t="s">
        <v>186</v>
      </c>
    </row>
    <row r="243" spans="1:10">
      <c r="A243" s="818"/>
      <c r="B243" s="831"/>
      <c r="C243" s="829"/>
      <c r="D243" s="832"/>
      <c r="E243" s="831"/>
      <c r="F243" s="831"/>
      <c r="G243" s="829"/>
      <c r="H243" s="832"/>
      <c r="I243" s="833"/>
    </row>
    <row r="244" spans="1:10">
      <c r="A244" s="818"/>
      <c r="B244" s="831">
        <v>1</v>
      </c>
      <c r="C244" s="829">
        <v>9.4</v>
      </c>
      <c r="D244" s="832"/>
      <c r="E244" s="831" t="s">
        <v>158</v>
      </c>
      <c r="F244" s="831">
        <v>1</v>
      </c>
      <c r="G244" s="829">
        <v>0.8</v>
      </c>
      <c r="H244" s="832"/>
      <c r="I244" s="833" t="s">
        <v>182</v>
      </c>
    </row>
    <row r="245" spans="1:10">
      <c r="A245" s="818"/>
      <c r="B245" s="831"/>
      <c r="C245" s="829">
        <v>3.06</v>
      </c>
      <c r="D245" s="832">
        <f>B244*C244*C245</f>
        <v>28.764000000000003</v>
      </c>
      <c r="E245" s="831" t="s">
        <v>159</v>
      </c>
      <c r="F245" s="831"/>
      <c r="G245" s="829">
        <v>2.73</v>
      </c>
      <c r="H245" s="832">
        <f>-G244*G245*F244</f>
        <v>-2.1840000000000002</v>
      </c>
      <c r="I245" s="833"/>
    </row>
    <row r="246" spans="1:10">
      <c r="A246" s="818"/>
      <c r="B246" s="831"/>
      <c r="C246" s="829"/>
      <c r="D246" s="832"/>
      <c r="E246" s="831"/>
      <c r="F246" s="831"/>
      <c r="G246" s="829"/>
      <c r="H246" s="832"/>
      <c r="I246" s="833"/>
    </row>
    <row r="247" spans="1:10">
      <c r="A247" s="818"/>
      <c r="B247" s="831">
        <v>1</v>
      </c>
      <c r="C247" s="829">
        <v>0.9</v>
      </c>
      <c r="D247" s="832"/>
      <c r="E247" s="831" t="s">
        <v>72</v>
      </c>
      <c r="F247" s="831">
        <v>1</v>
      </c>
      <c r="G247" s="829">
        <v>1.5</v>
      </c>
      <c r="H247" s="832"/>
      <c r="I247" s="833" t="s">
        <v>90</v>
      </c>
    </row>
    <row r="248" spans="1:10">
      <c r="A248" s="818"/>
      <c r="B248" s="831"/>
      <c r="C248" s="829">
        <v>2.73</v>
      </c>
      <c r="D248" s="832">
        <f>-(B247*C247*C248)</f>
        <v>-2.4569999999999999</v>
      </c>
      <c r="E248" s="831"/>
      <c r="F248" s="831"/>
      <c r="G248" s="829">
        <v>1.73</v>
      </c>
      <c r="H248" s="832">
        <f>-G247*G248*F247</f>
        <v>-2.5949999999999998</v>
      </c>
      <c r="I248" s="833"/>
    </row>
    <row r="249" spans="1:10">
      <c r="A249" s="818"/>
      <c r="B249" s="831"/>
      <c r="C249" s="829"/>
      <c r="D249" s="832"/>
      <c r="E249" s="831"/>
      <c r="F249" s="831"/>
      <c r="G249" s="829"/>
      <c r="H249" s="832"/>
      <c r="I249" s="833"/>
    </row>
    <row r="250" spans="1:10">
      <c r="A250" s="818"/>
      <c r="B250" s="831">
        <v>1</v>
      </c>
      <c r="C250" s="829">
        <v>1.5</v>
      </c>
      <c r="D250" s="832"/>
      <c r="E250" s="831" t="s">
        <v>90</v>
      </c>
      <c r="F250" s="831">
        <v>1</v>
      </c>
      <c r="G250" s="829">
        <v>9.4600000000000009</v>
      </c>
      <c r="H250" s="832"/>
      <c r="I250" s="833" t="s">
        <v>84</v>
      </c>
    </row>
    <row r="251" spans="1:10">
      <c r="A251" s="818"/>
      <c r="B251" s="831"/>
      <c r="C251" s="829">
        <v>1.73</v>
      </c>
      <c r="D251" s="832">
        <f>-C250*C251*B250</f>
        <v>-2.5949999999999998</v>
      </c>
      <c r="E251" s="831"/>
      <c r="F251" s="831"/>
      <c r="G251" s="829">
        <v>3.06</v>
      </c>
      <c r="H251" s="832">
        <f>G250*G251*F250</f>
        <v>28.947600000000005</v>
      </c>
      <c r="I251" s="833" t="s">
        <v>188</v>
      </c>
      <c r="J251" s="818"/>
    </row>
    <row r="252" spans="1:10">
      <c r="A252" s="818"/>
      <c r="B252" s="831"/>
      <c r="C252" s="829"/>
      <c r="D252" s="832"/>
      <c r="E252" s="831"/>
      <c r="F252" s="831"/>
      <c r="G252" s="829"/>
      <c r="H252" s="832"/>
      <c r="I252" s="833"/>
      <c r="J252" s="818"/>
    </row>
    <row r="253" spans="1:10">
      <c r="A253" s="818"/>
      <c r="B253" s="831">
        <v>1</v>
      </c>
      <c r="C253" s="829">
        <v>13.6</v>
      </c>
      <c r="D253" s="832"/>
      <c r="E253" s="831" t="s">
        <v>160</v>
      </c>
      <c r="F253" s="831">
        <v>1</v>
      </c>
      <c r="G253" s="829">
        <v>7.26</v>
      </c>
      <c r="H253" s="832"/>
      <c r="I253" s="833"/>
      <c r="J253" s="818"/>
    </row>
    <row r="254" spans="1:10">
      <c r="A254" s="818"/>
      <c r="B254" s="831"/>
      <c r="C254" s="829">
        <v>3.06</v>
      </c>
      <c r="D254" s="832">
        <f>C253*C254*B253</f>
        <v>41.616</v>
      </c>
      <c r="E254" s="831" t="s">
        <v>161</v>
      </c>
      <c r="F254" s="831"/>
      <c r="G254" s="829">
        <v>1.1299999999999999</v>
      </c>
      <c r="H254" s="832">
        <f>G253*G254*F253</f>
        <v>8.2037999999999993</v>
      </c>
      <c r="I254" s="833" t="s">
        <v>121</v>
      </c>
      <c r="J254" s="818"/>
    </row>
    <row r="255" spans="1:10">
      <c r="A255" s="818"/>
      <c r="B255" s="831"/>
      <c r="C255" s="829"/>
      <c r="D255" s="832"/>
      <c r="E255" s="831"/>
      <c r="F255" s="831"/>
      <c r="G255" s="829"/>
      <c r="H255" s="832"/>
      <c r="I255" s="833" t="s">
        <v>189</v>
      </c>
      <c r="J255" s="818"/>
    </row>
    <row r="256" spans="1:10">
      <c r="A256" s="818"/>
      <c r="B256" s="831">
        <v>4</v>
      </c>
      <c r="C256" s="829">
        <v>0.9</v>
      </c>
      <c r="D256" s="832"/>
      <c r="E256" s="831" t="s">
        <v>98</v>
      </c>
      <c r="F256" s="831">
        <v>1</v>
      </c>
      <c r="G256" s="829">
        <v>0.9</v>
      </c>
      <c r="H256" s="832"/>
      <c r="I256" s="833" t="s">
        <v>72</v>
      </c>
      <c r="J256" s="818"/>
    </row>
    <row r="257" spans="1:10">
      <c r="A257" s="818"/>
      <c r="B257" s="831"/>
      <c r="C257" s="829">
        <v>2.73</v>
      </c>
      <c r="D257" s="832">
        <f>-(B256*C256*C257)</f>
        <v>-9.8279999999999994</v>
      </c>
      <c r="E257" s="831"/>
      <c r="F257" s="831"/>
      <c r="G257" s="829">
        <v>2.73</v>
      </c>
      <c r="H257" s="832">
        <f>-G256*G257*F256</f>
        <v>-2.4569999999999999</v>
      </c>
      <c r="I257" s="833"/>
      <c r="J257" s="818"/>
    </row>
    <row r="258" spans="1:10">
      <c r="A258" s="818"/>
      <c r="B258" s="831"/>
      <c r="C258" s="829"/>
      <c r="D258" s="832"/>
      <c r="E258" s="831"/>
      <c r="F258" s="831"/>
      <c r="G258" s="829"/>
      <c r="H258" s="832"/>
      <c r="I258" s="833"/>
      <c r="J258" s="818"/>
    </row>
    <row r="259" spans="1:10">
      <c r="A259" s="818"/>
      <c r="B259" s="831">
        <v>2</v>
      </c>
      <c r="C259" s="829">
        <v>9.1</v>
      </c>
      <c r="D259" s="832"/>
      <c r="E259" s="831" t="s">
        <v>163</v>
      </c>
      <c r="F259" s="831">
        <v>2</v>
      </c>
      <c r="G259" s="829">
        <v>0.7</v>
      </c>
      <c r="H259" s="832"/>
      <c r="I259" s="833" t="s">
        <v>46</v>
      </c>
      <c r="J259" s="818"/>
    </row>
    <row r="260" spans="1:10">
      <c r="A260" s="818"/>
      <c r="B260" s="831"/>
      <c r="C260" s="829">
        <v>3.06</v>
      </c>
      <c r="D260" s="832">
        <f>C259*C260*B259</f>
        <v>55.692</v>
      </c>
      <c r="E260" s="831" t="s">
        <v>164</v>
      </c>
      <c r="F260" s="831"/>
      <c r="G260" s="829">
        <v>0.83</v>
      </c>
      <c r="H260" s="832">
        <f>-(F259*G259*G260)</f>
        <v>-1.1619999999999999</v>
      </c>
      <c r="I260" s="833"/>
    </row>
    <row r="261" spans="1:10">
      <c r="A261" s="818"/>
      <c r="B261" s="831"/>
      <c r="C261" s="829"/>
      <c r="D261" s="832"/>
      <c r="E261" s="831"/>
      <c r="F261" s="831"/>
      <c r="G261" s="829"/>
      <c r="H261" s="832"/>
      <c r="I261" s="833"/>
    </row>
    <row r="262" spans="1:10">
      <c r="A262" s="818"/>
      <c r="B262" s="831">
        <v>2</v>
      </c>
      <c r="C262" s="829">
        <v>0.9</v>
      </c>
      <c r="D262" s="832"/>
      <c r="E262" s="831" t="s">
        <v>72</v>
      </c>
      <c r="F262" s="831">
        <v>2</v>
      </c>
      <c r="G262" s="829">
        <v>0.8</v>
      </c>
      <c r="H262" s="832"/>
      <c r="I262" s="833" t="s">
        <v>177</v>
      </c>
    </row>
    <row r="263" spans="1:10">
      <c r="A263" s="818"/>
      <c r="B263" s="831"/>
      <c r="C263" s="829">
        <v>2.73</v>
      </c>
      <c r="D263" s="832">
        <f>-(B262*C262*C263)</f>
        <v>-4.9139999999999997</v>
      </c>
      <c r="E263" s="831"/>
      <c r="F263" s="831"/>
      <c r="G263" s="829">
        <v>2.73</v>
      </c>
      <c r="H263" s="832">
        <f>-F262*G262*G263</f>
        <v>-4.3680000000000003</v>
      </c>
      <c r="I263" s="833"/>
    </row>
    <row r="264" spans="1:10">
      <c r="A264" s="818"/>
      <c r="B264" s="831"/>
      <c r="C264" s="829"/>
      <c r="D264" s="832"/>
      <c r="E264" s="831"/>
      <c r="F264" s="831"/>
      <c r="G264" s="829"/>
      <c r="H264" s="832"/>
      <c r="I264" s="833"/>
    </row>
    <row r="265" spans="1:10">
      <c r="A265" s="818"/>
      <c r="B265" s="831">
        <v>2</v>
      </c>
      <c r="C265" s="829">
        <v>1.2</v>
      </c>
      <c r="D265" s="832"/>
      <c r="E265" s="831" t="s">
        <v>165</v>
      </c>
      <c r="F265" s="831">
        <v>1</v>
      </c>
      <c r="G265" s="829">
        <v>0.9</v>
      </c>
      <c r="H265" s="832"/>
      <c r="I265" s="833" t="s">
        <v>74</v>
      </c>
    </row>
    <row r="266" spans="1:10">
      <c r="A266" s="818"/>
      <c r="B266" s="831"/>
      <c r="C266" s="829">
        <v>0.6</v>
      </c>
      <c r="D266" s="832">
        <f>-(C265*C266*B265)</f>
        <v>-1.44</v>
      </c>
      <c r="E266" s="831"/>
      <c r="F266" s="831"/>
      <c r="G266" s="829">
        <v>0.6</v>
      </c>
      <c r="H266" s="832">
        <f>-F265*G265*G266</f>
        <v>-0.54</v>
      </c>
      <c r="I266" s="833"/>
    </row>
    <row r="267" spans="1:10">
      <c r="A267" s="818"/>
      <c r="B267" s="831"/>
      <c r="C267" s="829"/>
      <c r="D267" s="832"/>
      <c r="E267" s="831"/>
      <c r="F267" s="831"/>
      <c r="G267" s="829"/>
      <c r="H267" s="832"/>
      <c r="I267" s="833"/>
    </row>
    <row r="268" spans="1:10">
      <c r="A268" s="818"/>
      <c r="B268" s="831">
        <v>1</v>
      </c>
      <c r="C268" s="829">
        <v>16.3</v>
      </c>
      <c r="D268" s="832"/>
      <c r="E268" s="831" t="s">
        <v>166</v>
      </c>
      <c r="F268" s="831">
        <v>1</v>
      </c>
      <c r="G268" s="829">
        <v>6.86</v>
      </c>
      <c r="H268" s="832"/>
      <c r="I268" s="833" t="s">
        <v>171</v>
      </c>
    </row>
    <row r="269" spans="1:10">
      <c r="A269" s="818"/>
      <c r="B269" s="831"/>
      <c r="C269" s="829">
        <v>3.06</v>
      </c>
      <c r="D269" s="832">
        <f>C268*C269*B268</f>
        <v>49.878</v>
      </c>
      <c r="E269" s="831" t="s">
        <v>167</v>
      </c>
      <c r="F269" s="831"/>
      <c r="G269" s="829">
        <v>3.06</v>
      </c>
      <c r="H269" s="832">
        <f>F268*G268*G269</f>
        <v>20.991600000000002</v>
      </c>
      <c r="I269" s="833" t="s">
        <v>172</v>
      </c>
    </row>
    <row r="270" spans="1:10">
      <c r="A270" s="818"/>
      <c r="B270" s="831"/>
      <c r="C270" s="829"/>
      <c r="D270" s="832"/>
      <c r="E270" s="831"/>
      <c r="F270" s="831"/>
      <c r="G270" s="829"/>
      <c r="H270" s="832"/>
      <c r="I270" s="833"/>
    </row>
    <row r="271" spans="1:10">
      <c r="A271" s="818"/>
      <c r="B271" s="831">
        <v>1</v>
      </c>
      <c r="C271" s="829">
        <v>0.9</v>
      </c>
      <c r="D271" s="832"/>
      <c r="E271" s="831" t="s">
        <v>72</v>
      </c>
      <c r="F271" s="831">
        <v>1</v>
      </c>
      <c r="G271" s="829">
        <v>13.06</v>
      </c>
      <c r="H271" s="832"/>
      <c r="I271" s="833" t="s">
        <v>174</v>
      </c>
    </row>
    <row r="272" spans="1:10">
      <c r="A272" s="818"/>
      <c r="B272" s="831"/>
      <c r="C272" s="829">
        <v>2.73</v>
      </c>
      <c r="D272" s="832">
        <f>-(B271*C271*C272)</f>
        <v>-2.4569999999999999</v>
      </c>
      <c r="E272" s="831"/>
      <c r="F272" s="831"/>
      <c r="G272" s="829">
        <v>3.06</v>
      </c>
      <c r="H272" s="832">
        <f>F271*G271*G272</f>
        <v>39.9636</v>
      </c>
      <c r="I272" s="833" t="s">
        <v>176</v>
      </c>
    </row>
    <row r="273" spans="1:9">
      <c r="A273" s="818"/>
      <c r="B273" s="831"/>
      <c r="C273" s="829"/>
      <c r="D273" s="832"/>
      <c r="E273" s="831"/>
      <c r="F273" s="831"/>
      <c r="G273" s="829"/>
      <c r="H273" s="832"/>
      <c r="I273" s="833"/>
    </row>
    <row r="274" spans="1:9">
      <c r="A274" s="818"/>
      <c r="B274" s="831">
        <v>1</v>
      </c>
      <c r="C274" s="829">
        <v>1.3</v>
      </c>
      <c r="D274" s="832"/>
      <c r="E274" s="831" t="s">
        <v>157</v>
      </c>
      <c r="F274" s="831">
        <v>2</v>
      </c>
      <c r="G274" s="829">
        <v>0.8</v>
      </c>
      <c r="H274" s="832"/>
      <c r="I274" s="833" t="s">
        <v>177</v>
      </c>
    </row>
    <row r="275" spans="1:9">
      <c r="A275" s="818"/>
      <c r="B275" s="831"/>
      <c r="C275" s="829">
        <v>1.73</v>
      </c>
      <c r="D275" s="832">
        <f>-B274*C274*C275</f>
        <v>-2.2490000000000001</v>
      </c>
      <c r="E275" s="831"/>
      <c r="F275" s="831"/>
      <c r="G275" s="829">
        <v>2.73</v>
      </c>
      <c r="H275" s="832">
        <f>-F274*G274*G275</f>
        <v>-4.3680000000000003</v>
      </c>
      <c r="I275" s="833"/>
    </row>
    <row r="276" spans="1:9">
      <c r="A276" s="818"/>
      <c r="B276" s="831"/>
      <c r="C276" s="829"/>
      <c r="D276" s="832"/>
      <c r="E276" s="831"/>
      <c r="F276" s="831"/>
      <c r="G276" s="829"/>
      <c r="H276" s="832"/>
      <c r="I276" s="833"/>
    </row>
    <row r="277" spans="1:9">
      <c r="A277" s="818"/>
      <c r="B277" s="831">
        <v>1</v>
      </c>
      <c r="C277" s="829">
        <v>21.2</v>
      </c>
      <c r="D277" s="832"/>
      <c r="E277" s="831" t="s">
        <v>168</v>
      </c>
      <c r="F277" s="831">
        <v>1</v>
      </c>
      <c r="G277" s="829">
        <v>1.5</v>
      </c>
      <c r="H277" s="832"/>
      <c r="I277" s="833" t="s">
        <v>90</v>
      </c>
    </row>
    <row r="278" spans="1:9">
      <c r="A278" s="818"/>
      <c r="B278" s="831"/>
      <c r="C278" s="829">
        <v>3.06</v>
      </c>
      <c r="D278" s="832">
        <f>C277*C278*B277</f>
        <v>64.872</v>
      </c>
      <c r="E278" s="831" t="s">
        <v>169</v>
      </c>
      <c r="F278" s="831"/>
      <c r="G278" s="829">
        <v>1.73</v>
      </c>
      <c r="H278" s="832">
        <f>-G277*G278*F277</f>
        <v>-2.5949999999999998</v>
      </c>
      <c r="I278" s="833"/>
    </row>
    <row r="279" spans="1:9">
      <c r="A279" s="818"/>
      <c r="B279" s="831"/>
      <c r="C279" s="829"/>
      <c r="D279" s="832"/>
      <c r="E279" s="831"/>
      <c r="F279" s="831"/>
      <c r="G279" s="829"/>
      <c r="H279" s="832"/>
      <c r="I279" s="833"/>
    </row>
    <row r="280" spans="1:9">
      <c r="A280" s="818"/>
      <c r="B280" s="831">
        <v>1</v>
      </c>
      <c r="C280" s="829">
        <v>1.3</v>
      </c>
      <c r="D280" s="832"/>
      <c r="E280" s="831" t="s">
        <v>170</v>
      </c>
      <c r="F280" s="831">
        <v>1</v>
      </c>
      <c r="G280" s="829">
        <v>10.15</v>
      </c>
      <c r="H280" s="832"/>
      <c r="I280" s="833" t="s">
        <v>179</v>
      </c>
    </row>
    <row r="281" spans="1:9">
      <c r="A281" s="818"/>
      <c r="B281" s="831"/>
      <c r="C281" s="829">
        <v>2.73</v>
      </c>
      <c r="D281" s="832">
        <f>-C280*C281*B280</f>
        <v>-3.5489999999999999</v>
      </c>
      <c r="E281" s="831"/>
      <c r="F281" s="831"/>
      <c r="G281" s="829">
        <v>3.06</v>
      </c>
      <c r="H281" s="832">
        <f>F280*G280*G281</f>
        <v>31.059000000000001</v>
      </c>
      <c r="I281" s="833" t="s">
        <v>181</v>
      </c>
    </row>
    <row r="282" spans="1:9">
      <c r="A282" s="818"/>
      <c r="B282" s="831"/>
      <c r="C282" s="829"/>
      <c r="D282" s="832"/>
      <c r="E282" s="831"/>
      <c r="F282" s="831"/>
      <c r="G282" s="829"/>
      <c r="H282" s="832"/>
      <c r="I282" s="833"/>
    </row>
    <row r="283" spans="1:9">
      <c r="A283" s="818"/>
      <c r="B283" s="831">
        <v>1</v>
      </c>
      <c r="C283" s="829">
        <v>1.3</v>
      </c>
      <c r="D283" s="832"/>
      <c r="E283" s="831" t="s">
        <v>157</v>
      </c>
      <c r="F283" s="831">
        <v>1</v>
      </c>
      <c r="G283" s="829">
        <v>8.26</v>
      </c>
      <c r="H283" s="832"/>
      <c r="I283" s="833" t="s">
        <v>183</v>
      </c>
    </row>
    <row r="284" spans="1:9">
      <c r="A284" s="818"/>
      <c r="B284" s="831"/>
      <c r="C284" s="829">
        <v>1.73</v>
      </c>
      <c r="D284" s="832">
        <f>-C283*C284*B283</f>
        <v>-2.2490000000000001</v>
      </c>
      <c r="E284" s="831"/>
      <c r="F284" s="831"/>
      <c r="G284" s="829">
        <v>3.06</v>
      </c>
      <c r="H284" s="832">
        <f>F283*G283*G284</f>
        <v>25.275600000000001</v>
      </c>
      <c r="I284" s="833" t="s">
        <v>184</v>
      </c>
    </row>
    <row r="285" spans="1:9">
      <c r="A285" s="818"/>
      <c r="B285" s="831"/>
      <c r="C285" s="829"/>
      <c r="D285" s="832"/>
      <c r="E285" s="831"/>
      <c r="F285" s="831"/>
      <c r="G285" s="829"/>
      <c r="H285" s="832"/>
      <c r="I285" s="833"/>
    </row>
    <row r="286" spans="1:9">
      <c r="A286" s="818"/>
      <c r="B286" s="831">
        <v>1</v>
      </c>
      <c r="C286" s="829">
        <v>19.600000000000001</v>
      </c>
      <c r="D286" s="832"/>
      <c r="E286" s="831" t="s">
        <v>173</v>
      </c>
      <c r="F286" s="831">
        <v>2</v>
      </c>
      <c r="G286" s="829">
        <v>0.8</v>
      </c>
      <c r="H286" s="832"/>
      <c r="I286" s="833" t="s">
        <v>177</v>
      </c>
    </row>
    <row r="287" spans="1:9">
      <c r="A287" s="818"/>
      <c r="B287" s="831"/>
      <c r="C287" s="829">
        <v>3.06</v>
      </c>
      <c r="D287" s="832">
        <f>C286*C287*B286</f>
        <v>59.976000000000006</v>
      </c>
      <c r="E287" s="831" t="s">
        <v>175</v>
      </c>
      <c r="F287" s="831"/>
      <c r="G287" s="829">
        <v>2.73</v>
      </c>
      <c r="H287" s="832">
        <f>-F286*G286*G287</f>
        <v>-4.3680000000000003</v>
      </c>
      <c r="I287" s="833"/>
    </row>
    <row r="288" spans="1:9">
      <c r="A288" s="818"/>
      <c r="B288" s="831"/>
      <c r="C288" s="829"/>
      <c r="D288" s="832"/>
      <c r="E288" s="831"/>
      <c r="F288" s="831"/>
      <c r="G288" s="829"/>
      <c r="H288" s="832"/>
      <c r="I288" s="833"/>
    </row>
    <row r="289" spans="1:9">
      <c r="A289" s="818"/>
      <c r="B289" s="831">
        <v>1</v>
      </c>
      <c r="C289" s="829">
        <v>0.9</v>
      </c>
      <c r="D289" s="832"/>
      <c r="E289" s="831" t="s">
        <v>72</v>
      </c>
      <c r="F289" s="831">
        <v>1</v>
      </c>
      <c r="G289" s="829">
        <v>1.5</v>
      </c>
      <c r="H289" s="832"/>
      <c r="I289" s="833" t="s">
        <v>90</v>
      </c>
    </row>
    <row r="290" spans="1:9">
      <c r="A290" s="818"/>
      <c r="B290" s="831"/>
      <c r="C290" s="829">
        <v>2.73</v>
      </c>
      <c r="D290" s="832">
        <f>-C289*C290*B289</f>
        <v>-2.4569999999999999</v>
      </c>
      <c r="E290" s="831"/>
      <c r="F290" s="831"/>
      <c r="G290" s="829">
        <v>1.73</v>
      </c>
      <c r="H290" s="832">
        <f>-G289*G290*F289</f>
        <v>-2.5949999999999998</v>
      </c>
      <c r="I290" s="833"/>
    </row>
    <row r="291" spans="1:9">
      <c r="A291" s="818"/>
      <c r="B291" s="831"/>
      <c r="C291" s="829"/>
      <c r="D291" s="832"/>
      <c r="E291" s="831"/>
      <c r="F291" s="831"/>
      <c r="G291" s="829"/>
      <c r="H291" s="832"/>
      <c r="I291" s="833"/>
    </row>
    <row r="292" spans="1:9">
      <c r="A292" s="818"/>
      <c r="B292" s="831">
        <v>2</v>
      </c>
      <c r="C292" s="829">
        <v>1.3</v>
      </c>
      <c r="D292" s="832"/>
      <c r="E292" s="831" t="s">
        <v>150</v>
      </c>
      <c r="F292" s="831">
        <v>2</v>
      </c>
      <c r="G292" s="829">
        <v>0.9</v>
      </c>
      <c r="H292" s="832"/>
      <c r="I292" s="833" t="s">
        <v>187</v>
      </c>
    </row>
    <row r="293" spans="1:9">
      <c r="A293" s="818"/>
      <c r="B293" s="831"/>
      <c r="C293" s="829">
        <v>1.73</v>
      </c>
      <c r="D293" s="832"/>
      <c r="E293" s="831"/>
      <c r="F293" s="831"/>
      <c r="G293" s="829">
        <v>0.6</v>
      </c>
      <c r="H293" s="832">
        <f>-G292*G293*F292</f>
        <v>-1.08</v>
      </c>
      <c r="I293" s="833"/>
    </row>
    <row r="294" spans="1:9">
      <c r="A294" s="818"/>
      <c r="B294" s="849"/>
      <c r="C294" s="850"/>
      <c r="D294" s="851">
        <f>-C292*C293*B292</f>
        <v>-4.4980000000000002</v>
      </c>
      <c r="E294" s="849"/>
      <c r="F294" s="849"/>
      <c r="G294" s="850"/>
      <c r="H294" s="851"/>
      <c r="I294" s="852"/>
    </row>
    <row r="295" spans="1:9">
      <c r="A295" s="818"/>
      <c r="B295" s="909" t="s">
        <v>1884</v>
      </c>
      <c r="C295" s="911" t="s">
        <v>526</v>
      </c>
      <c r="D295" s="910" t="s">
        <v>1885</v>
      </c>
      <c r="E295" s="911" t="s">
        <v>1886</v>
      </c>
      <c r="F295" s="909" t="s">
        <v>1884</v>
      </c>
      <c r="G295" s="911" t="s">
        <v>526</v>
      </c>
      <c r="H295" s="910" t="s">
        <v>1885</v>
      </c>
      <c r="I295" s="911" t="s">
        <v>1886</v>
      </c>
    </row>
    <row r="296" spans="1:9">
      <c r="A296" s="818"/>
      <c r="B296" s="831">
        <v>4</v>
      </c>
      <c r="C296" s="829">
        <v>2.1</v>
      </c>
      <c r="D296" s="832"/>
      <c r="E296" s="831" t="s">
        <v>118</v>
      </c>
      <c r="F296" s="831">
        <v>1</v>
      </c>
      <c r="G296" s="829">
        <v>7.1</v>
      </c>
      <c r="H296" s="832"/>
      <c r="I296" s="833"/>
    </row>
    <row r="297" spans="1:9">
      <c r="A297" s="818"/>
      <c r="B297" s="831"/>
      <c r="C297" s="829">
        <v>1.43</v>
      </c>
      <c r="D297" s="832">
        <f>B296*C296*C297</f>
        <v>12.012</v>
      </c>
      <c r="E297" s="831"/>
      <c r="F297" s="831"/>
      <c r="G297" s="829">
        <v>1.1299999999999999</v>
      </c>
      <c r="H297" s="832">
        <f>G296*G297*F296</f>
        <v>8.0229999999999997</v>
      </c>
      <c r="I297" s="833" t="s">
        <v>203</v>
      </c>
    </row>
    <row r="298" spans="1:9">
      <c r="A298" s="818"/>
      <c r="B298" s="831"/>
      <c r="C298" s="829"/>
      <c r="D298" s="832"/>
      <c r="E298" s="831"/>
      <c r="F298" s="831"/>
      <c r="G298" s="829"/>
      <c r="H298" s="832">
        <f>F297*G297*G298</f>
        <v>0</v>
      </c>
      <c r="I298" s="833"/>
    </row>
    <row r="299" spans="1:9">
      <c r="A299" s="818"/>
      <c r="B299" s="831">
        <v>4</v>
      </c>
      <c r="C299" s="829">
        <v>2.1</v>
      </c>
      <c r="D299" s="832"/>
      <c r="E299" s="831" t="s">
        <v>121</v>
      </c>
      <c r="F299" s="831">
        <v>1</v>
      </c>
      <c r="G299" s="829">
        <v>0.7</v>
      </c>
      <c r="H299" s="832">
        <f>F298*G298*G299</f>
        <v>0</v>
      </c>
      <c r="I299" s="833" t="s">
        <v>204</v>
      </c>
    </row>
    <row r="300" spans="1:9">
      <c r="A300" s="818"/>
      <c r="B300" s="831"/>
      <c r="C300" s="829">
        <v>1.1299999999999999</v>
      </c>
      <c r="D300" s="832">
        <f>B299*C299*C300</f>
        <v>9.4919999999999991</v>
      </c>
      <c r="E300" s="831"/>
      <c r="F300" s="831"/>
      <c r="G300" s="829">
        <v>0.8</v>
      </c>
      <c r="H300" s="832">
        <f>-F299*G299*G300</f>
        <v>-0.55999999999999994</v>
      </c>
      <c r="I300" s="833"/>
    </row>
    <row r="301" spans="1:9">
      <c r="A301" s="818"/>
      <c r="B301" s="831"/>
      <c r="C301" s="829"/>
      <c r="D301" s="832"/>
      <c r="E301" s="831"/>
      <c r="F301" s="831"/>
      <c r="G301" s="829"/>
      <c r="H301" s="832"/>
      <c r="I301" s="833"/>
    </row>
    <row r="302" spans="1:9">
      <c r="A302" s="818"/>
      <c r="B302" s="831">
        <v>4</v>
      </c>
      <c r="C302" s="829">
        <v>0.7</v>
      </c>
      <c r="D302" s="832"/>
      <c r="E302" s="831" t="s">
        <v>190</v>
      </c>
      <c r="F302" s="831">
        <v>1</v>
      </c>
      <c r="G302" s="829">
        <v>1.85</v>
      </c>
      <c r="H302" s="832"/>
      <c r="I302" s="833" t="s">
        <v>62</v>
      </c>
    </row>
    <row r="303" spans="1:9">
      <c r="A303" s="818"/>
      <c r="B303" s="831"/>
      <c r="C303" s="829">
        <v>1.1299999999999999</v>
      </c>
      <c r="D303" s="832">
        <f>-B302*C302*C303</f>
        <v>-3.1639999999999997</v>
      </c>
      <c r="E303" s="831"/>
      <c r="F303" s="831"/>
      <c r="G303" s="829">
        <v>2.73</v>
      </c>
      <c r="H303" s="832">
        <f>-F302*G302*G303</f>
        <v>-5.0505000000000004</v>
      </c>
      <c r="I303" s="833"/>
    </row>
    <row r="304" spans="1:9">
      <c r="A304" s="818"/>
      <c r="B304" s="831"/>
      <c r="C304" s="829"/>
      <c r="D304" s="832"/>
      <c r="E304" s="831"/>
      <c r="F304" s="831"/>
      <c r="G304" s="829"/>
      <c r="H304" s="832"/>
      <c r="I304" s="833"/>
    </row>
    <row r="305" spans="1:9">
      <c r="A305" s="818"/>
      <c r="B305" s="831">
        <v>4</v>
      </c>
      <c r="C305" s="829">
        <v>0.7</v>
      </c>
      <c r="D305" s="832"/>
      <c r="E305" s="831" t="s">
        <v>190</v>
      </c>
      <c r="F305" s="831">
        <v>2</v>
      </c>
      <c r="G305" s="829">
        <v>1</v>
      </c>
      <c r="H305" s="832"/>
      <c r="I305" s="833" t="s">
        <v>192</v>
      </c>
    </row>
    <row r="306" spans="1:9">
      <c r="A306" s="818"/>
      <c r="B306" s="831"/>
      <c r="C306" s="829">
        <v>0.83</v>
      </c>
      <c r="D306" s="832">
        <f>-B305*C305*C306</f>
        <v>-2.3239999999999998</v>
      </c>
      <c r="E306" s="831"/>
      <c r="F306" s="831"/>
      <c r="G306" s="829">
        <v>2.73</v>
      </c>
      <c r="H306" s="832">
        <f>-F305*G305*G306</f>
        <v>-5.46</v>
      </c>
      <c r="I306" s="833"/>
    </row>
    <row r="307" spans="1:9">
      <c r="A307" s="818"/>
      <c r="B307" s="831"/>
      <c r="C307" s="829"/>
      <c r="D307" s="832"/>
      <c r="E307" s="831"/>
      <c r="F307" s="831"/>
      <c r="G307" s="829"/>
      <c r="H307" s="832"/>
      <c r="I307" s="833"/>
    </row>
    <row r="308" spans="1:9">
      <c r="A308" s="818"/>
      <c r="B308" s="831">
        <v>4</v>
      </c>
      <c r="C308" s="829">
        <v>0.9</v>
      </c>
      <c r="D308" s="832"/>
      <c r="E308" s="831" t="s">
        <v>191</v>
      </c>
      <c r="F308" s="831">
        <v>2</v>
      </c>
      <c r="G308" s="829">
        <v>0.9</v>
      </c>
      <c r="H308" s="832"/>
      <c r="I308" s="833" t="s">
        <v>187</v>
      </c>
    </row>
    <row r="309" spans="1:9">
      <c r="A309" s="818"/>
      <c r="B309" s="831"/>
      <c r="C309" s="829">
        <v>0.6</v>
      </c>
      <c r="D309" s="832">
        <f>-B308*C308*C309</f>
        <v>-2.16</v>
      </c>
      <c r="E309" s="831"/>
      <c r="F309" s="831"/>
      <c r="G309" s="829">
        <v>0.6</v>
      </c>
      <c r="H309" s="832">
        <f>-G308*G309*F308</f>
        <v>-1.08</v>
      </c>
      <c r="I309" s="833"/>
    </row>
    <row r="310" spans="1:9">
      <c r="A310" s="818"/>
      <c r="B310" s="831"/>
      <c r="C310" s="829"/>
      <c r="D310" s="832"/>
      <c r="E310" s="831"/>
      <c r="F310" s="831"/>
      <c r="G310" s="829"/>
      <c r="H310" s="832"/>
      <c r="I310" s="833"/>
    </row>
    <row r="311" spans="1:9">
      <c r="A311" s="818"/>
      <c r="B311" s="831">
        <v>6</v>
      </c>
      <c r="C311" s="829">
        <v>1.2</v>
      </c>
      <c r="D311" s="832"/>
      <c r="E311" s="831" t="s">
        <v>118</v>
      </c>
      <c r="F311" s="831">
        <v>2</v>
      </c>
      <c r="G311" s="829">
        <v>15</v>
      </c>
      <c r="H311" s="832"/>
      <c r="I311" s="833" t="s">
        <v>193</v>
      </c>
    </row>
    <row r="312" spans="1:9">
      <c r="A312" s="818"/>
      <c r="B312" s="831"/>
      <c r="C312" s="829">
        <v>0.8</v>
      </c>
      <c r="D312" s="832">
        <f>C312*C311*B311</f>
        <v>5.76</v>
      </c>
      <c r="E312" s="831"/>
      <c r="F312" s="831"/>
      <c r="G312" s="829">
        <v>3.06</v>
      </c>
      <c r="H312" s="832">
        <f>G311*G312*F311</f>
        <v>91.8</v>
      </c>
      <c r="I312" s="833" t="s">
        <v>194</v>
      </c>
    </row>
    <row r="313" spans="1:9">
      <c r="A313" s="818"/>
      <c r="B313" s="831"/>
      <c r="C313" s="829"/>
      <c r="D313" s="832"/>
      <c r="E313" s="831"/>
      <c r="F313" s="831"/>
      <c r="G313" s="829"/>
      <c r="H313" s="832"/>
      <c r="I313" s="833"/>
    </row>
    <row r="314" spans="1:9">
      <c r="A314" s="818"/>
      <c r="B314" s="831">
        <v>6</v>
      </c>
      <c r="C314" s="829">
        <v>1.2</v>
      </c>
      <c r="D314" s="832"/>
      <c r="E314" s="831" t="s">
        <v>121</v>
      </c>
      <c r="F314" s="831">
        <v>2</v>
      </c>
      <c r="G314" s="829">
        <v>1</v>
      </c>
      <c r="H314" s="832"/>
      <c r="I314" s="833" t="s">
        <v>192</v>
      </c>
    </row>
    <row r="315" spans="1:9">
      <c r="A315" s="818"/>
      <c r="B315" s="831"/>
      <c r="C315" s="829">
        <v>0.5</v>
      </c>
      <c r="D315" s="832">
        <f>C315*C314*B314</f>
        <v>3.5999999999999996</v>
      </c>
      <c r="E315" s="831"/>
      <c r="F315" s="831"/>
      <c r="G315" s="829">
        <v>2.73</v>
      </c>
      <c r="H315" s="832">
        <f>-F314*G314*G315</f>
        <v>-5.46</v>
      </c>
      <c r="I315" s="833"/>
    </row>
    <row r="316" spans="1:9">
      <c r="A316" s="818"/>
      <c r="B316" s="831"/>
      <c r="C316" s="829"/>
      <c r="D316" s="832"/>
      <c r="E316" s="831"/>
      <c r="F316" s="831"/>
      <c r="G316" s="829"/>
      <c r="H316" s="832"/>
      <c r="I316" s="833"/>
    </row>
    <row r="317" spans="1:9">
      <c r="A317" s="818"/>
      <c r="B317" s="831">
        <v>2</v>
      </c>
      <c r="C317" s="829">
        <v>1.2</v>
      </c>
      <c r="D317" s="832"/>
      <c r="E317" s="831" t="s">
        <v>121</v>
      </c>
      <c r="F317" s="831">
        <v>3</v>
      </c>
      <c r="G317" s="829">
        <v>1.5</v>
      </c>
      <c r="H317" s="832"/>
      <c r="I317" s="833" t="s">
        <v>79</v>
      </c>
    </row>
    <row r="318" spans="1:9">
      <c r="A318" s="818"/>
      <c r="B318" s="831"/>
      <c r="C318" s="829">
        <v>1.43</v>
      </c>
      <c r="D318" s="832">
        <f>B317*C317*C318</f>
        <v>3.4319999999999999</v>
      </c>
      <c r="E318" s="831"/>
      <c r="F318" s="831"/>
      <c r="G318" s="829">
        <v>1.73</v>
      </c>
      <c r="H318" s="832">
        <f>-G317*G318*F317</f>
        <v>-7.7849999999999993</v>
      </c>
      <c r="I318" s="833"/>
    </row>
    <row r="319" spans="1:9">
      <c r="A319" s="818"/>
      <c r="B319" s="831"/>
      <c r="C319" s="829"/>
      <c r="D319" s="832"/>
      <c r="E319" s="831"/>
      <c r="F319" s="831"/>
      <c r="G319" s="829"/>
      <c r="H319" s="832"/>
      <c r="I319" s="833" t="s">
        <v>196</v>
      </c>
    </row>
    <row r="320" spans="1:9">
      <c r="A320" s="818"/>
      <c r="B320" s="831">
        <v>2</v>
      </c>
      <c r="C320" s="829">
        <v>1.2</v>
      </c>
      <c r="D320" s="832"/>
      <c r="E320" s="831" t="s">
        <v>121</v>
      </c>
      <c r="F320" s="831">
        <v>1</v>
      </c>
      <c r="G320" s="829">
        <v>79.099999999999994</v>
      </c>
      <c r="H320" s="832"/>
      <c r="I320" s="833" t="s">
        <v>198</v>
      </c>
    </row>
    <row r="321" spans="1:10">
      <c r="A321" s="818"/>
      <c r="B321" s="831"/>
      <c r="C321" s="829">
        <v>1.1299999999999999</v>
      </c>
      <c r="D321" s="832">
        <f>B320*C320*C321</f>
        <v>2.7119999999999997</v>
      </c>
      <c r="E321" s="831"/>
      <c r="F321" s="831"/>
      <c r="G321" s="829">
        <v>3.06</v>
      </c>
      <c r="H321" s="832">
        <f>G320*G321*F320</f>
        <v>242.04599999999999</v>
      </c>
      <c r="I321" s="833"/>
      <c r="J321" s="818"/>
    </row>
    <row r="322" spans="1:10">
      <c r="A322" s="818"/>
      <c r="B322" s="831"/>
      <c r="C322" s="829"/>
      <c r="D322" s="832"/>
      <c r="E322" s="831" t="s">
        <v>118</v>
      </c>
      <c r="F322" s="831"/>
      <c r="G322" s="829"/>
      <c r="H322" s="832"/>
      <c r="I322" s="833"/>
      <c r="J322" s="818"/>
    </row>
    <row r="323" spans="1:10">
      <c r="A323" s="818"/>
      <c r="B323" s="831">
        <v>2</v>
      </c>
      <c r="C323" s="829">
        <v>11.2</v>
      </c>
      <c r="D323" s="832"/>
      <c r="E323" s="831" t="s">
        <v>195</v>
      </c>
      <c r="F323" s="831">
        <v>4</v>
      </c>
      <c r="G323" s="829">
        <v>0.9</v>
      </c>
      <c r="H323" s="832"/>
      <c r="I323" s="833" t="s">
        <v>98</v>
      </c>
      <c r="J323" s="818"/>
    </row>
    <row r="324" spans="1:10">
      <c r="A324" s="818"/>
      <c r="B324" s="831"/>
      <c r="C324" s="829">
        <v>1.43</v>
      </c>
      <c r="D324" s="832">
        <f>B323*C323*C324</f>
        <v>32.031999999999996</v>
      </c>
      <c r="E324" s="831"/>
      <c r="F324" s="831"/>
      <c r="G324" s="829">
        <v>2.73</v>
      </c>
      <c r="H324" s="832">
        <f>-G323*G324*F323</f>
        <v>-9.8279999999999994</v>
      </c>
      <c r="I324" s="833"/>
      <c r="J324" s="818"/>
    </row>
    <row r="325" spans="1:10">
      <c r="A325" s="818"/>
      <c r="B325" s="831"/>
      <c r="C325" s="829"/>
      <c r="D325" s="832"/>
      <c r="E325" s="831"/>
      <c r="F325" s="831"/>
      <c r="G325" s="829"/>
      <c r="H325" s="832"/>
      <c r="I325" s="833"/>
      <c r="J325" s="818"/>
    </row>
    <row r="326" spans="1:10">
      <c r="A326" s="818"/>
      <c r="B326" s="831">
        <v>4</v>
      </c>
      <c r="C326" s="829">
        <v>0.8</v>
      </c>
      <c r="D326" s="832"/>
      <c r="E326" s="831" t="s">
        <v>197</v>
      </c>
      <c r="F326" s="831">
        <v>1</v>
      </c>
      <c r="G326" s="829">
        <v>1.3</v>
      </c>
      <c r="H326" s="832"/>
      <c r="I326" s="833" t="s">
        <v>170</v>
      </c>
      <c r="J326" s="818"/>
    </row>
    <row r="327" spans="1:10">
      <c r="A327" s="818"/>
      <c r="B327" s="831"/>
      <c r="C327" s="829">
        <v>1.1299999999999999</v>
      </c>
      <c r="D327" s="832">
        <f>-B326*C326*C327</f>
        <v>-3.6159999999999997</v>
      </c>
      <c r="E327" s="831"/>
      <c r="F327" s="831"/>
      <c r="G327" s="829">
        <v>2.73</v>
      </c>
      <c r="H327" s="832">
        <f>-G326*G327*F326</f>
        <v>-3.5489999999999999</v>
      </c>
      <c r="I327" s="833"/>
      <c r="J327" s="818"/>
    </row>
    <row r="328" spans="1:10">
      <c r="A328" s="818"/>
      <c r="B328" s="831"/>
      <c r="C328" s="829"/>
      <c r="D328" s="832"/>
      <c r="E328" s="831"/>
      <c r="F328" s="831"/>
      <c r="G328" s="829"/>
      <c r="H328" s="832"/>
      <c r="I328" s="833"/>
      <c r="J328" s="818"/>
    </row>
    <row r="329" spans="1:10">
      <c r="A329" s="818"/>
      <c r="B329" s="831">
        <v>8</v>
      </c>
      <c r="C329" s="829">
        <v>0.7</v>
      </c>
      <c r="D329" s="832"/>
      <c r="E329" s="831" t="s">
        <v>199</v>
      </c>
      <c r="F329" s="831">
        <v>4</v>
      </c>
      <c r="G329" s="829">
        <v>0.8</v>
      </c>
      <c r="H329" s="832"/>
      <c r="I329" s="833" t="s">
        <v>197</v>
      </c>
      <c r="J329" s="818"/>
    </row>
    <row r="330" spans="1:10">
      <c r="A330" s="818"/>
      <c r="B330" s="831"/>
      <c r="C330" s="829">
        <v>1.1299999999999999</v>
      </c>
      <c r="D330" s="832">
        <f>-B329*C329*C330</f>
        <v>-6.3279999999999994</v>
      </c>
      <c r="E330" s="831"/>
      <c r="F330" s="831"/>
      <c r="G330" s="829">
        <v>2.73</v>
      </c>
      <c r="H330" s="832">
        <f>-F329*G329*G330</f>
        <v>-8.7360000000000007</v>
      </c>
      <c r="I330" s="833"/>
      <c r="J330" s="818"/>
    </row>
    <row r="331" spans="1:10">
      <c r="A331" s="818"/>
      <c r="B331" s="831"/>
      <c r="C331" s="829"/>
      <c r="D331" s="832"/>
      <c r="E331" s="831"/>
      <c r="F331" s="831"/>
      <c r="G331" s="829"/>
      <c r="H331" s="832"/>
      <c r="I331" s="833"/>
      <c r="J331" s="818"/>
    </row>
    <row r="332" spans="1:10">
      <c r="A332" s="818"/>
      <c r="B332" s="831">
        <v>2</v>
      </c>
      <c r="C332" s="829">
        <v>7.7</v>
      </c>
      <c r="D332" s="832"/>
      <c r="E332" s="831" t="s">
        <v>200</v>
      </c>
      <c r="F332" s="831">
        <v>1</v>
      </c>
      <c r="G332" s="829">
        <v>1.3</v>
      </c>
      <c r="H332" s="832"/>
      <c r="I332" s="833" t="s">
        <v>90</v>
      </c>
      <c r="J332" s="818"/>
    </row>
    <row r="333" spans="1:10">
      <c r="A333" s="818"/>
      <c r="B333" s="831"/>
      <c r="C333" s="829">
        <v>3.06</v>
      </c>
      <c r="D333" s="832">
        <f>C332*C333*B332</f>
        <v>47.124000000000002</v>
      </c>
      <c r="E333" s="831" t="s">
        <v>201</v>
      </c>
      <c r="F333" s="831"/>
      <c r="G333" s="829">
        <v>1.73</v>
      </c>
      <c r="H333" s="832">
        <f>-G332*G333*F332</f>
        <v>-2.2490000000000001</v>
      </c>
      <c r="I333" s="833"/>
      <c r="J333" s="818"/>
    </row>
    <row r="334" spans="1:10">
      <c r="A334" s="818"/>
      <c r="B334" s="831"/>
      <c r="C334" s="829"/>
      <c r="D334" s="832"/>
      <c r="E334" s="831"/>
      <c r="F334" s="831"/>
      <c r="G334" s="829"/>
      <c r="H334" s="832"/>
      <c r="I334" s="833"/>
      <c r="J334" s="818"/>
    </row>
    <row r="335" spans="1:10">
      <c r="A335" s="818"/>
      <c r="B335" s="831">
        <v>2</v>
      </c>
      <c r="C335" s="829">
        <v>0.8</v>
      </c>
      <c r="D335" s="832"/>
      <c r="E335" s="831" t="s">
        <v>99</v>
      </c>
      <c r="F335" s="831">
        <v>3</v>
      </c>
      <c r="G335" s="829">
        <v>4.79</v>
      </c>
      <c r="H335" s="832"/>
      <c r="I335" s="833" t="s">
        <v>64</v>
      </c>
      <c r="J335" s="818"/>
    </row>
    <row r="336" spans="1:10">
      <c r="A336" s="818"/>
      <c r="B336" s="831"/>
      <c r="C336" s="829">
        <v>2.73</v>
      </c>
      <c r="D336" s="832">
        <f>-C335*C336*B335</f>
        <v>-4.3680000000000003</v>
      </c>
      <c r="E336" s="831"/>
      <c r="F336" s="831"/>
      <c r="G336" s="829">
        <v>1.73</v>
      </c>
      <c r="H336" s="832">
        <f>-(G335*G336*F335)</f>
        <v>-24.860099999999999</v>
      </c>
      <c r="I336" s="833"/>
      <c r="J336" s="818"/>
    </row>
    <row r="337" spans="1:10">
      <c r="A337" s="818"/>
      <c r="B337" s="831"/>
      <c r="C337" s="829"/>
      <c r="D337" s="832"/>
      <c r="E337" s="831"/>
      <c r="F337" s="831"/>
      <c r="G337" s="829"/>
      <c r="H337" s="832"/>
      <c r="I337" s="833"/>
      <c r="J337" s="818"/>
    </row>
    <row r="338" spans="1:10">
      <c r="A338" s="818"/>
      <c r="B338" s="831">
        <v>1</v>
      </c>
      <c r="C338" s="829">
        <v>0.75</v>
      </c>
      <c r="D338" s="832"/>
      <c r="E338" s="831" t="s">
        <v>149</v>
      </c>
      <c r="F338" s="831">
        <v>3</v>
      </c>
      <c r="G338" s="829">
        <v>1.2</v>
      </c>
      <c r="H338" s="832"/>
      <c r="I338" s="833" t="s">
        <v>121</v>
      </c>
      <c r="J338" s="818"/>
    </row>
    <row r="339" spans="1:10">
      <c r="A339" s="818"/>
      <c r="B339" s="831"/>
      <c r="C339" s="829">
        <v>0.6</v>
      </c>
      <c r="D339" s="832">
        <f>-C338*C339*B338</f>
        <v>-0.44999999999999996</v>
      </c>
      <c r="E339" s="831"/>
      <c r="F339" s="831"/>
      <c r="G339" s="829">
        <v>2.73</v>
      </c>
      <c r="H339" s="832">
        <f>-(G338*G339*F338)</f>
        <v>-9.8279999999999994</v>
      </c>
      <c r="I339" s="833"/>
      <c r="J339" s="818"/>
    </row>
    <row r="340" spans="1:10">
      <c r="A340" s="818"/>
      <c r="B340" s="831"/>
      <c r="C340" s="829"/>
      <c r="D340" s="832"/>
      <c r="E340" s="831"/>
      <c r="F340" s="831"/>
      <c r="G340" s="829"/>
      <c r="H340" s="832"/>
      <c r="I340" s="833"/>
      <c r="J340" s="818"/>
    </row>
    <row r="341" spans="1:10">
      <c r="A341" s="818"/>
      <c r="B341" s="831">
        <v>1</v>
      </c>
      <c r="C341" s="829">
        <v>6</v>
      </c>
      <c r="D341" s="832"/>
      <c r="E341" s="831" t="s">
        <v>152</v>
      </c>
      <c r="F341" s="831">
        <v>2</v>
      </c>
      <c r="G341" s="829">
        <v>4.6900000000000004</v>
      </c>
      <c r="H341" s="832"/>
      <c r="I341" s="833" t="s">
        <v>67</v>
      </c>
      <c r="J341" s="818"/>
    </row>
    <row r="342" spans="1:10">
      <c r="A342" s="818"/>
      <c r="B342" s="831"/>
      <c r="C342" s="829">
        <v>0.6</v>
      </c>
      <c r="D342" s="832">
        <f>-C341*C342*B341</f>
        <v>-3.5999999999999996</v>
      </c>
      <c r="E342" s="831"/>
      <c r="F342" s="831"/>
      <c r="G342" s="829">
        <v>1.73</v>
      </c>
      <c r="H342" s="832">
        <f>-(G341*G342*F341)</f>
        <v>-16.227400000000003</v>
      </c>
      <c r="I342" s="833"/>
      <c r="J342" s="818"/>
    </row>
    <row r="343" spans="1:10">
      <c r="A343" s="818"/>
      <c r="B343" s="831"/>
      <c r="C343" s="829"/>
      <c r="D343" s="832"/>
      <c r="E343" s="831"/>
      <c r="F343" s="831"/>
      <c r="G343" s="829"/>
      <c r="H343" s="832"/>
      <c r="I343" s="833"/>
      <c r="J343" s="818"/>
    </row>
    <row r="344" spans="1:10">
      <c r="A344" s="818"/>
      <c r="B344" s="831">
        <v>1</v>
      </c>
      <c r="C344" s="829">
        <v>12.1</v>
      </c>
      <c r="D344" s="832"/>
      <c r="E344" s="831" t="s">
        <v>84</v>
      </c>
      <c r="F344" s="831">
        <v>2</v>
      </c>
      <c r="G344" s="829">
        <v>1.2</v>
      </c>
      <c r="H344" s="832"/>
      <c r="I344" s="833" t="s">
        <v>121</v>
      </c>
      <c r="J344" s="818"/>
    </row>
    <row r="345" spans="1:10">
      <c r="A345" s="818"/>
      <c r="B345" s="831"/>
      <c r="C345" s="829">
        <v>3.06</v>
      </c>
      <c r="D345" s="832">
        <f>C344*C345*B344</f>
        <v>37.025999999999996</v>
      </c>
      <c r="E345" s="831" t="s">
        <v>202</v>
      </c>
      <c r="F345" s="831"/>
      <c r="G345" s="829">
        <v>2.73</v>
      </c>
      <c r="H345" s="832">
        <f>-(G344*G345*F344)</f>
        <v>-6.5519999999999996</v>
      </c>
      <c r="I345" s="833"/>
      <c r="J345" s="818"/>
    </row>
    <row r="346" spans="1:10">
      <c r="A346" s="818"/>
      <c r="B346" s="849"/>
      <c r="C346" s="850"/>
      <c r="D346" s="851"/>
      <c r="E346" s="849"/>
      <c r="F346" s="849"/>
      <c r="G346" s="850"/>
      <c r="H346" s="851"/>
      <c r="I346" s="852"/>
      <c r="J346" s="818"/>
    </row>
    <row r="347" spans="1:10">
      <c r="A347" s="818"/>
      <c r="B347" s="909" t="s">
        <v>1884</v>
      </c>
      <c r="C347" s="911" t="s">
        <v>526</v>
      </c>
      <c r="D347" s="910" t="s">
        <v>1885</v>
      </c>
      <c r="E347" s="911" t="s">
        <v>1886</v>
      </c>
      <c r="F347" s="909" t="s">
        <v>1884</v>
      </c>
      <c r="G347" s="911" t="s">
        <v>526</v>
      </c>
      <c r="H347" s="910" t="s">
        <v>1885</v>
      </c>
      <c r="I347" s="911" t="s">
        <v>1886</v>
      </c>
    </row>
    <row r="348" spans="1:10">
      <c r="A348" s="818"/>
      <c r="B348" s="831">
        <v>2</v>
      </c>
      <c r="C348" s="829">
        <v>1.5</v>
      </c>
      <c r="D348" s="832"/>
      <c r="E348" s="831" t="s">
        <v>205</v>
      </c>
      <c r="F348" s="831">
        <v>2</v>
      </c>
      <c r="G348" s="829">
        <v>1</v>
      </c>
      <c r="H348" s="832"/>
      <c r="I348" s="833" t="s">
        <v>192</v>
      </c>
    </row>
    <row r="349" spans="1:10">
      <c r="A349" s="818"/>
      <c r="B349" s="831"/>
      <c r="C349" s="829">
        <v>2.73</v>
      </c>
      <c r="D349" s="832">
        <f>-(C348*C349*B348)</f>
        <v>-8.19</v>
      </c>
      <c r="E349" s="831"/>
      <c r="F349" s="831"/>
      <c r="G349" s="829">
        <v>2.73</v>
      </c>
      <c r="H349" s="832">
        <f>-F348*G348*G349</f>
        <v>-5.46</v>
      </c>
      <c r="I349" s="833"/>
    </row>
    <row r="350" spans="1:10">
      <c r="A350" s="818"/>
      <c r="B350" s="831"/>
      <c r="C350" s="829"/>
      <c r="D350" s="832"/>
      <c r="E350" s="831"/>
      <c r="F350" s="831"/>
      <c r="G350" s="829"/>
      <c r="H350" s="832"/>
      <c r="I350" s="833"/>
    </row>
    <row r="351" spans="1:10">
      <c r="A351" s="818"/>
      <c r="B351" s="831">
        <v>1</v>
      </c>
      <c r="C351" s="829">
        <v>1.85</v>
      </c>
      <c r="D351" s="832"/>
      <c r="E351" s="831" t="s">
        <v>205</v>
      </c>
      <c r="F351" s="831">
        <v>2</v>
      </c>
      <c r="G351" s="829">
        <v>13.04</v>
      </c>
      <c r="H351" s="832"/>
      <c r="I351" s="833" t="s">
        <v>208</v>
      </c>
      <c r="J351" s="818"/>
    </row>
    <row r="352" spans="1:10">
      <c r="A352" s="818"/>
      <c r="B352" s="831"/>
      <c r="C352" s="829">
        <v>2.73</v>
      </c>
      <c r="D352" s="832">
        <f t="shared" ref="D352:D358" si="0">-(C351*C352*B351)</f>
        <v>-5.0505000000000004</v>
      </c>
      <c r="E352" s="831"/>
      <c r="F352" s="831"/>
      <c r="G352" s="829">
        <v>1.1299999999999999</v>
      </c>
      <c r="H352" s="832">
        <f>G351*G352*F351</f>
        <v>29.470399999999994</v>
      </c>
      <c r="I352" s="833" t="s">
        <v>210</v>
      </c>
      <c r="J352" s="818"/>
    </row>
    <row r="353" spans="1:10">
      <c r="A353" s="818"/>
      <c r="B353" s="831"/>
      <c r="C353" s="829"/>
      <c r="D353" s="832"/>
      <c r="E353" s="831"/>
      <c r="F353" s="831"/>
      <c r="G353" s="829"/>
      <c r="H353" s="832"/>
      <c r="I353" s="833"/>
      <c r="J353" s="818"/>
    </row>
    <row r="354" spans="1:10">
      <c r="A354" s="818"/>
      <c r="B354" s="831">
        <v>1</v>
      </c>
      <c r="C354" s="829">
        <v>2.15</v>
      </c>
      <c r="D354" s="832"/>
      <c r="E354" s="831" t="s">
        <v>121</v>
      </c>
      <c r="F354" s="831">
        <v>2</v>
      </c>
      <c r="G354" s="829">
        <v>1</v>
      </c>
      <c r="H354" s="832"/>
      <c r="I354" s="833" t="s">
        <v>192</v>
      </c>
      <c r="J354" s="818"/>
    </row>
    <row r="355" spans="1:10">
      <c r="A355" s="818"/>
      <c r="B355" s="831"/>
      <c r="C355" s="829">
        <v>2.73</v>
      </c>
      <c r="D355" s="832">
        <f t="shared" si="0"/>
        <v>-5.8694999999999995</v>
      </c>
      <c r="E355" s="831"/>
      <c r="F355" s="831"/>
      <c r="G355" s="829">
        <v>0.83</v>
      </c>
      <c r="H355" s="832">
        <f>-F354*G354*G355</f>
        <v>-1.66</v>
      </c>
      <c r="I355" s="833"/>
      <c r="J355" s="818"/>
    </row>
    <row r="356" spans="1:10">
      <c r="A356" s="818"/>
      <c r="B356" s="831"/>
      <c r="C356" s="829"/>
      <c r="D356" s="832"/>
      <c r="E356" s="831"/>
      <c r="F356" s="831"/>
      <c r="G356" s="829"/>
      <c r="H356" s="832"/>
      <c r="I356" s="833"/>
      <c r="J356" s="818"/>
    </row>
    <row r="357" spans="1:10">
      <c r="A357" s="818"/>
      <c r="B357" s="831">
        <v>1</v>
      </c>
      <c r="C357" s="829">
        <v>2.2999999999999998</v>
      </c>
      <c r="D357" s="832"/>
      <c r="E357" s="831" t="s">
        <v>121</v>
      </c>
      <c r="F357" s="831">
        <v>2</v>
      </c>
      <c r="G357" s="829">
        <v>1.5</v>
      </c>
      <c r="H357" s="832"/>
      <c r="I357" s="833" t="s">
        <v>212</v>
      </c>
      <c r="J357" s="818"/>
    </row>
    <row r="358" spans="1:10">
      <c r="A358" s="818"/>
      <c r="B358" s="831"/>
      <c r="C358" s="829">
        <v>2.73</v>
      </c>
      <c r="D358" s="832">
        <f t="shared" si="0"/>
        <v>-6.2789999999999999</v>
      </c>
      <c r="E358" s="831"/>
      <c r="F358" s="831"/>
      <c r="G358" s="829">
        <v>0.83</v>
      </c>
      <c r="H358" s="832">
        <f>-G357*G358*F357</f>
        <v>-2.4899999999999998</v>
      </c>
      <c r="I358" s="833"/>
      <c r="J358" s="818"/>
    </row>
    <row r="359" spans="1:10">
      <c r="A359" s="818"/>
      <c r="B359" s="831"/>
      <c r="C359" s="829"/>
      <c r="D359" s="832"/>
      <c r="E359" s="831"/>
      <c r="F359" s="831"/>
      <c r="G359" s="829"/>
      <c r="H359" s="832"/>
      <c r="I359" s="833"/>
      <c r="J359" s="818"/>
    </row>
    <row r="360" spans="1:10">
      <c r="A360" s="818"/>
      <c r="B360" s="831">
        <v>3</v>
      </c>
      <c r="C360" s="829">
        <v>26.5</v>
      </c>
      <c r="D360" s="832"/>
      <c r="E360" s="831" t="s">
        <v>207</v>
      </c>
      <c r="F360" s="831">
        <v>5</v>
      </c>
      <c r="G360" s="829">
        <v>10.8</v>
      </c>
      <c r="H360" s="832"/>
      <c r="I360" s="833" t="s">
        <v>84</v>
      </c>
      <c r="J360" s="818"/>
    </row>
    <row r="361" spans="1:10">
      <c r="A361" s="818"/>
      <c r="B361" s="831"/>
      <c r="C361" s="829">
        <v>3.06</v>
      </c>
      <c r="D361" s="832">
        <f>C360*C361*B360</f>
        <v>243.27</v>
      </c>
      <c r="E361" s="831" t="s">
        <v>209</v>
      </c>
      <c r="F361" s="831"/>
      <c r="G361" s="829">
        <v>3.06</v>
      </c>
      <c r="H361" s="832">
        <f>G360*G361*F360</f>
        <v>165.24</v>
      </c>
      <c r="I361" s="833" t="s">
        <v>1210</v>
      </c>
      <c r="J361" s="818"/>
    </row>
    <row r="362" spans="1:10">
      <c r="A362" s="818"/>
      <c r="B362" s="831"/>
      <c r="C362" s="829"/>
      <c r="D362" s="832"/>
      <c r="E362" s="831"/>
      <c r="F362" s="831"/>
      <c r="G362" s="829"/>
      <c r="H362" s="832"/>
      <c r="I362" s="833"/>
      <c r="J362" s="818"/>
    </row>
    <row r="363" spans="1:10">
      <c r="A363" s="818"/>
      <c r="B363" s="831">
        <v>3</v>
      </c>
      <c r="C363" s="829">
        <v>4.79</v>
      </c>
      <c r="D363" s="832"/>
      <c r="E363" s="831" t="s">
        <v>211</v>
      </c>
      <c r="F363" s="831">
        <v>5</v>
      </c>
      <c r="G363" s="829">
        <v>1.3</v>
      </c>
      <c r="H363" s="832"/>
      <c r="I363" s="833" t="s">
        <v>85</v>
      </c>
      <c r="J363" s="818"/>
    </row>
    <row r="364" spans="1:10">
      <c r="A364" s="818"/>
      <c r="B364" s="831"/>
      <c r="C364" s="829">
        <v>1.73</v>
      </c>
      <c r="D364" s="832">
        <f>-(C363*C364*B363)</f>
        <v>-24.860099999999999</v>
      </c>
      <c r="E364" s="831"/>
      <c r="F364" s="831"/>
      <c r="G364" s="829">
        <v>0.6</v>
      </c>
      <c r="H364" s="832">
        <f>-(G363*G364*F363)</f>
        <v>-3.9000000000000004</v>
      </c>
      <c r="I364" s="833"/>
      <c r="J364" s="818"/>
    </row>
    <row r="365" spans="1:10">
      <c r="A365" s="818"/>
      <c r="B365" s="831"/>
      <c r="C365" s="829"/>
      <c r="D365" s="832"/>
      <c r="E365" s="831"/>
      <c r="F365" s="831"/>
      <c r="G365" s="829"/>
      <c r="H365" s="832"/>
      <c r="I365" s="833"/>
      <c r="J365" s="818"/>
    </row>
    <row r="366" spans="1:10">
      <c r="A366" s="818"/>
      <c r="B366" s="831">
        <v>3</v>
      </c>
      <c r="C366" s="829">
        <v>1.2</v>
      </c>
      <c r="D366" s="832"/>
      <c r="E366" s="831" t="s">
        <v>121</v>
      </c>
      <c r="F366" s="831">
        <v>10</v>
      </c>
      <c r="G366" s="829">
        <v>0.8</v>
      </c>
      <c r="H366" s="832"/>
      <c r="I366" s="833" t="s">
        <v>28</v>
      </c>
      <c r="J366" s="818"/>
    </row>
    <row r="367" spans="1:10">
      <c r="A367" s="818"/>
      <c r="B367" s="831"/>
      <c r="C367" s="829">
        <v>2.73</v>
      </c>
      <c r="D367" s="832">
        <f>-(C366*C367*B366)</f>
        <v>-9.8279999999999994</v>
      </c>
      <c r="E367" s="831"/>
      <c r="F367" s="831"/>
      <c r="G367" s="829">
        <v>2.73</v>
      </c>
      <c r="H367" s="832">
        <f>-F366*G366*G367</f>
        <v>-21.84</v>
      </c>
      <c r="I367" s="833"/>
      <c r="J367" s="818"/>
    </row>
    <row r="368" spans="1:10">
      <c r="A368" s="818"/>
      <c r="B368" s="831"/>
      <c r="C368" s="829"/>
      <c r="D368" s="832"/>
      <c r="E368" s="831"/>
      <c r="F368" s="831"/>
      <c r="G368" s="829"/>
      <c r="H368" s="832"/>
      <c r="I368" s="833"/>
      <c r="J368" s="818"/>
    </row>
    <row r="369" spans="1:10">
      <c r="A369" s="818"/>
      <c r="B369" s="831">
        <v>3</v>
      </c>
      <c r="C369" s="829">
        <v>4.4000000000000004</v>
      </c>
      <c r="D369" s="832"/>
      <c r="E369" s="831" t="s">
        <v>77</v>
      </c>
      <c r="F369" s="831">
        <v>2</v>
      </c>
      <c r="G369" s="829">
        <v>18.7</v>
      </c>
      <c r="H369" s="832"/>
      <c r="I369" s="833" t="s">
        <v>1</v>
      </c>
      <c r="J369" s="818"/>
    </row>
    <row r="370" spans="1:10">
      <c r="A370" s="818"/>
      <c r="B370" s="831"/>
      <c r="C370" s="829">
        <v>2.73</v>
      </c>
      <c r="D370" s="832">
        <f>-(C369*C370*B369)</f>
        <v>-36.036000000000001</v>
      </c>
      <c r="E370" s="831"/>
      <c r="F370" s="831"/>
      <c r="G370" s="829">
        <v>0.4</v>
      </c>
      <c r="H370" s="832">
        <f>G369*G370*F369</f>
        <v>14.96</v>
      </c>
      <c r="I370" s="833"/>
      <c r="J370" s="818"/>
    </row>
    <row r="371" spans="1:10">
      <c r="A371" s="818"/>
      <c r="B371" s="831"/>
      <c r="C371" s="829"/>
      <c r="D371" s="832"/>
      <c r="E371" s="831"/>
      <c r="F371" s="831"/>
      <c r="G371" s="829"/>
      <c r="H371" s="832"/>
      <c r="I371" s="833"/>
      <c r="J371" s="818"/>
    </row>
    <row r="372" spans="1:10">
      <c r="A372" s="818"/>
      <c r="B372" s="831">
        <v>1</v>
      </c>
      <c r="C372" s="829">
        <v>12.6</v>
      </c>
      <c r="D372" s="832"/>
      <c r="E372" s="831" t="s">
        <v>213</v>
      </c>
      <c r="F372" s="831">
        <v>2</v>
      </c>
      <c r="G372" s="829">
        <v>38.5</v>
      </c>
      <c r="H372" s="832"/>
      <c r="I372" s="833" t="s">
        <v>121</v>
      </c>
      <c r="J372" s="818"/>
    </row>
    <row r="373" spans="1:10">
      <c r="A373" s="818"/>
      <c r="B373" s="831"/>
      <c r="C373" s="829">
        <v>3.06</v>
      </c>
      <c r="D373" s="832">
        <f>C372*C373*B372</f>
        <v>38.555999999999997</v>
      </c>
      <c r="E373" s="831" t="s">
        <v>214</v>
      </c>
      <c r="F373" s="831"/>
      <c r="G373" s="829">
        <v>0.4</v>
      </c>
      <c r="H373" s="832">
        <f>G372*G373*F372</f>
        <v>30.8</v>
      </c>
      <c r="I373" s="833"/>
      <c r="J373" s="818"/>
    </row>
    <row r="374" spans="1:10">
      <c r="A374" s="818"/>
      <c r="B374" s="831"/>
      <c r="C374" s="829"/>
      <c r="D374" s="832"/>
      <c r="E374" s="831"/>
      <c r="F374" s="831"/>
      <c r="G374" s="829"/>
      <c r="H374" s="832"/>
      <c r="I374" s="833"/>
      <c r="J374" s="818"/>
    </row>
    <row r="375" spans="1:10">
      <c r="A375" s="818"/>
      <c r="B375" s="831">
        <v>1</v>
      </c>
      <c r="C375" s="829">
        <v>11.5</v>
      </c>
      <c r="D375" s="832"/>
      <c r="E375" s="831" t="s">
        <v>183</v>
      </c>
      <c r="F375" s="831">
        <v>2</v>
      </c>
      <c r="G375" s="829">
        <v>19</v>
      </c>
      <c r="H375" s="832"/>
      <c r="I375" s="833" t="s">
        <v>217</v>
      </c>
      <c r="J375" s="818"/>
    </row>
    <row r="376" spans="1:10">
      <c r="A376" s="818"/>
      <c r="B376" s="831"/>
      <c r="C376" s="829">
        <v>3.06</v>
      </c>
      <c r="D376" s="832">
        <f>C375*C376*B375</f>
        <v>35.19</v>
      </c>
      <c r="E376" s="831" t="s">
        <v>215</v>
      </c>
      <c r="F376" s="831"/>
      <c r="G376" s="829">
        <v>0.3</v>
      </c>
      <c r="H376" s="832">
        <f>G375*G376*F375</f>
        <v>11.4</v>
      </c>
      <c r="I376" s="833"/>
      <c r="J376" s="818"/>
    </row>
    <row r="377" spans="1:10">
      <c r="A377" s="818"/>
      <c r="B377" s="831"/>
      <c r="C377" s="829"/>
      <c r="D377" s="832"/>
      <c r="E377" s="831"/>
      <c r="F377" s="831"/>
      <c r="G377" s="829"/>
      <c r="H377" s="832"/>
      <c r="I377" s="833"/>
      <c r="J377" s="818"/>
    </row>
    <row r="378" spans="1:10">
      <c r="A378" s="818"/>
      <c r="B378" s="831">
        <v>3</v>
      </c>
      <c r="C378" s="829">
        <v>0.9</v>
      </c>
      <c r="D378" s="832"/>
      <c r="E378" s="831" t="s">
        <v>59</v>
      </c>
      <c r="F378" s="831">
        <v>3</v>
      </c>
      <c r="G378" s="829">
        <v>38.700000000000003</v>
      </c>
      <c r="H378" s="832"/>
      <c r="I378" s="833" t="s">
        <v>121</v>
      </c>
      <c r="J378" s="818"/>
    </row>
    <row r="379" spans="1:10">
      <c r="A379" s="818"/>
      <c r="B379" s="831"/>
      <c r="C379" s="829">
        <v>2.73</v>
      </c>
      <c r="D379" s="832">
        <f>-C378*C379*B378</f>
        <v>-7.3709999999999996</v>
      </c>
      <c r="E379" s="831"/>
      <c r="F379" s="831"/>
      <c r="G379" s="829">
        <v>0.3</v>
      </c>
      <c r="H379" s="832">
        <f>G378*G379*F378</f>
        <v>34.830000000000005</v>
      </c>
      <c r="I379" s="833"/>
      <c r="J379" s="818"/>
    </row>
    <row r="380" spans="1:10">
      <c r="A380" s="818"/>
      <c r="B380" s="831"/>
      <c r="C380" s="829"/>
      <c r="D380" s="832"/>
      <c r="E380" s="831"/>
      <c r="F380" s="831"/>
      <c r="G380" s="829"/>
      <c r="H380" s="832"/>
      <c r="I380" s="833"/>
      <c r="J380" s="818"/>
    </row>
    <row r="381" spans="1:10">
      <c r="A381" s="818"/>
      <c r="B381" s="831">
        <v>1</v>
      </c>
      <c r="C381" s="829">
        <v>1.5</v>
      </c>
      <c r="D381" s="832"/>
      <c r="E381" s="831" t="s">
        <v>90</v>
      </c>
      <c r="F381" s="831">
        <v>26</v>
      </c>
      <c r="G381" s="829">
        <v>0.2</v>
      </c>
      <c r="H381" s="832"/>
      <c r="I381" s="833" t="s">
        <v>220</v>
      </c>
      <c r="J381" s="818"/>
    </row>
    <row r="382" spans="1:10">
      <c r="A382" s="818"/>
      <c r="B382" s="831"/>
      <c r="C382" s="829">
        <v>1.73</v>
      </c>
      <c r="D382" s="832">
        <f>-C381*C382*B381</f>
        <v>-2.5949999999999998</v>
      </c>
      <c r="E382" s="831"/>
      <c r="F382" s="831"/>
      <c r="G382" s="829">
        <v>2.73</v>
      </c>
      <c r="H382" s="832">
        <f>G381*G382*F381</f>
        <v>14.196000000000002</v>
      </c>
      <c r="I382" s="833"/>
      <c r="J382" s="818"/>
    </row>
    <row r="383" spans="1:10">
      <c r="A383" s="818"/>
      <c r="B383" s="831"/>
      <c r="C383" s="829"/>
      <c r="D383" s="832"/>
      <c r="E383" s="831"/>
      <c r="F383" s="831"/>
      <c r="G383" s="829"/>
      <c r="H383" s="832"/>
      <c r="I383" s="833"/>
      <c r="J383" s="818"/>
    </row>
    <row r="384" spans="1:10">
      <c r="A384" s="818"/>
      <c r="B384" s="831">
        <v>2</v>
      </c>
      <c r="C384" s="829">
        <v>26.3</v>
      </c>
      <c r="D384" s="832"/>
      <c r="E384" s="831" t="s">
        <v>216</v>
      </c>
      <c r="F384" s="831">
        <v>4</v>
      </c>
      <c r="G384" s="829">
        <v>0.8</v>
      </c>
      <c r="H384" s="832"/>
      <c r="I384" s="833" t="s">
        <v>220</v>
      </c>
      <c r="J384" s="818"/>
    </row>
    <row r="385" spans="1:10">
      <c r="A385" s="818"/>
      <c r="B385" s="831"/>
      <c r="C385" s="829">
        <v>3.06</v>
      </c>
      <c r="D385" s="832">
        <f>C384*C385*B384</f>
        <v>160.95600000000002</v>
      </c>
      <c r="E385" s="831" t="s">
        <v>218</v>
      </c>
      <c r="F385" s="831"/>
      <c r="G385" s="829">
        <v>2.73</v>
      </c>
      <c r="H385" s="832">
        <f>G384*G385*F384</f>
        <v>8.7360000000000007</v>
      </c>
      <c r="I385" s="833"/>
      <c r="J385" s="818"/>
    </row>
    <row r="386" spans="1:10">
      <c r="A386" s="818"/>
      <c r="B386" s="831"/>
      <c r="C386" s="829"/>
      <c r="D386" s="832"/>
      <c r="E386" s="831"/>
      <c r="F386" s="831"/>
      <c r="G386" s="829"/>
      <c r="H386" s="832"/>
      <c r="I386" s="833" t="s">
        <v>221</v>
      </c>
      <c r="J386" s="818"/>
    </row>
    <row r="387" spans="1:10">
      <c r="A387" s="818"/>
      <c r="B387" s="831">
        <v>2</v>
      </c>
      <c r="C387" s="829">
        <v>4.6900000000000004</v>
      </c>
      <c r="D387" s="832"/>
      <c r="E387" s="831" t="s">
        <v>219</v>
      </c>
      <c r="F387" s="831">
        <v>8</v>
      </c>
      <c r="G387" s="829">
        <v>0.2</v>
      </c>
      <c r="H387" s="832"/>
      <c r="I387" s="833" t="s">
        <v>220</v>
      </c>
      <c r="J387" s="818"/>
    </row>
    <row r="388" spans="1:10">
      <c r="A388" s="818"/>
      <c r="B388" s="831"/>
      <c r="C388" s="829">
        <v>1.73</v>
      </c>
      <c r="D388" s="832">
        <f>-(C387*C388*B387)</f>
        <v>-16.227400000000003</v>
      </c>
      <c r="E388" s="831"/>
      <c r="F388" s="831"/>
      <c r="G388" s="829">
        <v>0.7</v>
      </c>
      <c r="H388" s="832">
        <f>F387*G387*G388</f>
        <v>1.1199999999999999</v>
      </c>
      <c r="I388" s="833"/>
      <c r="J388" s="818"/>
    </row>
    <row r="389" spans="1:10">
      <c r="A389" s="818"/>
      <c r="B389" s="831"/>
      <c r="C389" s="829"/>
      <c r="D389" s="832"/>
      <c r="E389" s="831"/>
      <c r="F389" s="831"/>
      <c r="G389" s="829"/>
      <c r="H389" s="832"/>
      <c r="I389" s="833"/>
      <c r="J389" s="818"/>
    </row>
    <row r="390" spans="1:10">
      <c r="A390" s="818"/>
      <c r="B390" s="831">
        <v>2</v>
      </c>
      <c r="C390" s="829">
        <v>1.2</v>
      </c>
      <c r="D390" s="832"/>
      <c r="E390" s="831" t="s">
        <v>121</v>
      </c>
      <c r="F390" s="831">
        <v>6</v>
      </c>
      <c r="G390" s="829">
        <v>2.5</v>
      </c>
      <c r="H390" s="832"/>
      <c r="I390" s="833" t="s">
        <v>222</v>
      </c>
      <c r="J390" s="818"/>
    </row>
    <row r="391" spans="1:10">
      <c r="A391" s="818"/>
      <c r="B391" s="831"/>
      <c r="C391" s="829">
        <v>2.73</v>
      </c>
      <c r="D391" s="832">
        <f>-(C390*C391*B390)</f>
        <v>-6.5519999999999996</v>
      </c>
      <c r="E391" s="831"/>
      <c r="F391" s="831"/>
      <c r="G391" s="829">
        <v>0.8</v>
      </c>
      <c r="H391" s="832">
        <f>G390*G391*F390</f>
        <v>12</v>
      </c>
      <c r="I391" s="833" t="s">
        <v>223</v>
      </c>
      <c r="J391" s="818"/>
    </row>
    <row r="392" spans="1:10">
      <c r="A392" s="818"/>
      <c r="B392" s="831"/>
      <c r="C392" s="829"/>
      <c r="D392" s="832"/>
      <c r="E392" s="831"/>
      <c r="F392" s="831"/>
      <c r="G392" s="829"/>
      <c r="H392" s="832"/>
      <c r="I392" s="833"/>
      <c r="J392" s="818"/>
    </row>
    <row r="393" spans="1:10">
      <c r="A393" s="818"/>
      <c r="B393" s="831">
        <v>2</v>
      </c>
      <c r="C393" s="829">
        <v>4.4000000000000004</v>
      </c>
      <c r="D393" s="832"/>
      <c r="E393" s="831" t="s">
        <v>78</v>
      </c>
      <c r="F393" s="831">
        <v>4</v>
      </c>
      <c r="G393" s="829">
        <v>5.85</v>
      </c>
      <c r="H393" s="832"/>
      <c r="I393" s="833" t="s">
        <v>224</v>
      </c>
      <c r="J393" s="818"/>
    </row>
    <row r="394" spans="1:10">
      <c r="A394" s="818"/>
      <c r="B394" s="831"/>
      <c r="C394" s="829">
        <v>2.73</v>
      </c>
      <c r="D394" s="832">
        <f>-(C393*C394*B393)</f>
        <v>-24.024000000000001</v>
      </c>
      <c r="E394" s="831"/>
      <c r="F394" s="831"/>
      <c r="G394" s="829">
        <v>0.8</v>
      </c>
      <c r="H394" s="832">
        <f>G393*G394*F393</f>
        <v>18.72</v>
      </c>
      <c r="I394" s="833"/>
      <c r="J394" s="818"/>
    </row>
    <row r="395" spans="1:10">
      <c r="A395" s="818"/>
      <c r="B395" s="831"/>
      <c r="C395" s="829"/>
      <c r="D395" s="832"/>
      <c r="E395" s="831"/>
      <c r="F395" s="831"/>
      <c r="G395" s="829"/>
      <c r="H395" s="832"/>
      <c r="I395" s="833"/>
      <c r="J395" s="818"/>
    </row>
    <row r="396" spans="1:10">
      <c r="A396" s="818"/>
      <c r="B396" s="831">
        <v>1</v>
      </c>
      <c r="C396" s="829">
        <v>16.3</v>
      </c>
      <c r="D396" s="832"/>
      <c r="E396" s="831" t="s">
        <v>160</v>
      </c>
      <c r="F396" s="831">
        <v>3</v>
      </c>
      <c r="G396" s="829">
        <v>8.4</v>
      </c>
      <c r="H396" s="832"/>
      <c r="I396" s="833" t="s">
        <v>225</v>
      </c>
      <c r="J396" s="818"/>
    </row>
    <row r="397" spans="1:10">
      <c r="A397" s="818"/>
      <c r="B397" s="831"/>
      <c r="C397" s="829">
        <v>3.06</v>
      </c>
      <c r="D397" s="832">
        <f>C396*C397*B396</f>
        <v>49.878</v>
      </c>
      <c r="E397" s="831" t="s">
        <v>206</v>
      </c>
      <c r="F397" s="831"/>
      <c r="G397" s="829">
        <v>0.5</v>
      </c>
      <c r="H397" s="832">
        <f>G396*G397*F396</f>
        <v>12.600000000000001</v>
      </c>
      <c r="I397" s="833"/>
      <c r="J397" s="818"/>
    </row>
    <row r="398" spans="1:10">
      <c r="A398" s="818"/>
      <c r="B398" s="831"/>
      <c r="C398" s="829"/>
      <c r="D398" s="832"/>
      <c r="E398" s="831"/>
      <c r="F398" s="831"/>
      <c r="G398" s="829"/>
      <c r="H398" s="832"/>
      <c r="I398" s="833"/>
      <c r="J398" s="818"/>
    </row>
    <row r="399" spans="1:10">
      <c r="A399" s="818"/>
      <c r="B399" s="831">
        <v>1</v>
      </c>
      <c r="C399" s="829">
        <v>1.5</v>
      </c>
      <c r="D399" s="832"/>
      <c r="E399" s="831" t="s">
        <v>90</v>
      </c>
      <c r="F399" s="831">
        <v>1</v>
      </c>
      <c r="G399" s="829">
        <v>38</v>
      </c>
      <c r="H399" s="832"/>
      <c r="I399" s="833" t="s">
        <v>1211</v>
      </c>
      <c r="J399" s="818"/>
    </row>
    <row r="400" spans="1:10">
      <c r="A400" s="818"/>
      <c r="B400" s="831"/>
      <c r="C400" s="829">
        <v>1.73</v>
      </c>
      <c r="D400" s="832">
        <f>-C399*C400*B399</f>
        <v>-2.5949999999999998</v>
      </c>
      <c r="E400" s="831"/>
      <c r="F400" s="831"/>
      <c r="G400" s="829">
        <v>0.5</v>
      </c>
      <c r="H400" s="832"/>
      <c r="I400" s="833" t="s">
        <v>1212</v>
      </c>
      <c r="J400" s="818"/>
    </row>
    <row r="401" spans="1:10">
      <c r="A401" s="818"/>
      <c r="B401" s="831"/>
      <c r="C401" s="829"/>
      <c r="D401" s="832"/>
      <c r="E401" s="831"/>
      <c r="F401" s="831"/>
      <c r="G401" s="829"/>
      <c r="H401" s="832">
        <f>G399*G400*F399</f>
        <v>19</v>
      </c>
      <c r="I401" s="833"/>
      <c r="J401" s="818"/>
    </row>
    <row r="402" spans="1:10">
      <c r="A402" s="818"/>
      <c r="B402" s="849"/>
      <c r="C402" s="850"/>
      <c r="D402" s="851"/>
      <c r="E402" s="849"/>
      <c r="F402" s="849"/>
      <c r="G402" s="850"/>
      <c r="H402" s="851"/>
      <c r="I402" s="852"/>
      <c r="J402" s="818"/>
    </row>
    <row r="403" spans="1:10">
      <c r="A403" s="818"/>
      <c r="B403" s="909" t="s">
        <v>1884</v>
      </c>
      <c r="C403" s="911" t="s">
        <v>526</v>
      </c>
      <c r="D403" s="910" t="s">
        <v>1885</v>
      </c>
      <c r="E403" s="911" t="s">
        <v>1886</v>
      </c>
      <c r="F403" s="909" t="s">
        <v>1884</v>
      </c>
      <c r="G403" s="911" t="s">
        <v>526</v>
      </c>
      <c r="H403" s="910" t="s">
        <v>1885</v>
      </c>
      <c r="I403" s="911" t="s">
        <v>1886</v>
      </c>
    </row>
    <row r="404" spans="1:10">
      <c r="A404" s="818"/>
      <c r="B404" s="831"/>
      <c r="C404" s="829"/>
      <c r="D404" s="832"/>
      <c r="E404" s="831" t="s">
        <v>1213</v>
      </c>
      <c r="F404" s="831">
        <v>1</v>
      </c>
      <c r="G404" s="829">
        <v>3.35</v>
      </c>
      <c r="H404" s="832"/>
      <c r="I404" s="833" t="s">
        <v>158</v>
      </c>
    </row>
    <row r="405" spans="1:10">
      <c r="A405" s="818"/>
      <c r="B405" s="831">
        <v>12</v>
      </c>
      <c r="C405" s="829">
        <v>4.96</v>
      </c>
      <c r="D405" s="832"/>
      <c r="E405" s="831" t="s">
        <v>1214</v>
      </c>
      <c r="F405" s="831"/>
      <c r="G405" s="829">
        <v>2.2999999999999998</v>
      </c>
      <c r="H405" s="832">
        <f>G404*G405*F404</f>
        <v>7.7049999999999992</v>
      </c>
      <c r="I405" s="833"/>
    </row>
    <row r="406" spans="1:10">
      <c r="A406" s="818"/>
      <c r="B406" s="831"/>
      <c r="C406" s="829">
        <v>0.2</v>
      </c>
      <c r="D406" s="832">
        <f>C406*C405*B405</f>
        <v>11.904</v>
      </c>
      <c r="E406" s="831"/>
      <c r="F406" s="831"/>
      <c r="G406" s="829"/>
      <c r="H406" s="832"/>
      <c r="I406" s="833"/>
    </row>
    <row r="407" spans="1:10">
      <c r="A407" s="818"/>
      <c r="B407" s="831"/>
      <c r="C407" s="829"/>
      <c r="D407" s="832"/>
      <c r="E407" s="831"/>
      <c r="F407" s="831">
        <v>1</v>
      </c>
      <c r="G407" s="829">
        <v>2.2999999999999998</v>
      </c>
      <c r="H407" s="832"/>
      <c r="I407" s="833" t="s">
        <v>154</v>
      </c>
    </row>
    <row r="408" spans="1:10">
      <c r="A408" s="818"/>
      <c r="B408" s="831">
        <v>3</v>
      </c>
      <c r="C408" s="829">
        <v>4.76</v>
      </c>
      <c r="D408" s="832"/>
      <c r="E408" s="831" t="s">
        <v>1215</v>
      </c>
      <c r="F408" s="831"/>
      <c r="G408" s="829">
        <v>2.2999999999999998</v>
      </c>
      <c r="H408" s="832">
        <f>G407*G408*F407</f>
        <v>5.2899999999999991</v>
      </c>
      <c r="I408" s="833"/>
    </row>
    <row r="409" spans="1:10">
      <c r="A409" s="818"/>
      <c r="B409" s="831"/>
      <c r="C409" s="829">
        <v>0.2</v>
      </c>
      <c r="D409" s="832">
        <f>C409*C408*B408</f>
        <v>2.8559999999999999</v>
      </c>
      <c r="E409" s="831"/>
      <c r="F409" s="831"/>
      <c r="G409" s="829"/>
      <c r="H409" s="832"/>
      <c r="I409" s="833"/>
    </row>
    <row r="410" spans="1:10">
      <c r="A410" s="818"/>
      <c r="B410" s="831"/>
      <c r="C410" s="829"/>
      <c r="D410" s="832"/>
      <c r="E410" s="831"/>
      <c r="F410" s="831">
        <v>1</v>
      </c>
      <c r="G410" s="829">
        <v>5.85</v>
      </c>
      <c r="H410" s="832"/>
      <c r="I410" s="833" t="s">
        <v>160</v>
      </c>
    </row>
    <row r="411" spans="1:10">
      <c r="A411" s="818"/>
      <c r="B411" s="831">
        <v>1</v>
      </c>
      <c r="C411" s="829">
        <v>1.95</v>
      </c>
      <c r="D411" s="832"/>
      <c r="E411" s="831" t="s">
        <v>1216</v>
      </c>
      <c r="F411" s="831"/>
      <c r="G411" s="829">
        <v>1.5</v>
      </c>
      <c r="H411" s="832">
        <f>G410*G411*F410</f>
        <v>8.7749999999999986</v>
      </c>
      <c r="I411" s="833"/>
    </row>
    <row r="412" spans="1:10">
      <c r="A412" s="818"/>
      <c r="B412" s="831"/>
      <c r="C412" s="829">
        <v>0.2</v>
      </c>
      <c r="D412" s="832">
        <f>C412*C411*B411</f>
        <v>0.39</v>
      </c>
      <c r="E412" s="831"/>
      <c r="F412" s="831"/>
      <c r="G412" s="829"/>
      <c r="H412" s="832"/>
      <c r="I412" s="833"/>
    </row>
    <row r="413" spans="1:10">
      <c r="A413" s="818"/>
      <c r="B413" s="831"/>
      <c r="C413" s="829"/>
      <c r="D413" s="832"/>
      <c r="E413" s="831"/>
      <c r="F413" s="831">
        <v>2</v>
      </c>
      <c r="G413" s="829">
        <v>2.85</v>
      </c>
      <c r="H413" s="832"/>
      <c r="I413" s="833" t="s">
        <v>163</v>
      </c>
    </row>
    <row r="414" spans="1:10">
      <c r="A414" s="818"/>
      <c r="B414" s="831">
        <v>5</v>
      </c>
      <c r="C414" s="829">
        <v>2.1</v>
      </c>
      <c r="D414" s="832"/>
      <c r="E414" s="831" t="s">
        <v>1217</v>
      </c>
      <c r="F414" s="831"/>
      <c r="G414" s="829">
        <v>1.7</v>
      </c>
      <c r="H414" s="832">
        <f>G413*G414*F413</f>
        <v>9.69</v>
      </c>
      <c r="I414" s="833"/>
    </row>
    <row r="415" spans="1:10">
      <c r="A415" s="818"/>
      <c r="B415" s="831"/>
      <c r="C415" s="829">
        <v>0.2</v>
      </c>
      <c r="D415" s="832">
        <f>C415*C414*B414</f>
        <v>2.1</v>
      </c>
      <c r="E415" s="831"/>
      <c r="F415" s="831"/>
      <c r="G415" s="829"/>
      <c r="H415" s="832"/>
      <c r="I415" s="833"/>
    </row>
    <row r="416" spans="1:10">
      <c r="A416" s="818"/>
      <c r="B416" s="831"/>
      <c r="C416" s="829"/>
      <c r="D416" s="832"/>
      <c r="E416" s="831"/>
      <c r="F416" s="831">
        <v>1</v>
      </c>
      <c r="G416" s="829">
        <v>5.85</v>
      </c>
      <c r="H416" s="832"/>
      <c r="I416" s="833" t="s">
        <v>166</v>
      </c>
    </row>
    <row r="417" spans="1:10">
      <c r="A417" s="818"/>
      <c r="B417" s="831">
        <v>7</v>
      </c>
      <c r="C417" s="829">
        <v>3.9</v>
      </c>
      <c r="D417" s="832"/>
      <c r="E417" s="831" t="s">
        <v>1218</v>
      </c>
      <c r="F417" s="831"/>
      <c r="G417" s="829">
        <v>2.2999999999999998</v>
      </c>
      <c r="H417" s="832">
        <f>G416*G417*F416</f>
        <v>13.454999999999998</v>
      </c>
      <c r="I417" s="833"/>
    </row>
    <row r="418" spans="1:10">
      <c r="A418" s="818"/>
      <c r="B418" s="831"/>
      <c r="C418" s="829">
        <v>0.2</v>
      </c>
      <c r="D418" s="832">
        <f>C418*C417*B417</f>
        <v>5.46</v>
      </c>
      <c r="E418" s="831"/>
      <c r="F418" s="831"/>
      <c r="G418" s="829"/>
      <c r="H418" s="832"/>
      <c r="I418" s="833"/>
    </row>
    <row r="419" spans="1:10">
      <c r="A419" s="818"/>
      <c r="B419" s="831"/>
      <c r="C419" s="829"/>
      <c r="D419" s="832"/>
      <c r="E419" s="831"/>
      <c r="F419" s="831">
        <v>1</v>
      </c>
      <c r="G419" s="829">
        <v>4.75</v>
      </c>
      <c r="H419" s="832"/>
      <c r="I419" s="833" t="s">
        <v>168</v>
      </c>
    </row>
    <row r="420" spans="1:10">
      <c r="A420" s="818"/>
      <c r="B420" s="831">
        <v>1</v>
      </c>
      <c r="C420" s="829">
        <v>7.2</v>
      </c>
      <c r="D420" s="832"/>
      <c r="E420" s="831" t="s">
        <v>1219</v>
      </c>
      <c r="F420" s="831"/>
      <c r="G420" s="829">
        <v>5.85</v>
      </c>
      <c r="H420" s="832">
        <f>G419*G420*F419</f>
        <v>27.787499999999998</v>
      </c>
      <c r="I420" s="833"/>
      <c r="J420" s="818"/>
    </row>
    <row r="421" spans="1:10">
      <c r="A421" s="818"/>
      <c r="B421" s="831"/>
      <c r="C421" s="829">
        <v>0.2</v>
      </c>
      <c r="D421" s="832">
        <f>C421*C420*B420</f>
        <v>1.4400000000000002</v>
      </c>
      <c r="E421" s="831"/>
      <c r="F421" s="831"/>
      <c r="G421" s="829"/>
      <c r="H421" s="832"/>
      <c r="I421" s="833"/>
      <c r="J421" s="818"/>
    </row>
    <row r="422" spans="1:10">
      <c r="A422" s="818"/>
      <c r="B422" s="831"/>
      <c r="C422" s="829"/>
      <c r="D422" s="832"/>
      <c r="E422" s="831"/>
      <c r="F422" s="831">
        <v>1</v>
      </c>
      <c r="G422" s="829">
        <v>3.95</v>
      </c>
      <c r="H422" s="832"/>
      <c r="I422" s="833" t="s">
        <v>173</v>
      </c>
      <c r="J422" s="818"/>
    </row>
    <row r="423" spans="1:10">
      <c r="A423" s="818"/>
      <c r="B423" s="831">
        <v>1</v>
      </c>
      <c r="C423" s="829">
        <v>2.4</v>
      </c>
      <c r="D423" s="832"/>
      <c r="E423" s="831" t="s">
        <v>1220</v>
      </c>
      <c r="F423" s="831"/>
      <c r="G423" s="829">
        <v>5.85</v>
      </c>
      <c r="H423" s="832">
        <f>G422*G423*F422</f>
        <v>23.107499999999998</v>
      </c>
      <c r="I423" s="833"/>
      <c r="J423" s="818"/>
    </row>
    <row r="424" spans="1:10">
      <c r="A424" s="818"/>
      <c r="B424" s="831"/>
      <c r="C424" s="829">
        <v>0.2</v>
      </c>
      <c r="D424" s="832">
        <f>C424*C423*B423</f>
        <v>0.48</v>
      </c>
      <c r="E424" s="831"/>
      <c r="F424" s="831"/>
      <c r="G424" s="829"/>
      <c r="H424" s="832"/>
      <c r="I424" s="833"/>
      <c r="J424" s="818"/>
    </row>
    <row r="425" spans="1:10">
      <c r="A425" s="818"/>
      <c r="B425" s="831"/>
      <c r="C425" s="829"/>
      <c r="D425" s="832"/>
      <c r="E425" s="831"/>
      <c r="F425" s="831">
        <v>1</v>
      </c>
      <c r="G425" s="829">
        <v>2.2999999999999998</v>
      </c>
      <c r="H425" s="832"/>
      <c r="I425" s="833" t="s">
        <v>178</v>
      </c>
      <c r="J425" s="818"/>
    </row>
    <row r="426" spans="1:10">
      <c r="A426" s="818"/>
      <c r="B426" s="831">
        <v>10</v>
      </c>
      <c r="C426" s="829">
        <v>1.73</v>
      </c>
      <c r="D426" s="832"/>
      <c r="E426" s="831" t="s">
        <v>1222</v>
      </c>
      <c r="F426" s="831"/>
      <c r="G426" s="829">
        <v>1.3</v>
      </c>
      <c r="H426" s="832">
        <f>G425*G426*F425</f>
        <v>2.9899999999999998</v>
      </c>
      <c r="I426" s="833"/>
      <c r="J426" s="818"/>
    </row>
    <row r="427" spans="1:10">
      <c r="A427" s="818"/>
      <c r="B427" s="831"/>
      <c r="C427" s="829">
        <v>0.2</v>
      </c>
      <c r="D427" s="832">
        <f>C427*C426*B426</f>
        <v>3.4600000000000004</v>
      </c>
      <c r="E427" s="831"/>
      <c r="F427" s="831"/>
      <c r="G427" s="829"/>
      <c r="H427" s="832"/>
      <c r="I427" s="833"/>
      <c r="J427" s="818"/>
    </row>
    <row r="428" spans="1:10">
      <c r="A428" s="818"/>
      <c r="B428" s="831"/>
      <c r="C428" s="829"/>
      <c r="D428" s="832"/>
      <c r="E428" s="831" t="s">
        <v>1221</v>
      </c>
      <c r="F428" s="831">
        <v>1</v>
      </c>
      <c r="G428" s="829">
        <v>2.2999999999999998</v>
      </c>
      <c r="H428" s="832"/>
      <c r="I428" s="833" t="s">
        <v>227</v>
      </c>
      <c r="J428" s="818"/>
    </row>
    <row r="429" spans="1:10">
      <c r="A429" s="818"/>
      <c r="B429" s="831">
        <v>27</v>
      </c>
      <c r="C429" s="829">
        <v>2.73</v>
      </c>
      <c r="D429" s="832"/>
      <c r="E429" s="831"/>
      <c r="F429" s="831"/>
      <c r="G429" s="829">
        <v>4.4000000000000004</v>
      </c>
      <c r="H429" s="832">
        <f>G428*G429*F428</f>
        <v>10.119999999999999</v>
      </c>
      <c r="I429" s="833"/>
      <c r="J429" s="818"/>
    </row>
    <row r="430" spans="1:10">
      <c r="A430" s="818"/>
      <c r="B430" s="831"/>
      <c r="C430" s="829">
        <v>0.2</v>
      </c>
      <c r="D430" s="832">
        <f>C430*C429*B429</f>
        <v>14.742000000000001</v>
      </c>
      <c r="E430" s="831"/>
      <c r="F430" s="831"/>
      <c r="G430" s="829"/>
      <c r="H430" s="832"/>
      <c r="I430" s="833"/>
      <c r="J430" s="818"/>
    </row>
    <row r="431" spans="1:10">
      <c r="A431" s="818"/>
      <c r="B431" s="831"/>
      <c r="C431" s="829"/>
      <c r="D431" s="832"/>
      <c r="E431" s="831"/>
      <c r="F431" s="831">
        <v>1</v>
      </c>
      <c r="G431" s="829">
        <v>3.4</v>
      </c>
      <c r="H431" s="832"/>
      <c r="I431" s="833" t="s">
        <v>84</v>
      </c>
      <c r="J431" s="818"/>
    </row>
    <row r="432" spans="1:10">
      <c r="A432" s="818"/>
      <c r="B432" s="839"/>
      <c r="C432" s="839"/>
      <c r="D432" s="838">
        <f>SUM(D405:D431)+SUM(H349:H401)+SUM(D349:D401)+SUM(D297:D345)+SUM(H269:H293)+SUM(D236:D294)+SUM(H297:H345)</f>
        <v>1502.5857000000001</v>
      </c>
      <c r="E432" s="845" t="s">
        <v>2184</v>
      </c>
      <c r="F432" s="831"/>
      <c r="G432" s="829">
        <v>1.33</v>
      </c>
      <c r="H432" s="832">
        <f>G431*G432*F431</f>
        <v>4.5220000000000002</v>
      </c>
      <c r="I432" s="833"/>
      <c r="J432" s="818"/>
    </row>
    <row r="433" spans="1:10">
      <c r="A433" s="818"/>
      <c r="B433" s="831"/>
      <c r="C433" s="829"/>
      <c r="D433" s="832"/>
      <c r="E433" s="831"/>
      <c r="F433" s="831"/>
      <c r="G433" s="829"/>
      <c r="H433" s="832"/>
      <c r="I433" s="833"/>
      <c r="J433" s="818"/>
    </row>
    <row r="434" spans="1:10">
      <c r="A434" s="818"/>
      <c r="B434" s="831"/>
      <c r="C434" s="829"/>
      <c r="D434" s="832"/>
      <c r="E434" s="837" t="s">
        <v>226</v>
      </c>
      <c r="F434" s="831">
        <v>1</v>
      </c>
      <c r="G434" s="829">
        <v>2.2999999999999998</v>
      </c>
      <c r="H434" s="832"/>
      <c r="I434" s="833"/>
      <c r="J434" s="818"/>
    </row>
    <row r="435" spans="1:10">
      <c r="A435" s="818"/>
      <c r="B435" s="831"/>
      <c r="C435" s="829"/>
      <c r="D435" s="832"/>
      <c r="E435" s="831"/>
      <c r="F435" s="831"/>
      <c r="G435" s="829">
        <v>1.33</v>
      </c>
      <c r="H435" s="832">
        <f>G434*G435*F434</f>
        <v>3.0589999999999997</v>
      </c>
      <c r="I435" s="833" t="s">
        <v>121</v>
      </c>
      <c r="J435" s="818"/>
    </row>
    <row r="436" spans="1:10">
      <c r="A436" s="818"/>
      <c r="B436" s="831">
        <v>2</v>
      </c>
      <c r="C436" s="829">
        <v>6</v>
      </c>
      <c r="D436" s="832"/>
      <c r="E436" s="831" t="s">
        <v>207</v>
      </c>
      <c r="F436" s="831"/>
      <c r="G436" s="829"/>
      <c r="H436" s="832"/>
      <c r="I436" s="833"/>
      <c r="J436" s="818"/>
    </row>
    <row r="437" spans="1:10">
      <c r="A437" s="818"/>
      <c r="B437" s="831"/>
      <c r="C437" s="829">
        <v>7.2</v>
      </c>
      <c r="D437" s="832">
        <f>C436*C437*B436</f>
        <v>86.4</v>
      </c>
      <c r="E437" s="831"/>
      <c r="F437" s="831">
        <v>1</v>
      </c>
      <c r="G437" s="829">
        <v>2.13</v>
      </c>
      <c r="H437" s="832"/>
      <c r="I437" s="833" t="s">
        <v>227</v>
      </c>
      <c r="J437" s="818"/>
    </row>
    <row r="438" spans="1:10">
      <c r="A438" s="818"/>
      <c r="B438" s="831"/>
      <c r="C438" s="829"/>
      <c r="D438" s="832"/>
      <c r="E438" s="831"/>
      <c r="F438" s="831"/>
      <c r="G438" s="829">
        <v>4.4000000000000004</v>
      </c>
      <c r="H438" s="832">
        <f>G437*G438*F437</f>
        <v>9.3719999999999999</v>
      </c>
      <c r="I438" s="833"/>
      <c r="J438" s="818"/>
    </row>
    <row r="439" spans="1:10">
      <c r="A439" s="818"/>
      <c r="B439" s="831">
        <v>1</v>
      </c>
      <c r="C439" s="829">
        <v>2.5</v>
      </c>
      <c r="D439" s="832"/>
      <c r="E439" s="831" t="s">
        <v>213</v>
      </c>
      <c r="F439" s="831"/>
      <c r="G439" s="829"/>
      <c r="H439" s="832"/>
      <c r="I439" s="833"/>
      <c r="J439" s="818"/>
    </row>
    <row r="440" spans="1:10">
      <c r="A440" s="818"/>
      <c r="B440" s="831"/>
      <c r="C440" s="829">
        <v>3.8</v>
      </c>
      <c r="D440" s="832">
        <f>C439*C440*B439</f>
        <v>9.5</v>
      </c>
      <c r="E440" s="831"/>
      <c r="F440" s="831">
        <v>1</v>
      </c>
      <c r="G440" s="829">
        <v>2.13</v>
      </c>
      <c r="H440" s="832"/>
      <c r="I440" s="833" t="s">
        <v>171</v>
      </c>
      <c r="J440" s="818"/>
    </row>
    <row r="441" spans="1:10">
      <c r="A441" s="818"/>
      <c r="B441" s="831"/>
      <c r="C441" s="829"/>
      <c r="D441" s="832"/>
      <c r="E441" s="831"/>
      <c r="F441" s="831"/>
      <c r="G441" s="829">
        <v>1.3</v>
      </c>
      <c r="H441" s="832">
        <f>G440*G441*F440</f>
        <v>2.7690000000000001</v>
      </c>
      <c r="I441" s="833"/>
      <c r="J441" s="818"/>
    </row>
    <row r="442" spans="1:10">
      <c r="A442" s="818"/>
      <c r="B442" s="831">
        <v>1</v>
      </c>
      <c r="C442" s="829">
        <v>2.5</v>
      </c>
      <c r="D442" s="832"/>
      <c r="E442" s="831" t="s">
        <v>183</v>
      </c>
      <c r="F442" s="831"/>
      <c r="G442" s="829"/>
      <c r="H442" s="832"/>
      <c r="I442" s="833"/>
      <c r="J442" s="818"/>
    </row>
    <row r="443" spans="1:10">
      <c r="A443" s="818"/>
      <c r="B443" s="831"/>
      <c r="C443" s="829">
        <v>3.25</v>
      </c>
      <c r="D443" s="832">
        <f>C442*C443*B442</f>
        <v>8.125</v>
      </c>
      <c r="E443" s="831"/>
      <c r="F443" s="831">
        <v>1</v>
      </c>
      <c r="G443" s="829">
        <v>2.15</v>
      </c>
      <c r="H443" s="832"/>
      <c r="I443" s="833" t="s">
        <v>213</v>
      </c>
      <c r="J443" s="818"/>
    </row>
    <row r="444" spans="1:10">
      <c r="A444" s="818"/>
      <c r="B444" s="831"/>
      <c r="C444" s="829"/>
      <c r="D444" s="832"/>
      <c r="E444" s="831"/>
      <c r="F444" s="831"/>
      <c r="G444" s="829">
        <v>4</v>
      </c>
      <c r="H444" s="832">
        <f>G443*G444*F443</f>
        <v>8.6</v>
      </c>
      <c r="I444" s="833"/>
      <c r="J444" s="818"/>
    </row>
    <row r="445" spans="1:10">
      <c r="A445" s="818"/>
      <c r="B445" s="831">
        <v>3</v>
      </c>
      <c r="C445" s="829">
        <v>6</v>
      </c>
      <c r="D445" s="832"/>
      <c r="E445" s="831" t="s">
        <v>216</v>
      </c>
      <c r="F445" s="831"/>
      <c r="G445" s="829"/>
      <c r="H445" s="832"/>
      <c r="I445" s="833"/>
      <c r="J445" s="818"/>
    </row>
    <row r="446" spans="1:10">
      <c r="A446" s="818"/>
      <c r="B446" s="831"/>
      <c r="C446" s="829">
        <v>7.2</v>
      </c>
      <c r="D446" s="832">
        <f>C445*C446*B445</f>
        <v>129.60000000000002</v>
      </c>
      <c r="E446" s="831"/>
      <c r="F446" s="831">
        <v>1</v>
      </c>
      <c r="G446" s="829">
        <v>2.15</v>
      </c>
      <c r="H446" s="832"/>
      <c r="I446" s="833" t="s">
        <v>183</v>
      </c>
      <c r="J446" s="818"/>
    </row>
    <row r="447" spans="1:10">
      <c r="A447" s="818"/>
      <c r="B447" s="831"/>
      <c r="C447" s="829"/>
      <c r="D447" s="832"/>
      <c r="E447" s="831"/>
      <c r="F447" s="831"/>
      <c r="G447" s="829">
        <v>1.7</v>
      </c>
      <c r="H447" s="832">
        <f>G446*G447*F446</f>
        <v>3.6549999999999998</v>
      </c>
      <c r="I447" s="833"/>
      <c r="J447" s="818"/>
    </row>
    <row r="448" spans="1:10">
      <c r="A448" s="818"/>
      <c r="B448" s="831">
        <v>1</v>
      </c>
      <c r="C448" s="829">
        <v>7.2</v>
      </c>
      <c r="D448" s="832"/>
      <c r="E448" s="831" t="s">
        <v>223</v>
      </c>
      <c r="F448" s="831"/>
      <c r="G448" s="829"/>
      <c r="H448" s="832"/>
      <c r="I448" s="833"/>
      <c r="J448" s="818"/>
    </row>
    <row r="449" spans="1:10">
      <c r="A449" s="818"/>
      <c r="B449" s="831"/>
      <c r="C449" s="829">
        <v>1.5</v>
      </c>
      <c r="D449" s="832">
        <f>C448*C449*B448</f>
        <v>10.8</v>
      </c>
      <c r="E449" s="831"/>
      <c r="F449" s="831">
        <v>2</v>
      </c>
      <c r="G449" s="829">
        <v>2.5</v>
      </c>
      <c r="H449" s="832"/>
      <c r="I449" s="833" t="s">
        <v>84</v>
      </c>
      <c r="J449" s="818"/>
    </row>
    <row r="450" spans="1:10">
      <c r="A450" s="818"/>
      <c r="B450" s="831"/>
      <c r="C450" s="829"/>
      <c r="D450" s="832"/>
      <c r="E450" s="831"/>
      <c r="F450" s="831"/>
      <c r="G450" s="829">
        <v>4.3499999999999996</v>
      </c>
      <c r="H450" s="832">
        <f>G449*G450*F449</f>
        <v>21.75</v>
      </c>
      <c r="I450" s="833"/>
      <c r="J450" s="818"/>
    </row>
    <row r="451" spans="1:10">
      <c r="A451" s="818"/>
      <c r="B451" s="831">
        <v>2</v>
      </c>
      <c r="C451" s="829">
        <v>3</v>
      </c>
      <c r="D451" s="832"/>
      <c r="E451" s="831" t="s">
        <v>208</v>
      </c>
      <c r="F451" s="831"/>
      <c r="G451" s="829"/>
      <c r="H451" s="832"/>
      <c r="I451" s="833"/>
      <c r="J451" s="818"/>
    </row>
    <row r="452" spans="1:10">
      <c r="A452" s="818"/>
      <c r="B452" s="831"/>
      <c r="C452" s="829">
        <v>3.53</v>
      </c>
      <c r="D452" s="832">
        <f>C451*C452*B451</f>
        <v>21.18</v>
      </c>
      <c r="E452" s="831"/>
      <c r="F452" s="831">
        <v>2</v>
      </c>
      <c r="G452" s="829">
        <v>1.35</v>
      </c>
      <c r="H452" s="832"/>
      <c r="I452" s="833" t="s">
        <v>228</v>
      </c>
      <c r="J452" s="818"/>
    </row>
    <row r="453" spans="1:10">
      <c r="A453" s="818"/>
      <c r="B453" s="831"/>
      <c r="C453" s="829"/>
      <c r="D453" s="832"/>
      <c r="E453" s="831"/>
      <c r="F453" s="831"/>
      <c r="G453" s="829">
        <v>2.5</v>
      </c>
      <c r="H453" s="832">
        <f>G452*G453*F452</f>
        <v>6.75</v>
      </c>
      <c r="I453" s="833"/>
      <c r="J453" s="818"/>
    </row>
    <row r="454" spans="1:10">
      <c r="A454" s="818"/>
      <c r="B454" s="831">
        <v>1</v>
      </c>
      <c r="C454" s="829">
        <v>36.9</v>
      </c>
      <c r="D454" s="832"/>
      <c r="E454" s="831" t="s">
        <v>196</v>
      </c>
      <c r="F454" s="831"/>
      <c r="G454" s="829"/>
      <c r="H454" s="832"/>
      <c r="I454" s="833"/>
      <c r="J454" s="818"/>
    </row>
    <row r="455" spans="1:10">
      <c r="A455" s="818"/>
      <c r="B455" s="831"/>
      <c r="C455" s="829">
        <v>2.5</v>
      </c>
      <c r="D455" s="832">
        <f>C454*C455*B454</f>
        <v>92.25</v>
      </c>
      <c r="E455" s="831"/>
      <c r="F455" s="831">
        <v>1</v>
      </c>
      <c r="G455" s="829">
        <v>1.85</v>
      </c>
      <c r="H455" s="832"/>
      <c r="I455" s="833" t="s">
        <v>84</v>
      </c>
      <c r="J455" s="818"/>
    </row>
    <row r="456" spans="1:10">
      <c r="A456" s="818"/>
      <c r="B456" s="435"/>
      <c r="C456" s="435"/>
      <c r="D456" s="435"/>
      <c r="E456" s="435"/>
      <c r="F456" s="831"/>
      <c r="G456" s="829">
        <v>1.7</v>
      </c>
      <c r="H456" s="832">
        <f>G455*G456*F455</f>
        <v>3.145</v>
      </c>
      <c r="I456" s="833"/>
      <c r="J456" s="818"/>
    </row>
    <row r="457" spans="1:10">
      <c r="A457" s="818"/>
      <c r="B457" s="435"/>
      <c r="C457" s="435"/>
      <c r="D457" s="435"/>
      <c r="E457" s="435"/>
      <c r="F457" s="831"/>
      <c r="G457" s="829"/>
      <c r="H457" s="832"/>
      <c r="I457" s="833"/>
      <c r="J457" s="818"/>
    </row>
    <row r="458" spans="1:10">
      <c r="A458" s="818"/>
      <c r="B458" s="109"/>
      <c r="C458" s="109"/>
      <c r="D458" s="109"/>
      <c r="E458" s="109"/>
      <c r="F458" s="849"/>
      <c r="G458" s="850"/>
      <c r="H458" s="851"/>
      <c r="I458" s="852"/>
      <c r="J458" s="818"/>
    </row>
    <row r="459" spans="1:10">
      <c r="A459" s="828"/>
      <c r="B459" s="909" t="s">
        <v>1884</v>
      </c>
      <c r="C459" s="911" t="s">
        <v>526</v>
      </c>
      <c r="D459" s="910" t="s">
        <v>1885</v>
      </c>
      <c r="E459" s="911" t="s">
        <v>1886</v>
      </c>
      <c r="F459" s="909" t="s">
        <v>1884</v>
      </c>
      <c r="G459" s="911" t="s">
        <v>526</v>
      </c>
      <c r="H459" s="910" t="s">
        <v>1885</v>
      </c>
      <c r="I459" s="911" t="s">
        <v>1886</v>
      </c>
      <c r="J459" s="828"/>
    </row>
    <row r="460" spans="1:10">
      <c r="A460" s="818"/>
      <c r="B460" s="831">
        <v>1</v>
      </c>
      <c r="C460" s="829">
        <v>4</v>
      </c>
      <c r="D460" s="832"/>
      <c r="E460" s="831" t="s">
        <v>160</v>
      </c>
      <c r="F460" s="831">
        <v>1</v>
      </c>
      <c r="G460" s="829">
        <v>38.299999999999997</v>
      </c>
      <c r="H460" s="832"/>
      <c r="I460" s="833" t="s">
        <v>196</v>
      </c>
    </row>
    <row r="461" spans="1:10">
      <c r="A461" s="818"/>
      <c r="B461" s="831"/>
      <c r="C461" s="829">
        <v>1.85</v>
      </c>
      <c r="D461" s="832">
        <f>C460*C461*B460</f>
        <v>7.4</v>
      </c>
      <c r="E461" s="831"/>
      <c r="F461" s="831"/>
      <c r="G461" s="829">
        <v>2.5</v>
      </c>
      <c r="H461" s="832">
        <f>G460*G461*F460</f>
        <v>95.75</v>
      </c>
      <c r="I461" s="833"/>
    </row>
    <row r="462" spans="1:10">
      <c r="A462" s="818"/>
      <c r="B462" s="831"/>
      <c r="C462" s="829"/>
      <c r="D462" s="832"/>
      <c r="E462" s="831"/>
      <c r="F462" s="831"/>
      <c r="G462" s="829"/>
      <c r="H462" s="832"/>
      <c r="I462" s="833"/>
    </row>
    <row r="463" spans="1:10">
      <c r="A463" s="818"/>
      <c r="B463" s="831">
        <v>2</v>
      </c>
      <c r="C463" s="829">
        <v>4.6500000000000004</v>
      </c>
      <c r="D463" s="832">
        <f>B463*C463*C464</f>
        <v>26.505000000000003</v>
      </c>
      <c r="E463" s="831" t="s">
        <v>193</v>
      </c>
      <c r="F463" s="831">
        <v>1</v>
      </c>
      <c r="G463" s="829">
        <v>3.55</v>
      </c>
      <c r="H463" s="832"/>
      <c r="I463" s="833" t="s">
        <v>158</v>
      </c>
    </row>
    <row r="464" spans="1:10">
      <c r="A464" s="818"/>
      <c r="B464" s="831"/>
      <c r="C464" s="829">
        <v>2.85</v>
      </c>
      <c r="D464" s="832"/>
      <c r="E464" s="831"/>
      <c r="F464" s="831"/>
      <c r="G464" s="829">
        <v>2.2999999999999998</v>
      </c>
      <c r="H464" s="832">
        <f>G463*G464*F463</f>
        <v>8.1649999999999991</v>
      </c>
      <c r="I464" s="833"/>
    </row>
    <row r="465" spans="1:10">
      <c r="A465" s="818"/>
      <c r="B465" s="831"/>
      <c r="C465" s="829"/>
      <c r="D465" s="832"/>
      <c r="E465" s="831"/>
      <c r="F465" s="831"/>
      <c r="G465" s="829"/>
      <c r="H465" s="832"/>
      <c r="I465" s="833"/>
    </row>
    <row r="466" spans="1:10">
      <c r="A466" s="818"/>
      <c r="B466" s="831">
        <v>5</v>
      </c>
      <c r="C466" s="829">
        <v>2.15</v>
      </c>
      <c r="D466" s="832"/>
      <c r="E466" s="831" t="s">
        <v>84</v>
      </c>
      <c r="F466" s="831">
        <v>1</v>
      </c>
      <c r="G466" s="829">
        <v>2.2999999999999998</v>
      </c>
      <c r="H466" s="832"/>
      <c r="I466" s="833" t="s">
        <v>154</v>
      </c>
    </row>
    <row r="467" spans="1:10">
      <c r="A467" s="818"/>
      <c r="B467" s="831"/>
      <c r="C467" s="829">
        <v>2.2999999999999998</v>
      </c>
      <c r="D467" s="832">
        <f>B466*C466*C467</f>
        <v>24.724999999999998</v>
      </c>
      <c r="E467" s="831"/>
      <c r="F467" s="831"/>
      <c r="G467" s="829">
        <v>2.2999999999999998</v>
      </c>
      <c r="H467" s="832">
        <f>G466*G467*F466</f>
        <v>5.2899999999999991</v>
      </c>
      <c r="I467" s="833"/>
    </row>
    <row r="468" spans="1:10">
      <c r="A468" s="818"/>
      <c r="B468" s="831"/>
      <c r="C468" s="829"/>
      <c r="D468" s="832"/>
      <c r="E468" s="831"/>
      <c r="F468" s="831"/>
      <c r="G468" s="829"/>
      <c r="H468" s="832"/>
      <c r="I468" s="833"/>
    </row>
    <row r="469" spans="1:10">
      <c r="A469" s="818"/>
      <c r="B469" s="831">
        <v>1</v>
      </c>
      <c r="C469" s="829">
        <v>24.6</v>
      </c>
      <c r="D469" s="832"/>
      <c r="E469" s="831" t="s">
        <v>2268</v>
      </c>
      <c r="F469" s="831">
        <v>1</v>
      </c>
      <c r="G469" s="829">
        <v>6.05</v>
      </c>
      <c r="H469" s="832"/>
      <c r="I469" s="833" t="s">
        <v>160</v>
      </c>
    </row>
    <row r="470" spans="1:10">
      <c r="A470" s="818"/>
      <c r="B470" s="831"/>
      <c r="C470" s="829">
        <v>2</v>
      </c>
      <c r="D470" s="832">
        <f>B469*C469*C470</f>
        <v>49.2</v>
      </c>
      <c r="E470" s="831"/>
      <c r="F470" s="831"/>
      <c r="G470" s="829">
        <v>1.5</v>
      </c>
      <c r="H470" s="832">
        <f>G469*G470*F469</f>
        <v>9.0749999999999993</v>
      </c>
      <c r="I470" s="833"/>
    </row>
    <row r="471" spans="1:10">
      <c r="A471" s="818"/>
      <c r="B471" s="831"/>
      <c r="C471" s="829"/>
      <c r="D471" s="832"/>
      <c r="E471" s="831"/>
      <c r="F471" s="831"/>
      <c r="G471" s="829"/>
      <c r="H471" s="832"/>
      <c r="I471" s="833"/>
    </row>
    <row r="472" spans="1:10">
      <c r="A472" s="818"/>
      <c r="B472" s="839"/>
      <c r="C472" s="839"/>
      <c r="D472" s="838">
        <f>SUM(H405:H456)+SUM(D437:D455)+SUM(D461:D470)</f>
        <v>638.22700000000009</v>
      </c>
      <c r="E472" s="845" t="s">
        <v>2144</v>
      </c>
      <c r="F472" s="831">
        <v>2</v>
      </c>
      <c r="G472" s="829">
        <v>2.85</v>
      </c>
      <c r="H472" s="832"/>
      <c r="I472" s="833" t="s">
        <v>163</v>
      </c>
    </row>
    <row r="473" spans="1:10">
      <c r="A473" s="818"/>
      <c r="B473" s="831"/>
      <c r="C473" s="829"/>
      <c r="D473" s="832"/>
      <c r="E473" s="831"/>
      <c r="F473" s="831"/>
      <c r="G473" s="829">
        <v>1.7</v>
      </c>
      <c r="H473" s="832">
        <f>G472*G473*F472</f>
        <v>9.69</v>
      </c>
      <c r="I473" s="833"/>
    </row>
    <row r="474" spans="1:10">
      <c r="A474" s="818"/>
      <c r="B474" s="435"/>
      <c r="C474" s="435"/>
      <c r="D474" s="435"/>
      <c r="E474" s="916" t="s">
        <v>2269</v>
      </c>
      <c r="F474" s="831"/>
      <c r="G474" s="829"/>
      <c r="H474" s="832"/>
      <c r="I474" s="833"/>
    </row>
    <row r="475" spans="1:10">
      <c r="A475" s="818"/>
      <c r="B475" s="831">
        <v>1</v>
      </c>
      <c r="C475" s="829">
        <f>143</f>
        <v>143</v>
      </c>
      <c r="D475" s="832"/>
      <c r="E475" s="831"/>
      <c r="F475" s="831">
        <v>1</v>
      </c>
      <c r="G475" s="829">
        <v>5.85</v>
      </c>
      <c r="H475" s="832"/>
      <c r="I475" s="833" t="s">
        <v>166</v>
      </c>
    </row>
    <row r="476" spans="1:10">
      <c r="A476" s="818"/>
      <c r="B476" s="831"/>
      <c r="C476" s="829">
        <f>0.2*0.3</f>
        <v>0.06</v>
      </c>
      <c r="D476" s="832">
        <f>B475*C475*C476</f>
        <v>8.58</v>
      </c>
      <c r="E476" s="831"/>
      <c r="F476" s="831"/>
      <c r="G476" s="829">
        <v>2.2999999999999998</v>
      </c>
      <c r="H476" s="832">
        <f>G475*G476*F475</f>
        <v>13.454999999999998</v>
      </c>
      <c r="I476" s="833"/>
      <c r="J476" s="818"/>
    </row>
    <row r="477" spans="1:10">
      <c r="A477" s="818"/>
      <c r="B477" s="831"/>
      <c r="C477" s="829"/>
      <c r="D477" s="832"/>
      <c r="E477" s="435"/>
      <c r="F477" s="831"/>
      <c r="G477" s="829"/>
      <c r="H477" s="832"/>
      <c r="I477" s="833"/>
      <c r="J477" s="818"/>
    </row>
    <row r="478" spans="1:10">
      <c r="A478" s="818"/>
      <c r="B478" s="831">
        <v>1</v>
      </c>
      <c r="C478" s="829">
        <f>15*5+80+30+0.5*5</f>
        <v>187.5</v>
      </c>
      <c r="D478" s="832"/>
      <c r="E478" s="831"/>
      <c r="F478" s="831">
        <v>1</v>
      </c>
      <c r="G478" s="829">
        <v>4.75</v>
      </c>
      <c r="H478" s="832"/>
      <c r="I478" s="833" t="s">
        <v>168</v>
      </c>
      <c r="J478" s="818"/>
    </row>
    <row r="479" spans="1:10">
      <c r="A479" s="818"/>
      <c r="B479" s="831"/>
      <c r="C479" s="829">
        <f>0.2*0.3</f>
        <v>0.06</v>
      </c>
      <c r="D479" s="832">
        <f>B478*C478*C479</f>
        <v>11.25</v>
      </c>
      <c r="E479" s="831"/>
      <c r="F479" s="831"/>
      <c r="G479" s="829">
        <v>5.85</v>
      </c>
      <c r="H479" s="832">
        <f>G478*G479*F478</f>
        <v>27.787499999999998</v>
      </c>
      <c r="I479" s="833"/>
      <c r="J479" s="818"/>
    </row>
    <row r="480" spans="1:10">
      <c r="A480" s="818"/>
      <c r="B480" s="435"/>
      <c r="C480" s="435"/>
      <c r="D480" s="435"/>
      <c r="E480" s="831"/>
      <c r="F480" s="831"/>
      <c r="G480" s="829"/>
      <c r="H480" s="832"/>
      <c r="I480" s="833"/>
      <c r="J480" s="818"/>
    </row>
    <row r="481" spans="1:10">
      <c r="A481" s="818"/>
      <c r="B481" s="831">
        <v>1</v>
      </c>
      <c r="C481" s="829">
        <f>15+15*5+16*5+30+9.5*5+14.5*5</f>
        <v>320</v>
      </c>
      <c r="D481" s="832"/>
      <c r="E481" s="831"/>
      <c r="F481" s="831">
        <v>1</v>
      </c>
      <c r="G481" s="829">
        <v>3.95</v>
      </c>
      <c r="H481" s="832"/>
      <c r="I481" s="833" t="s">
        <v>173</v>
      </c>
      <c r="J481" s="818"/>
    </row>
    <row r="482" spans="1:10">
      <c r="A482" s="818"/>
      <c r="B482" s="831"/>
      <c r="C482" s="829">
        <f>0.2*0.3</f>
        <v>0.06</v>
      </c>
      <c r="D482" s="832">
        <f>B481*C481*C482</f>
        <v>19.2</v>
      </c>
      <c r="E482" s="831"/>
      <c r="F482" s="831"/>
      <c r="G482" s="829">
        <v>5.85</v>
      </c>
      <c r="H482" s="832">
        <f>G481*G482*F481</f>
        <v>23.107499999999998</v>
      </c>
      <c r="I482" s="833"/>
      <c r="J482" s="818"/>
    </row>
    <row r="483" spans="1:10">
      <c r="A483" s="818"/>
      <c r="B483" s="435"/>
      <c r="C483" s="435"/>
      <c r="D483" s="435"/>
      <c r="E483" s="831"/>
      <c r="F483" s="831"/>
      <c r="G483" s="829"/>
      <c r="H483" s="832"/>
      <c r="I483" s="833"/>
      <c r="J483" s="818"/>
    </row>
    <row r="484" spans="1:10">
      <c r="A484" s="818"/>
      <c r="B484" s="831"/>
      <c r="C484" s="829"/>
      <c r="D484" s="832"/>
      <c r="E484" s="831"/>
      <c r="F484" s="831">
        <v>1</v>
      </c>
      <c r="G484" s="829">
        <v>2.2999999999999998</v>
      </c>
      <c r="H484" s="832"/>
      <c r="I484" s="833" t="s">
        <v>178</v>
      </c>
      <c r="J484" s="818"/>
    </row>
    <row r="485" spans="1:10">
      <c r="A485" s="818"/>
      <c r="B485" s="831"/>
      <c r="C485" s="829">
        <f>0.2*0.3</f>
        <v>0.06</v>
      </c>
      <c r="D485" s="832">
        <f>B484*C484*C485</f>
        <v>0</v>
      </c>
      <c r="E485" s="831"/>
      <c r="F485" s="831"/>
      <c r="G485" s="829">
        <v>1.3</v>
      </c>
      <c r="H485" s="832">
        <f>G484*G485*F484</f>
        <v>2.9899999999999998</v>
      </c>
      <c r="I485" s="833"/>
      <c r="J485" s="818"/>
    </row>
    <row r="486" spans="1:10">
      <c r="A486" s="818"/>
      <c r="B486" s="435"/>
      <c r="C486" s="435"/>
      <c r="D486" s="435"/>
      <c r="E486" s="831"/>
      <c r="F486" s="831"/>
      <c r="G486" s="829"/>
      <c r="H486" s="832"/>
      <c r="I486" s="833"/>
      <c r="J486" s="818"/>
    </row>
    <row r="487" spans="1:10">
      <c r="A487" s="818"/>
      <c r="B487" s="831"/>
      <c r="C487" s="829"/>
      <c r="D487" s="832"/>
      <c r="E487" s="831"/>
      <c r="F487" s="831">
        <v>1</v>
      </c>
      <c r="G487" s="829">
        <v>2.2999999999999998</v>
      </c>
      <c r="H487" s="832"/>
      <c r="I487" s="833" t="s">
        <v>230</v>
      </c>
      <c r="J487" s="818"/>
    </row>
    <row r="488" spans="1:10">
      <c r="A488" s="818"/>
      <c r="B488" s="831"/>
      <c r="C488" s="829">
        <f>0.2*0.3</f>
        <v>0.06</v>
      </c>
      <c r="D488" s="832">
        <f>B487*C487*C488</f>
        <v>0</v>
      </c>
      <c r="E488" s="831"/>
      <c r="F488" s="831"/>
      <c r="G488" s="829">
        <v>4.4000000000000004</v>
      </c>
      <c r="H488" s="832">
        <f>G487*G488*F487</f>
        <v>10.119999999999999</v>
      </c>
      <c r="I488" s="833"/>
      <c r="J488" s="818"/>
    </row>
    <row r="489" spans="1:10">
      <c r="A489" s="818"/>
      <c r="B489" s="435"/>
      <c r="C489" s="435"/>
      <c r="D489" s="435"/>
      <c r="E489" s="831"/>
      <c r="F489" s="831"/>
      <c r="G489" s="829"/>
      <c r="H489" s="832"/>
      <c r="I489" s="833"/>
      <c r="J489" s="818"/>
    </row>
    <row r="490" spans="1:10">
      <c r="A490" s="818"/>
      <c r="B490" s="831"/>
      <c r="C490" s="829"/>
      <c r="D490" s="832"/>
      <c r="E490" s="831"/>
      <c r="F490" s="831">
        <v>1</v>
      </c>
      <c r="G490" s="829">
        <v>3.4</v>
      </c>
      <c r="H490" s="832"/>
      <c r="I490" s="833" t="s">
        <v>84</v>
      </c>
      <c r="J490" s="818"/>
    </row>
    <row r="491" spans="1:10">
      <c r="A491" s="818"/>
      <c r="B491" s="831"/>
      <c r="C491" s="829">
        <f>0.2*0.3</f>
        <v>0.06</v>
      </c>
      <c r="D491" s="832">
        <f>B490*C490*C491</f>
        <v>0</v>
      </c>
      <c r="E491" s="831"/>
      <c r="F491" s="831"/>
      <c r="G491" s="829">
        <v>1.33</v>
      </c>
      <c r="H491" s="832">
        <f>G490*G491*F490</f>
        <v>4.5220000000000002</v>
      </c>
      <c r="I491" s="833"/>
      <c r="J491" s="818"/>
    </row>
    <row r="492" spans="1:10">
      <c r="A492" s="818"/>
      <c r="B492" s="435"/>
      <c r="C492" s="435"/>
      <c r="D492" s="435"/>
      <c r="E492" s="831"/>
      <c r="F492" s="831"/>
      <c r="G492" s="829"/>
      <c r="H492" s="832"/>
      <c r="I492" s="833"/>
      <c r="J492" s="818"/>
    </row>
    <row r="493" spans="1:10">
      <c r="A493" s="818"/>
      <c r="B493" s="839"/>
      <c r="C493" s="839"/>
      <c r="D493" s="838">
        <f>SUM(D476:D491)</f>
        <v>39.03</v>
      </c>
      <c r="E493" s="845" t="s">
        <v>2146</v>
      </c>
      <c r="F493" s="831">
        <v>1</v>
      </c>
      <c r="G493" s="829">
        <v>2.2999999999999998</v>
      </c>
      <c r="H493" s="832"/>
      <c r="I493" s="833"/>
      <c r="J493" s="818"/>
    </row>
    <row r="494" spans="1:10">
      <c r="A494" s="818"/>
      <c r="B494" s="435"/>
      <c r="C494" s="435"/>
      <c r="D494" s="435"/>
      <c r="E494" s="435"/>
      <c r="F494" s="831"/>
      <c r="G494" s="829">
        <v>1.33</v>
      </c>
      <c r="H494" s="832">
        <f>G493*G494*F493</f>
        <v>3.0589999999999997</v>
      </c>
      <c r="I494" s="833" t="s">
        <v>121</v>
      </c>
      <c r="J494" s="818"/>
    </row>
    <row r="495" spans="1:10">
      <c r="A495" s="818"/>
      <c r="B495" s="831"/>
      <c r="C495" s="829"/>
      <c r="D495" s="2062" t="s">
        <v>2270</v>
      </c>
      <c r="E495" s="2062"/>
      <c r="F495" s="831"/>
      <c r="G495" s="829"/>
      <c r="H495" s="832"/>
      <c r="I495" s="833"/>
      <c r="J495" s="818"/>
    </row>
    <row r="496" spans="1:10">
      <c r="A496" s="818"/>
      <c r="B496" s="831"/>
      <c r="C496" s="829"/>
      <c r="D496" s="832"/>
      <c r="E496" s="831"/>
      <c r="F496" s="831">
        <v>1</v>
      </c>
      <c r="G496" s="829">
        <v>2.13</v>
      </c>
      <c r="H496" s="832"/>
      <c r="I496" s="833" t="s">
        <v>171</v>
      </c>
      <c r="J496" s="818"/>
    </row>
    <row r="497" spans="1:10">
      <c r="A497" s="818"/>
      <c r="B497" s="831">
        <v>2</v>
      </c>
      <c r="C497" s="829">
        <v>6</v>
      </c>
      <c r="D497" s="832"/>
      <c r="E497" s="831" t="s">
        <v>207</v>
      </c>
      <c r="F497" s="831"/>
      <c r="G497" s="829">
        <v>1.3</v>
      </c>
      <c r="H497" s="832">
        <f>G496*G497*F496</f>
        <v>2.7690000000000001</v>
      </c>
      <c r="I497" s="833"/>
      <c r="J497" s="818"/>
    </row>
    <row r="498" spans="1:10">
      <c r="A498" s="818"/>
      <c r="B498" s="831"/>
      <c r="C498" s="829">
        <v>7.2</v>
      </c>
      <c r="D498" s="832">
        <f>C497*C498*B497</f>
        <v>86.4</v>
      </c>
      <c r="E498" s="831"/>
      <c r="F498" s="831"/>
      <c r="G498" s="829"/>
      <c r="H498" s="832"/>
      <c r="I498" s="833"/>
      <c r="J498" s="818"/>
    </row>
    <row r="499" spans="1:10">
      <c r="A499" s="818"/>
      <c r="B499" s="831"/>
      <c r="C499" s="829"/>
      <c r="D499" s="832"/>
      <c r="E499" s="831"/>
      <c r="F499" s="831">
        <v>1</v>
      </c>
      <c r="G499" s="829">
        <v>2.13</v>
      </c>
      <c r="H499" s="832"/>
      <c r="I499" s="833" t="s">
        <v>232</v>
      </c>
      <c r="J499" s="818"/>
    </row>
    <row r="500" spans="1:10">
      <c r="A500" s="818"/>
      <c r="B500" s="831">
        <v>1</v>
      </c>
      <c r="C500" s="829">
        <v>2.5</v>
      </c>
      <c r="D500" s="832"/>
      <c r="E500" s="831" t="s">
        <v>213</v>
      </c>
      <c r="F500" s="831"/>
      <c r="G500" s="829">
        <v>4.4000000000000004</v>
      </c>
      <c r="H500" s="832">
        <f>G499*G500*F499</f>
        <v>9.3719999999999999</v>
      </c>
      <c r="I500" s="833"/>
      <c r="J500" s="818"/>
    </row>
    <row r="501" spans="1:10">
      <c r="A501" s="818"/>
      <c r="B501" s="831"/>
      <c r="C501" s="829">
        <v>3.8</v>
      </c>
      <c r="D501" s="832">
        <f>C500*C501*B500</f>
        <v>9.5</v>
      </c>
      <c r="E501" s="831"/>
      <c r="F501" s="831"/>
      <c r="G501" s="829"/>
      <c r="H501" s="832"/>
      <c r="I501" s="833"/>
      <c r="J501" s="818"/>
    </row>
    <row r="502" spans="1:10">
      <c r="A502" s="818"/>
      <c r="B502" s="831"/>
      <c r="C502" s="829"/>
      <c r="D502" s="832"/>
      <c r="E502" s="831"/>
      <c r="F502" s="831">
        <v>1</v>
      </c>
      <c r="G502" s="829">
        <v>2.15</v>
      </c>
      <c r="H502" s="832"/>
      <c r="I502" s="833" t="s">
        <v>213</v>
      </c>
      <c r="J502" s="818"/>
    </row>
    <row r="503" spans="1:10">
      <c r="A503" s="818"/>
      <c r="B503" s="831">
        <v>1</v>
      </c>
      <c r="C503" s="829">
        <v>2.5</v>
      </c>
      <c r="D503" s="832"/>
      <c r="E503" s="831" t="s">
        <v>183</v>
      </c>
      <c r="F503" s="831"/>
      <c r="G503" s="829">
        <v>4</v>
      </c>
      <c r="H503" s="832">
        <f>G502*G503*F502</f>
        <v>8.6</v>
      </c>
      <c r="I503" s="833"/>
      <c r="J503" s="818"/>
    </row>
    <row r="504" spans="1:10">
      <c r="A504" s="818"/>
      <c r="B504" s="831"/>
      <c r="C504" s="829">
        <v>3.25</v>
      </c>
      <c r="D504" s="832">
        <f>C503*C504*B503</f>
        <v>8.125</v>
      </c>
      <c r="E504" s="831"/>
      <c r="F504" s="831"/>
      <c r="G504" s="829"/>
      <c r="H504" s="832"/>
      <c r="I504" s="833"/>
      <c r="J504" s="818"/>
    </row>
    <row r="505" spans="1:10">
      <c r="A505" s="818"/>
      <c r="B505" s="831"/>
      <c r="C505" s="829"/>
      <c r="D505" s="832"/>
      <c r="E505" s="831"/>
      <c r="F505" s="831">
        <v>1</v>
      </c>
      <c r="G505" s="829">
        <v>2.15</v>
      </c>
      <c r="H505" s="832"/>
      <c r="I505" s="833" t="s">
        <v>183</v>
      </c>
      <c r="J505" s="818"/>
    </row>
    <row r="506" spans="1:10">
      <c r="A506" s="818"/>
      <c r="B506" s="831">
        <v>3</v>
      </c>
      <c r="C506" s="829">
        <v>6</v>
      </c>
      <c r="D506" s="832"/>
      <c r="E506" s="831" t="s">
        <v>216</v>
      </c>
      <c r="F506" s="831"/>
      <c r="G506" s="829">
        <v>1.9</v>
      </c>
      <c r="H506" s="832">
        <f>G505*G506*F505</f>
        <v>4.085</v>
      </c>
      <c r="I506" s="833"/>
      <c r="J506" s="818"/>
    </row>
    <row r="507" spans="1:10">
      <c r="A507" s="818"/>
      <c r="B507" s="831"/>
      <c r="C507" s="829">
        <v>7.2</v>
      </c>
      <c r="D507" s="832">
        <f>C506*C507*B506</f>
        <v>129.60000000000002</v>
      </c>
      <c r="E507" s="831"/>
      <c r="F507" s="831"/>
      <c r="G507" s="829"/>
      <c r="H507" s="832"/>
      <c r="I507" s="833"/>
      <c r="J507" s="818"/>
    </row>
    <row r="508" spans="1:10">
      <c r="A508" s="818"/>
      <c r="B508" s="831"/>
      <c r="C508" s="829"/>
      <c r="D508" s="832"/>
      <c r="E508" s="831"/>
      <c r="F508" s="831">
        <v>8</v>
      </c>
      <c r="G508" s="829">
        <v>1.05</v>
      </c>
      <c r="H508" s="832"/>
      <c r="I508" s="833" t="s">
        <v>228</v>
      </c>
      <c r="J508" s="818"/>
    </row>
    <row r="509" spans="1:10">
      <c r="A509" s="818"/>
      <c r="B509" s="831">
        <v>1</v>
      </c>
      <c r="C509" s="829">
        <v>7.4</v>
      </c>
      <c r="D509" s="832"/>
      <c r="E509" s="831" t="s">
        <v>223</v>
      </c>
      <c r="F509" s="831"/>
      <c r="G509" s="829">
        <v>1.2</v>
      </c>
      <c r="H509" s="832">
        <f>G508*G509*F508</f>
        <v>10.08</v>
      </c>
      <c r="I509" s="833"/>
      <c r="J509" s="818"/>
    </row>
    <row r="510" spans="1:10">
      <c r="A510" s="818"/>
      <c r="B510" s="831"/>
      <c r="C510" s="829">
        <v>1.5</v>
      </c>
      <c r="D510" s="832">
        <f>B509*C509*C510</f>
        <v>11.100000000000001</v>
      </c>
      <c r="E510" s="831"/>
      <c r="F510" s="435"/>
      <c r="G510" s="435"/>
      <c r="H510" s="435"/>
      <c r="I510" s="435"/>
      <c r="J510" s="818"/>
    </row>
    <row r="511" spans="1:10">
      <c r="A511" s="818"/>
      <c r="B511" s="435"/>
      <c r="C511" s="435"/>
      <c r="D511" s="435"/>
      <c r="E511" s="435"/>
      <c r="F511" s="831">
        <v>2</v>
      </c>
      <c r="G511" s="829">
        <v>1.25</v>
      </c>
      <c r="H511" s="832"/>
      <c r="I511" s="831" t="s">
        <v>84</v>
      </c>
      <c r="J511" s="818"/>
    </row>
    <row r="512" spans="1:10">
      <c r="A512" s="818"/>
      <c r="B512" s="831">
        <v>2</v>
      </c>
      <c r="C512" s="829">
        <v>3</v>
      </c>
      <c r="D512" s="832"/>
      <c r="E512" s="833" t="s">
        <v>208</v>
      </c>
      <c r="F512" s="831"/>
      <c r="G512" s="829">
        <v>4.3499999999999996</v>
      </c>
      <c r="H512" s="832">
        <f>G511*G512*F511</f>
        <v>10.875</v>
      </c>
      <c r="I512" s="831"/>
      <c r="J512" s="818"/>
    </row>
    <row r="513" spans="1:10">
      <c r="A513" s="818"/>
      <c r="B513" s="831"/>
      <c r="C513" s="829">
        <v>3.53</v>
      </c>
      <c r="D513" s="832">
        <f>C512*C513*B512</f>
        <v>21.18</v>
      </c>
      <c r="E513" s="833"/>
      <c r="F513" s="435"/>
      <c r="G513" s="435"/>
      <c r="H513" s="435"/>
      <c r="I513" s="435"/>
      <c r="J513" s="818"/>
    </row>
    <row r="514" spans="1:10">
      <c r="A514" s="818"/>
      <c r="B514" s="831"/>
      <c r="C514" s="829"/>
      <c r="D514" s="832"/>
      <c r="E514" s="833"/>
      <c r="F514" s="831">
        <v>2</v>
      </c>
      <c r="G514" s="829">
        <v>1.35</v>
      </c>
      <c r="H514" s="832"/>
      <c r="I514" s="831" t="s">
        <v>84</v>
      </c>
      <c r="J514" s="818"/>
    </row>
    <row r="515" spans="1:10">
      <c r="A515" s="818"/>
      <c r="B515" s="849"/>
      <c r="C515" s="850"/>
      <c r="D515" s="851"/>
      <c r="E515" s="849"/>
      <c r="F515" s="849"/>
      <c r="G515" s="850">
        <v>2.5</v>
      </c>
      <c r="H515" s="851">
        <f>G514*G515*F514</f>
        <v>6.75</v>
      </c>
      <c r="I515" s="849"/>
      <c r="J515" s="818"/>
    </row>
    <row r="516" spans="1:10">
      <c r="A516" s="828"/>
      <c r="B516" s="909" t="s">
        <v>1884</v>
      </c>
      <c r="C516" s="911" t="s">
        <v>526</v>
      </c>
      <c r="D516" s="910" t="s">
        <v>1885</v>
      </c>
      <c r="E516" s="911" t="s">
        <v>1886</v>
      </c>
      <c r="F516" s="909" t="s">
        <v>1884</v>
      </c>
      <c r="G516" s="911" t="s">
        <v>526</v>
      </c>
      <c r="H516" s="910" t="s">
        <v>1885</v>
      </c>
      <c r="I516" s="911" t="s">
        <v>1886</v>
      </c>
      <c r="J516" s="828"/>
    </row>
    <row r="517" spans="1:10">
      <c r="A517" s="818"/>
      <c r="B517" s="831">
        <v>1</v>
      </c>
      <c r="C517" s="829">
        <v>1.85</v>
      </c>
      <c r="D517" s="832"/>
      <c r="E517" s="831" t="s">
        <v>84</v>
      </c>
      <c r="F517" s="831">
        <v>3</v>
      </c>
      <c r="G517" s="829">
        <v>21.7</v>
      </c>
      <c r="H517" s="832"/>
      <c r="I517" s="833" t="s">
        <v>216</v>
      </c>
      <c r="J517" s="818"/>
    </row>
    <row r="518" spans="1:10">
      <c r="A518" s="818"/>
      <c r="B518" s="831"/>
      <c r="C518" s="829">
        <v>1.7</v>
      </c>
      <c r="D518" s="832">
        <f>C517*C518*B517</f>
        <v>3.145</v>
      </c>
      <c r="E518" s="831"/>
      <c r="F518" s="831"/>
      <c r="G518" s="829"/>
      <c r="H518" s="832">
        <f>G517*F517</f>
        <v>65.099999999999994</v>
      </c>
      <c r="I518" s="833" t="s">
        <v>1227</v>
      </c>
      <c r="J518" s="818"/>
    </row>
    <row r="519" spans="1:10">
      <c r="A519" s="818"/>
      <c r="B519" s="831"/>
      <c r="C519" s="829"/>
      <c r="D519" s="832"/>
      <c r="E519" s="831"/>
      <c r="F519" s="831"/>
      <c r="G519" s="829"/>
      <c r="H519" s="832"/>
      <c r="I519" s="833"/>
      <c r="J519" s="818"/>
    </row>
    <row r="520" spans="1:10">
      <c r="A520" s="818"/>
      <c r="B520" s="831">
        <v>1</v>
      </c>
      <c r="C520" s="829">
        <v>4.2</v>
      </c>
      <c r="D520" s="832"/>
      <c r="E520" s="831" t="s">
        <v>160</v>
      </c>
      <c r="F520" s="831">
        <v>1</v>
      </c>
      <c r="G520" s="829">
        <v>14.3</v>
      </c>
      <c r="H520" s="832"/>
      <c r="I520" s="833" t="s">
        <v>239</v>
      </c>
      <c r="J520" s="818"/>
    </row>
    <row r="521" spans="1:10">
      <c r="A521" s="818"/>
      <c r="B521" s="831"/>
      <c r="C521" s="829">
        <v>1.85</v>
      </c>
      <c r="D521" s="832">
        <f>C520*C521*B520</f>
        <v>7.7700000000000005</v>
      </c>
      <c r="E521" s="831"/>
      <c r="F521" s="831"/>
      <c r="G521" s="829"/>
      <c r="H521" s="832">
        <f>G520*F520</f>
        <v>14.3</v>
      </c>
      <c r="I521" s="833" t="s">
        <v>240</v>
      </c>
      <c r="J521" s="818"/>
    </row>
    <row r="522" spans="1:10">
      <c r="A522" s="818"/>
      <c r="B522" s="831"/>
      <c r="C522" s="829"/>
      <c r="D522" s="832"/>
      <c r="E522" s="831"/>
      <c r="F522" s="831"/>
      <c r="G522" s="829"/>
      <c r="H522" s="832"/>
      <c r="I522" s="833"/>
      <c r="J522" s="818"/>
    </row>
    <row r="523" spans="1:10">
      <c r="A523" s="818"/>
      <c r="B523" s="831">
        <v>2</v>
      </c>
      <c r="C523" s="829">
        <v>4.6500000000000004</v>
      </c>
      <c r="D523" s="832"/>
      <c r="E523" s="831" t="s">
        <v>193</v>
      </c>
      <c r="F523" s="831">
        <v>1</v>
      </c>
      <c r="G523" s="829">
        <v>55.7</v>
      </c>
      <c r="H523" s="832"/>
      <c r="I523" s="833" t="s">
        <v>196</v>
      </c>
      <c r="J523" s="818"/>
    </row>
    <row r="524" spans="1:10">
      <c r="A524" s="818"/>
      <c r="B524" s="831"/>
      <c r="C524" s="829">
        <v>2.85</v>
      </c>
      <c r="D524" s="832">
        <f>C523*C524*B523</f>
        <v>26.505000000000003</v>
      </c>
      <c r="E524" s="831"/>
      <c r="F524" s="831"/>
      <c r="G524" s="829"/>
      <c r="H524" s="832">
        <f>G523*F523</f>
        <v>55.7</v>
      </c>
      <c r="I524" s="833" t="s">
        <v>241</v>
      </c>
      <c r="J524" s="818"/>
    </row>
    <row r="525" spans="1:10">
      <c r="A525" s="818"/>
      <c r="B525" s="831"/>
      <c r="C525" s="829"/>
      <c r="D525" s="832"/>
      <c r="E525" s="831"/>
      <c r="F525" s="831"/>
      <c r="G525" s="829"/>
      <c r="H525" s="832"/>
      <c r="I525" s="833"/>
      <c r="J525" s="818"/>
    </row>
    <row r="526" spans="1:10" s="341" customFormat="1">
      <c r="A526" s="834"/>
      <c r="B526" s="831">
        <v>5</v>
      </c>
      <c r="C526" s="829">
        <v>2.15</v>
      </c>
      <c r="D526" s="832"/>
      <c r="E526" s="831" t="s">
        <v>84</v>
      </c>
      <c r="F526" s="831">
        <v>1</v>
      </c>
      <c r="G526" s="829">
        <v>8.1</v>
      </c>
      <c r="H526" s="832"/>
      <c r="I526" s="833" t="s">
        <v>158</v>
      </c>
      <c r="J526" s="834"/>
    </row>
    <row r="527" spans="1:10">
      <c r="A527" s="818"/>
      <c r="B527" s="831"/>
      <c r="C527" s="829">
        <v>2.2999999999999998</v>
      </c>
      <c r="D527" s="832">
        <f>B526*C526*C527</f>
        <v>24.724999999999998</v>
      </c>
      <c r="E527" s="831"/>
      <c r="F527" s="831"/>
      <c r="G527" s="829"/>
      <c r="H527" s="832">
        <f>G526*F526</f>
        <v>8.1</v>
      </c>
      <c r="I527" s="833" t="s">
        <v>242</v>
      </c>
      <c r="J527" s="818"/>
    </row>
    <row r="528" spans="1:10">
      <c r="A528" s="818"/>
      <c r="B528" s="831"/>
      <c r="C528" s="829"/>
      <c r="D528" s="832"/>
      <c r="E528" s="831"/>
      <c r="F528" s="831"/>
      <c r="G528" s="829"/>
      <c r="H528" s="832"/>
      <c r="I528" s="833"/>
      <c r="J528" s="818"/>
    </row>
    <row r="529" spans="1:10">
      <c r="A529" s="818"/>
      <c r="B529" s="831">
        <v>1</v>
      </c>
      <c r="C529" s="829">
        <v>25.2</v>
      </c>
      <c r="D529" s="832"/>
      <c r="E529" s="831" t="s">
        <v>245</v>
      </c>
      <c r="F529" s="831">
        <v>1</v>
      </c>
      <c r="G529" s="829">
        <v>8.3000000000000007</v>
      </c>
      <c r="H529" s="832"/>
      <c r="I529" s="833" t="s">
        <v>154</v>
      </c>
      <c r="J529" s="818"/>
    </row>
    <row r="530" spans="1:10">
      <c r="A530" s="818"/>
      <c r="B530" s="831"/>
      <c r="C530" s="829">
        <v>2.35</v>
      </c>
      <c r="D530" s="832">
        <f>B529*C529*C530</f>
        <v>59.22</v>
      </c>
      <c r="E530" s="831"/>
      <c r="F530" s="831"/>
      <c r="G530" s="829"/>
      <c r="H530" s="832">
        <f>G529*F529</f>
        <v>8.3000000000000007</v>
      </c>
      <c r="I530" s="833" t="s">
        <v>243</v>
      </c>
      <c r="J530" s="818"/>
    </row>
    <row r="531" spans="1:10">
      <c r="A531" s="818"/>
      <c r="B531" s="831"/>
      <c r="C531" s="829"/>
      <c r="D531" s="832"/>
      <c r="E531" s="831"/>
      <c r="F531" s="831"/>
      <c r="G531" s="829"/>
      <c r="H531" s="832"/>
      <c r="I531" s="833"/>
      <c r="J531" s="818"/>
    </row>
    <row r="532" spans="1:10">
      <c r="A532" s="818"/>
      <c r="B532" s="831">
        <v>4</v>
      </c>
      <c r="C532" s="829">
        <v>1</v>
      </c>
      <c r="D532" s="832"/>
      <c r="E532" s="831" t="s">
        <v>247</v>
      </c>
      <c r="F532" s="831">
        <v>1</v>
      </c>
      <c r="G532" s="829">
        <v>10</v>
      </c>
      <c r="H532" s="832"/>
      <c r="I532" s="833" t="s">
        <v>160</v>
      </c>
      <c r="J532" s="818"/>
    </row>
    <row r="533" spans="1:10">
      <c r="A533" s="818"/>
      <c r="B533" s="831"/>
      <c r="C533" s="829">
        <v>0.15</v>
      </c>
      <c r="D533" s="832">
        <f>B532*C532*C533</f>
        <v>0.6</v>
      </c>
      <c r="E533" s="831"/>
      <c r="F533" s="831"/>
      <c r="G533" s="829"/>
      <c r="H533" s="832">
        <f>G532*F532</f>
        <v>10</v>
      </c>
      <c r="I533" s="833" t="s">
        <v>244</v>
      </c>
    </row>
    <row r="534" spans="1:10">
      <c r="A534" s="818"/>
      <c r="B534" s="831"/>
      <c r="C534" s="829"/>
      <c r="D534" s="832"/>
      <c r="E534" s="831"/>
      <c r="F534" s="831"/>
      <c r="G534" s="829"/>
      <c r="H534" s="832"/>
      <c r="I534" s="833"/>
      <c r="J534" s="818"/>
    </row>
    <row r="535" spans="1:10">
      <c r="A535" s="818"/>
      <c r="B535" s="831">
        <v>9</v>
      </c>
      <c r="C535" s="829">
        <v>0.8</v>
      </c>
      <c r="D535" s="832"/>
      <c r="E535" s="831" t="s">
        <v>250</v>
      </c>
      <c r="F535" s="831">
        <v>2</v>
      </c>
      <c r="G535" s="829">
        <v>8.1999999999999993</v>
      </c>
      <c r="H535" s="832"/>
      <c r="I535" s="833" t="s">
        <v>163</v>
      </c>
      <c r="J535" s="818"/>
    </row>
    <row r="536" spans="1:10">
      <c r="A536" s="818"/>
      <c r="B536" s="831"/>
      <c r="C536" s="829">
        <v>0.15</v>
      </c>
      <c r="D536" s="832">
        <f>B535*C535*C536</f>
        <v>1.08</v>
      </c>
      <c r="E536" s="831"/>
      <c r="F536" s="831"/>
      <c r="G536" s="829"/>
      <c r="H536" s="832">
        <f>G535*F535</f>
        <v>16.399999999999999</v>
      </c>
      <c r="I536" s="833" t="s">
        <v>246</v>
      </c>
      <c r="J536" s="818"/>
    </row>
    <row r="537" spans="1:10" ht="15.75" customHeight="1">
      <c r="A537" s="818"/>
      <c r="B537" s="831"/>
      <c r="C537" s="829"/>
      <c r="D537" s="832"/>
      <c r="E537" s="831"/>
      <c r="F537" s="831"/>
      <c r="G537" s="829"/>
      <c r="H537" s="832"/>
      <c r="I537" s="833"/>
      <c r="J537" s="818"/>
    </row>
    <row r="538" spans="1:10" ht="15.75" customHeight="1">
      <c r="A538" s="818"/>
      <c r="B538" s="831">
        <v>6</v>
      </c>
      <c r="C538" s="829">
        <v>0.7</v>
      </c>
      <c r="D538" s="832"/>
      <c r="E538" s="831" t="s">
        <v>190</v>
      </c>
      <c r="F538" s="831">
        <v>1</v>
      </c>
      <c r="G538" s="829">
        <v>15.3</v>
      </c>
      <c r="H538" s="832"/>
      <c r="I538" s="833" t="s">
        <v>166</v>
      </c>
      <c r="J538" s="818"/>
    </row>
    <row r="539" spans="1:10">
      <c r="A539" s="818"/>
      <c r="B539" s="831"/>
      <c r="C539" s="829">
        <v>0.15</v>
      </c>
      <c r="D539" s="832">
        <f>B538*C538*C539</f>
        <v>0.62999999999999989</v>
      </c>
      <c r="E539" s="831"/>
      <c r="F539" s="831"/>
      <c r="G539" s="829"/>
      <c r="H539" s="832">
        <f>G538*F538</f>
        <v>15.3</v>
      </c>
      <c r="I539" s="833" t="s">
        <v>248</v>
      </c>
      <c r="J539" s="818"/>
    </row>
    <row r="540" spans="1:10">
      <c r="A540" s="818"/>
      <c r="B540" s="831"/>
      <c r="C540" s="829"/>
      <c r="D540" s="832"/>
      <c r="E540" s="831"/>
      <c r="F540" s="831"/>
      <c r="G540" s="829"/>
      <c r="H540" s="832"/>
      <c r="I540" s="833"/>
      <c r="J540" s="818"/>
    </row>
    <row r="541" spans="1:10">
      <c r="A541" s="818"/>
      <c r="B541" s="831">
        <v>8</v>
      </c>
      <c r="C541" s="829">
        <v>0.9</v>
      </c>
      <c r="D541" s="832"/>
      <c r="E541" s="831" t="s">
        <v>191</v>
      </c>
      <c r="F541" s="831">
        <v>1</v>
      </c>
      <c r="G541" s="829">
        <v>19.899999999999999</v>
      </c>
      <c r="H541" s="832"/>
      <c r="I541" s="833" t="s">
        <v>168</v>
      </c>
      <c r="J541" s="818"/>
    </row>
    <row r="542" spans="1:10">
      <c r="A542" s="818"/>
      <c r="B542" s="831"/>
      <c r="C542" s="829">
        <v>0.2</v>
      </c>
      <c r="D542" s="832">
        <f>B541*C541*C542</f>
        <v>1.4400000000000002</v>
      </c>
      <c r="E542" s="831"/>
      <c r="F542" s="831"/>
      <c r="G542" s="829"/>
      <c r="H542" s="832">
        <f>G541*F541</f>
        <v>19.899999999999999</v>
      </c>
      <c r="I542" s="833" t="s">
        <v>249</v>
      </c>
      <c r="J542" s="818"/>
    </row>
    <row r="543" spans="1:10">
      <c r="A543" s="818"/>
      <c r="B543" s="831"/>
      <c r="C543" s="829"/>
      <c r="D543" s="832"/>
      <c r="E543" s="831"/>
      <c r="F543" s="831"/>
      <c r="G543" s="829"/>
      <c r="H543" s="832"/>
      <c r="I543" s="833"/>
      <c r="J543" s="818"/>
    </row>
    <row r="544" spans="1:10">
      <c r="A544" s="818"/>
      <c r="B544" s="831">
        <v>1</v>
      </c>
      <c r="C544" s="829">
        <v>1.3</v>
      </c>
      <c r="D544" s="832"/>
      <c r="E544" s="831" t="s">
        <v>257</v>
      </c>
      <c r="F544" s="831">
        <v>1</v>
      </c>
      <c r="G544" s="829">
        <v>18.7</v>
      </c>
      <c r="H544" s="832"/>
      <c r="I544" s="833" t="s">
        <v>173</v>
      </c>
      <c r="J544" s="818"/>
    </row>
    <row r="545" spans="1:10">
      <c r="A545" s="818"/>
      <c r="B545" s="831"/>
      <c r="C545" s="829">
        <v>0.2</v>
      </c>
      <c r="D545" s="832">
        <f>B544*C544*C545</f>
        <v>0.26</v>
      </c>
      <c r="E545" s="831"/>
      <c r="F545" s="831"/>
      <c r="G545" s="829"/>
      <c r="H545" s="832">
        <f>G544*F544</f>
        <v>18.7</v>
      </c>
      <c r="I545" s="833" t="s">
        <v>251</v>
      </c>
      <c r="J545" s="818"/>
    </row>
    <row r="546" spans="1:10">
      <c r="A546" s="818"/>
      <c r="B546" s="831"/>
      <c r="C546" s="829"/>
      <c r="D546" s="832"/>
      <c r="E546" s="831"/>
      <c r="F546" s="831"/>
      <c r="G546" s="829"/>
      <c r="H546" s="832"/>
      <c r="I546" s="833"/>
      <c r="J546" s="818"/>
    </row>
    <row r="547" spans="1:10">
      <c r="A547" s="818"/>
      <c r="B547" s="831">
        <v>5</v>
      </c>
      <c r="C547" s="829">
        <v>1.2</v>
      </c>
      <c r="D547" s="832"/>
      <c r="E547" s="831" t="s">
        <v>260</v>
      </c>
      <c r="F547" s="831">
        <v>1</v>
      </c>
      <c r="G547" s="829">
        <v>6.4</v>
      </c>
      <c r="H547" s="832"/>
      <c r="I547" s="833" t="s">
        <v>178</v>
      </c>
      <c r="J547" s="818"/>
    </row>
    <row r="548" spans="1:10">
      <c r="A548" s="818"/>
      <c r="B548" s="831"/>
      <c r="C548" s="829">
        <v>0.2</v>
      </c>
      <c r="D548" s="832">
        <f>B547*C547*C548</f>
        <v>1.2000000000000002</v>
      </c>
      <c r="E548" s="831"/>
      <c r="F548" s="831"/>
      <c r="G548" s="829"/>
      <c r="H548" s="832">
        <f>G547*F547</f>
        <v>6.4</v>
      </c>
      <c r="I548" s="833" t="s">
        <v>252</v>
      </c>
      <c r="J548" s="818"/>
    </row>
    <row r="549" spans="1:10">
      <c r="A549" s="818"/>
      <c r="B549" s="831"/>
      <c r="C549" s="829"/>
      <c r="D549" s="832"/>
      <c r="E549" s="831"/>
      <c r="F549" s="831"/>
      <c r="G549" s="829"/>
      <c r="H549" s="832"/>
      <c r="I549" s="833"/>
      <c r="J549" s="818"/>
    </row>
    <row r="550" spans="1:10">
      <c r="A550" s="818"/>
      <c r="B550" s="831">
        <v>5</v>
      </c>
      <c r="C550" s="829">
        <v>0.9</v>
      </c>
      <c r="D550" s="832"/>
      <c r="E550" s="831" t="s">
        <v>233</v>
      </c>
      <c r="F550" s="831">
        <v>1</v>
      </c>
      <c r="G550" s="829">
        <v>12.6</v>
      </c>
      <c r="H550" s="832"/>
      <c r="I550" s="833" t="s">
        <v>253</v>
      </c>
      <c r="J550" s="818"/>
    </row>
    <row r="551" spans="1:10">
      <c r="A551" s="818"/>
      <c r="B551" s="831"/>
      <c r="C551" s="829">
        <v>0.2</v>
      </c>
      <c r="D551" s="832">
        <f>B550*C550*C551</f>
        <v>0.9</v>
      </c>
      <c r="E551" s="831"/>
      <c r="F551" s="831"/>
      <c r="G551" s="829"/>
      <c r="H551" s="832">
        <f>G550*F550</f>
        <v>12.6</v>
      </c>
      <c r="I551" s="833" t="s">
        <v>254</v>
      </c>
      <c r="J551" s="818"/>
    </row>
    <row r="552" spans="1:10">
      <c r="A552" s="818"/>
      <c r="B552" s="831"/>
      <c r="C552" s="829"/>
      <c r="D552" s="832"/>
      <c r="E552" s="831"/>
      <c r="F552" s="831"/>
      <c r="G552" s="829"/>
      <c r="H552" s="832"/>
      <c r="I552" s="833"/>
      <c r="J552" s="818"/>
    </row>
    <row r="553" spans="1:10">
      <c r="A553" s="818"/>
      <c r="B553" s="831">
        <v>5</v>
      </c>
      <c r="C553" s="829">
        <v>0.8</v>
      </c>
      <c r="D553" s="832"/>
      <c r="E553" s="831" t="s">
        <v>234</v>
      </c>
      <c r="F553" s="831">
        <v>1</v>
      </c>
      <c r="G553" s="829">
        <v>6.26</v>
      </c>
      <c r="H553" s="832"/>
      <c r="I553" s="833" t="s">
        <v>255</v>
      </c>
      <c r="J553" s="818"/>
    </row>
    <row r="554" spans="1:10">
      <c r="A554" s="818"/>
      <c r="B554" s="831"/>
      <c r="C554" s="829">
        <v>0.2</v>
      </c>
      <c r="D554" s="832">
        <f>B553*C553*C554</f>
        <v>0.8</v>
      </c>
      <c r="E554" s="831"/>
      <c r="F554" s="831"/>
      <c r="G554" s="829"/>
      <c r="H554" s="832">
        <f>G553*F553</f>
        <v>6.26</v>
      </c>
      <c r="I554" s="833" t="s">
        <v>256</v>
      </c>
      <c r="J554" s="818"/>
    </row>
    <row r="555" spans="1:10">
      <c r="A555" s="818"/>
      <c r="B555" s="831"/>
      <c r="C555" s="829"/>
      <c r="D555" s="832"/>
      <c r="E555" s="831"/>
      <c r="F555" s="831"/>
      <c r="G555" s="829"/>
      <c r="H555" s="832"/>
      <c r="I555" s="833"/>
      <c r="J555" s="818"/>
    </row>
    <row r="556" spans="1:10">
      <c r="A556" s="818"/>
      <c r="B556" s="831">
        <v>5</v>
      </c>
      <c r="C556" s="829">
        <v>3.45</v>
      </c>
      <c r="D556" s="832"/>
      <c r="E556" s="831" t="s">
        <v>235</v>
      </c>
      <c r="F556" s="831">
        <v>1</v>
      </c>
      <c r="G556" s="829">
        <v>6.06</v>
      </c>
      <c r="H556" s="832"/>
      <c r="I556" s="833" t="s">
        <v>171</v>
      </c>
      <c r="J556" s="818"/>
    </row>
    <row r="557" spans="1:10">
      <c r="A557" s="818"/>
      <c r="B557" s="831"/>
      <c r="C557" s="829">
        <v>0.2</v>
      </c>
      <c r="D557" s="832">
        <f>B556*C556*C557</f>
        <v>3.45</v>
      </c>
      <c r="E557" s="831"/>
      <c r="F557" s="831"/>
      <c r="G557" s="829"/>
      <c r="H557" s="832">
        <f>G556*F556</f>
        <v>6.06</v>
      </c>
      <c r="I557" s="833" t="s">
        <v>258</v>
      </c>
      <c r="J557" s="818"/>
    </row>
    <row r="558" spans="1:10">
      <c r="A558" s="818"/>
      <c r="B558" s="831"/>
      <c r="C558" s="829"/>
      <c r="D558" s="832"/>
      <c r="E558" s="831"/>
      <c r="F558" s="831"/>
      <c r="G558" s="829"/>
      <c r="H558" s="832"/>
      <c r="I558" s="833"/>
      <c r="J558" s="818"/>
    </row>
    <row r="559" spans="1:10">
      <c r="A559" s="818"/>
      <c r="B559" s="839"/>
      <c r="C559" s="839"/>
      <c r="D559" s="838">
        <f>SUM(D517:D558)+SUM(H460:H509)+SUM(D498:D510)</f>
        <v>624.36699999999996</v>
      </c>
      <c r="E559" s="845" t="s">
        <v>2148</v>
      </c>
      <c r="F559" s="831">
        <v>1</v>
      </c>
      <c r="G559" s="829">
        <v>12.26</v>
      </c>
      <c r="H559" s="832"/>
      <c r="I559" s="833" t="s">
        <v>232</v>
      </c>
      <c r="J559" s="818"/>
    </row>
    <row r="560" spans="1:10">
      <c r="A560" s="818"/>
      <c r="B560" s="435"/>
      <c r="C560" s="435"/>
      <c r="D560" s="435"/>
      <c r="E560" s="435"/>
      <c r="F560" s="831"/>
      <c r="G560" s="829"/>
      <c r="H560" s="832">
        <f>G559*F559</f>
        <v>12.26</v>
      </c>
      <c r="I560" s="833" t="s">
        <v>259</v>
      </c>
      <c r="J560" s="818"/>
    </row>
    <row r="561" spans="1:10">
      <c r="A561" s="818"/>
      <c r="B561" s="831"/>
      <c r="C561" s="829"/>
      <c r="D561" s="832"/>
      <c r="E561" s="844" t="s">
        <v>236</v>
      </c>
      <c r="F561" s="435"/>
      <c r="G561" s="435"/>
      <c r="H561" s="435"/>
      <c r="I561" s="435"/>
      <c r="J561" s="818"/>
    </row>
    <row r="562" spans="1:10">
      <c r="B562" s="435"/>
      <c r="C562" s="435"/>
      <c r="D562" s="435"/>
      <c r="E562" s="435"/>
      <c r="F562" s="831">
        <v>1</v>
      </c>
      <c r="G562" s="829">
        <v>9.35</v>
      </c>
      <c r="H562" s="832">
        <f>F562*G562</f>
        <v>9.35</v>
      </c>
      <c r="I562" s="831" t="s">
        <v>213</v>
      </c>
    </row>
    <row r="563" spans="1:10">
      <c r="B563" s="831">
        <v>2</v>
      </c>
      <c r="C563" s="829">
        <v>21.7</v>
      </c>
      <c r="D563" s="832"/>
      <c r="E563" s="833" t="s">
        <v>207</v>
      </c>
      <c r="F563" s="831"/>
      <c r="G563" s="829"/>
      <c r="H563" s="832"/>
      <c r="I563" s="831" t="s">
        <v>261</v>
      </c>
    </row>
    <row r="564" spans="1:10">
      <c r="B564" s="831"/>
      <c r="C564" s="829"/>
      <c r="D564" s="832">
        <f>C563*B563</f>
        <v>43.4</v>
      </c>
      <c r="E564" s="833" t="s">
        <v>1226</v>
      </c>
      <c r="F564" s="831"/>
      <c r="G564" s="829"/>
      <c r="H564" s="832"/>
      <c r="I564" s="831"/>
    </row>
    <row r="565" spans="1:10">
      <c r="B565" s="831"/>
      <c r="C565" s="829"/>
      <c r="D565" s="832"/>
      <c r="E565" s="833"/>
      <c r="F565" s="831">
        <v>1</v>
      </c>
      <c r="G565" s="829">
        <v>7.5</v>
      </c>
      <c r="H565" s="832"/>
      <c r="I565" s="831" t="s">
        <v>183</v>
      </c>
    </row>
    <row r="566" spans="1:10">
      <c r="B566" s="831">
        <v>1</v>
      </c>
      <c r="C566" s="829">
        <v>11</v>
      </c>
      <c r="D566" s="832"/>
      <c r="E566" s="833" t="s">
        <v>213</v>
      </c>
      <c r="F566" s="831"/>
      <c r="G566" s="829"/>
      <c r="H566" s="832">
        <f>G565*F565</f>
        <v>7.5</v>
      </c>
      <c r="I566" s="831" t="s">
        <v>262</v>
      </c>
    </row>
    <row r="567" spans="1:10">
      <c r="B567" s="831"/>
      <c r="C567" s="829"/>
      <c r="D567" s="832">
        <f>C566*B566</f>
        <v>11</v>
      </c>
      <c r="E567" s="833" t="s">
        <v>237</v>
      </c>
      <c r="F567" s="831"/>
      <c r="G567" s="829"/>
      <c r="H567" s="832"/>
      <c r="I567" s="831"/>
    </row>
    <row r="568" spans="1:10">
      <c r="B568" s="831"/>
      <c r="C568" s="829"/>
      <c r="D568" s="832"/>
      <c r="E568" s="833"/>
      <c r="F568" s="831">
        <v>2</v>
      </c>
      <c r="G568" s="829">
        <v>6.9</v>
      </c>
      <c r="H568" s="832"/>
      <c r="I568" s="831" t="s">
        <v>228</v>
      </c>
    </row>
    <row r="569" spans="1:10">
      <c r="B569" s="831">
        <v>1</v>
      </c>
      <c r="C569" s="829">
        <v>10.5</v>
      </c>
      <c r="D569" s="832"/>
      <c r="E569" s="833" t="s">
        <v>183</v>
      </c>
      <c r="F569" s="831"/>
      <c r="G569" s="829"/>
      <c r="H569" s="832">
        <f>G568*F568</f>
        <v>13.8</v>
      </c>
      <c r="I569" s="831" t="s">
        <v>263</v>
      </c>
    </row>
    <row r="570" spans="1:10">
      <c r="B570" s="831"/>
      <c r="C570" s="829"/>
      <c r="D570" s="832">
        <f>C569*B569</f>
        <v>10.5</v>
      </c>
      <c r="E570" s="833" t="s">
        <v>238</v>
      </c>
      <c r="F570" s="831"/>
      <c r="G570" s="829"/>
      <c r="H570" s="832"/>
      <c r="I570" s="831"/>
    </row>
    <row r="571" spans="1:10">
      <c r="B571" s="831"/>
      <c r="C571" s="829"/>
      <c r="D571" s="832"/>
      <c r="E571" s="833"/>
      <c r="F571" s="831">
        <v>2</v>
      </c>
      <c r="G571" s="829">
        <v>14</v>
      </c>
      <c r="H571" s="832"/>
      <c r="I571" s="831" t="s">
        <v>193</v>
      </c>
    </row>
    <row r="572" spans="1:10">
      <c r="B572" s="849"/>
      <c r="C572" s="850"/>
      <c r="D572" s="851"/>
      <c r="E572" s="852"/>
      <c r="F572" s="849"/>
      <c r="G572" s="850"/>
      <c r="H572" s="851">
        <f>G571*F571</f>
        <v>28</v>
      </c>
      <c r="I572" s="849" t="s">
        <v>264</v>
      </c>
    </row>
    <row r="573" spans="1:10">
      <c r="A573" s="828"/>
      <c r="B573" s="909" t="s">
        <v>1884</v>
      </c>
      <c r="C573" s="911" t="s">
        <v>526</v>
      </c>
      <c r="D573" s="910" t="s">
        <v>1885</v>
      </c>
      <c r="E573" s="911" t="s">
        <v>1886</v>
      </c>
      <c r="F573" s="909" t="s">
        <v>1884</v>
      </c>
      <c r="G573" s="911" t="s">
        <v>526</v>
      </c>
      <c r="H573" s="910" t="s">
        <v>1885</v>
      </c>
      <c r="I573" s="911" t="s">
        <v>1886</v>
      </c>
      <c r="J573" s="828"/>
    </row>
    <row r="574" spans="1:10">
      <c r="A574" s="818"/>
      <c r="B574" s="831">
        <v>1</v>
      </c>
      <c r="C574" s="829">
        <v>7.85</v>
      </c>
      <c r="D574" s="832">
        <f>C574*B574</f>
        <v>7.85</v>
      </c>
      <c r="E574" s="831" t="s">
        <v>2278</v>
      </c>
      <c r="F574" s="831"/>
      <c r="G574" s="829"/>
      <c r="H574" s="832"/>
      <c r="I574" s="844" t="s">
        <v>9</v>
      </c>
      <c r="J574" s="818"/>
    </row>
    <row r="575" spans="1:10">
      <c r="A575" s="818"/>
      <c r="B575" s="831"/>
      <c r="C575" s="829"/>
      <c r="D575" s="435"/>
      <c r="E575" s="435"/>
      <c r="F575" s="831"/>
      <c r="G575" s="829"/>
      <c r="H575" s="832"/>
      <c r="I575" s="844" t="s">
        <v>278</v>
      </c>
      <c r="J575" s="818"/>
    </row>
    <row r="576" spans="1:10">
      <c r="A576" s="818"/>
      <c r="B576" s="831">
        <v>1</v>
      </c>
      <c r="C576" s="829">
        <v>18.600000000000001</v>
      </c>
      <c r="D576" s="832">
        <f>B576*C576</f>
        <v>18.600000000000001</v>
      </c>
      <c r="E576" s="914" t="s">
        <v>265</v>
      </c>
      <c r="F576" s="831">
        <v>1</v>
      </c>
      <c r="G576" s="829">
        <v>119.08</v>
      </c>
      <c r="H576" s="832"/>
      <c r="I576" s="844" t="s">
        <v>2287</v>
      </c>
      <c r="J576" s="818"/>
    </row>
    <row r="577" spans="1:10">
      <c r="A577" s="818"/>
      <c r="B577" s="831"/>
      <c r="C577" s="829"/>
      <c r="D577" s="832"/>
      <c r="E577" s="831" t="s">
        <v>208</v>
      </c>
      <c r="F577" s="839"/>
      <c r="G577" s="839"/>
      <c r="H577" s="838">
        <f>G576*F576</f>
        <v>119.08</v>
      </c>
      <c r="I577" s="839" t="s">
        <v>2291</v>
      </c>
      <c r="J577" s="818"/>
    </row>
    <row r="578" spans="1:10">
      <c r="A578" s="818"/>
      <c r="B578" s="831"/>
      <c r="C578" s="829"/>
      <c r="D578" s="832"/>
      <c r="E578" s="831"/>
      <c r="F578" s="831"/>
      <c r="G578" s="829"/>
      <c r="H578" s="832"/>
      <c r="I578" s="833"/>
      <c r="J578" s="818"/>
    </row>
    <row r="579" spans="1:10">
      <c r="A579" s="818"/>
      <c r="B579" s="831">
        <v>2</v>
      </c>
      <c r="C579" s="829">
        <v>11.04</v>
      </c>
      <c r="D579" s="832">
        <f>B579*C579</f>
        <v>22.08</v>
      </c>
      <c r="E579" s="831" t="s">
        <v>1228</v>
      </c>
      <c r="F579" s="831"/>
      <c r="G579" s="829"/>
      <c r="H579" s="832"/>
      <c r="I579" s="844" t="s">
        <v>10</v>
      </c>
      <c r="J579" s="818"/>
    </row>
    <row r="580" spans="1:10">
      <c r="A580" s="818"/>
      <c r="B580" s="831"/>
      <c r="C580" s="829"/>
      <c r="D580" s="832"/>
      <c r="E580" s="831"/>
      <c r="F580" s="831">
        <v>5</v>
      </c>
      <c r="G580" s="829">
        <v>1.9</v>
      </c>
      <c r="H580" s="832"/>
      <c r="I580" s="833" t="s">
        <v>2288</v>
      </c>
      <c r="J580" s="818"/>
    </row>
    <row r="581" spans="1:10">
      <c r="A581" s="818"/>
      <c r="B581" s="839"/>
      <c r="C581" s="839"/>
      <c r="D581" s="838">
        <f ca="1">SUM(D574:D583)+SUM(H517:H560)</f>
        <v>323.90999999999997</v>
      </c>
      <c r="E581" s="845" t="s">
        <v>2275</v>
      </c>
      <c r="F581" s="831"/>
      <c r="G581" s="829"/>
      <c r="H581" s="832">
        <f>G580*F580</f>
        <v>9.5</v>
      </c>
      <c r="I581" s="833"/>
      <c r="J581" s="818"/>
    </row>
    <row r="582" spans="1:10">
      <c r="A582" s="818"/>
      <c r="B582" s="831"/>
      <c r="C582" s="829"/>
      <c r="D582" s="832"/>
      <c r="E582" s="837" t="s">
        <v>2273</v>
      </c>
      <c r="F582" s="831"/>
      <c r="G582" s="829"/>
      <c r="H582" s="832"/>
      <c r="I582" s="833"/>
      <c r="J582" s="818"/>
    </row>
    <row r="583" spans="1:10">
      <c r="A583" s="818"/>
      <c r="B583" s="831">
        <v>12</v>
      </c>
      <c r="C583" s="829">
        <v>1.6</v>
      </c>
      <c r="D583" s="832"/>
      <c r="E583" s="831"/>
      <c r="F583" s="831">
        <v>2</v>
      </c>
      <c r="G583" s="829">
        <v>9.99</v>
      </c>
      <c r="H583" s="832"/>
      <c r="I583" s="833" t="s">
        <v>2289</v>
      </c>
      <c r="J583" s="818"/>
    </row>
    <row r="584" spans="1:10">
      <c r="A584" s="818"/>
      <c r="B584" s="831"/>
      <c r="C584" s="829"/>
      <c r="D584" s="832">
        <f>C583*B583</f>
        <v>19.200000000000003</v>
      </c>
      <c r="E584" s="831" t="s">
        <v>268</v>
      </c>
      <c r="F584" s="831"/>
      <c r="G584" s="829"/>
      <c r="H584" s="832">
        <f>G583*F583</f>
        <v>19.98</v>
      </c>
      <c r="I584" s="833"/>
      <c r="J584" s="818"/>
    </row>
    <row r="585" spans="1:10">
      <c r="A585" s="818"/>
      <c r="B585" s="831">
        <v>3</v>
      </c>
      <c r="C585" s="829">
        <v>1.4</v>
      </c>
      <c r="D585" s="832"/>
      <c r="E585" s="831"/>
      <c r="F585" s="831"/>
      <c r="G585" s="829"/>
      <c r="H585" s="832"/>
      <c r="I585" s="833"/>
      <c r="J585" s="818"/>
    </row>
    <row r="586" spans="1:10">
      <c r="A586" s="818"/>
      <c r="B586" s="831"/>
      <c r="C586" s="829"/>
      <c r="D586" s="832">
        <f>C585*B585</f>
        <v>4.1999999999999993</v>
      </c>
      <c r="E586" s="831" t="s">
        <v>148</v>
      </c>
      <c r="F586" s="831">
        <v>1</v>
      </c>
      <c r="G586" s="829">
        <v>2.5499999999999998</v>
      </c>
      <c r="H586" s="832"/>
      <c r="I586" s="833" t="s">
        <v>2290</v>
      </c>
      <c r="J586" s="818"/>
    </row>
    <row r="587" spans="1:10">
      <c r="A587" s="818"/>
      <c r="B587" s="831">
        <v>1</v>
      </c>
      <c r="C587" s="829">
        <v>0.85</v>
      </c>
      <c r="D587" s="832"/>
      <c r="E587" s="831"/>
      <c r="F587" s="831"/>
      <c r="G587" s="829"/>
      <c r="H587" s="832">
        <f>G586*F586</f>
        <v>2.5499999999999998</v>
      </c>
      <c r="I587" s="833"/>
      <c r="J587" s="818"/>
    </row>
    <row r="588" spans="1:10">
      <c r="A588" s="818"/>
      <c r="B588" s="831"/>
      <c r="C588" s="829"/>
      <c r="D588" s="832">
        <f>C587*B587</f>
        <v>0.85</v>
      </c>
      <c r="E588" s="831" t="s">
        <v>149</v>
      </c>
      <c r="F588" s="831"/>
      <c r="G588" s="829"/>
      <c r="H588" s="832"/>
      <c r="I588" s="833"/>
      <c r="J588" s="818"/>
    </row>
    <row r="589" spans="1:10">
      <c r="A589" s="818"/>
      <c r="B589" s="831">
        <v>1</v>
      </c>
      <c r="C589" s="829">
        <v>1</v>
      </c>
      <c r="D589" s="832"/>
      <c r="E589" s="831"/>
      <c r="F589" s="839"/>
      <c r="G589" s="839"/>
      <c r="H589" s="838">
        <f>SUM(H581:H588)</f>
        <v>32.03</v>
      </c>
      <c r="I589" s="839" t="s">
        <v>2292</v>
      </c>
      <c r="J589" s="818"/>
    </row>
    <row r="590" spans="1:10">
      <c r="A590" s="818"/>
      <c r="B590" s="831"/>
      <c r="C590" s="829"/>
      <c r="D590" s="832">
        <f>C589*B589</f>
        <v>1</v>
      </c>
      <c r="E590" s="831" t="s">
        <v>74</v>
      </c>
      <c r="F590" s="943"/>
      <c r="G590" s="848"/>
      <c r="H590" s="843"/>
      <c r="I590" s="435"/>
      <c r="J590" s="818"/>
    </row>
    <row r="591" spans="1:10">
      <c r="A591" s="818"/>
      <c r="B591" s="831">
        <v>7</v>
      </c>
      <c r="C591" s="829">
        <v>1.4</v>
      </c>
      <c r="D591" s="832"/>
      <c r="E591" s="831"/>
      <c r="F591" s="831"/>
      <c r="G591" s="829"/>
      <c r="H591" s="832"/>
      <c r="I591" s="833" t="s">
        <v>1245</v>
      </c>
      <c r="J591" s="818"/>
    </row>
    <row r="592" spans="1:10">
      <c r="A592" s="818"/>
      <c r="B592" s="831"/>
      <c r="C592" s="829"/>
      <c r="D592" s="832">
        <f>C591*B591</f>
        <v>9.7999999999999989</v>
      </c>
      <c r="E592" s="831" t="s">
        <v>270</v>
      </c>
      <c r="F592" s="943">
        <v>2</v>
      </c>
      <c r="G592" s="848">
        <v>3.55</v>
      </c>
      <c r="H592" s="843"/>
      <c r="I592" s="435" t="s">
        <v>2289</v>
      </c>
      <c r="J592" s="818"/>
    </row>
    <row r="593" spans="1:10">
      <c r="A593" s="818"/>
      <c r="B593" s="831">
        <v>1</v>
      </c>
      <c r="C593" s="829">
        <v>6.1</v>
      </c>
      <c r="D593" s="832"/>
      <c r="E593" s="831"/>
      <c r="F593" s="839"/>
      <c r="G593" s="839"/>
      <c r="H593" s="838">
        <f>G592*F592</f>
        <v>7.1</v>
      </c>
      <c r="I593" s="839" t="s">
        <v>2293</v>
      </c>
      <c r="J593" s="818"/>
    </row>
    <row r="594" spans="1:10">
      <c r="A594" s="818"/>
      <c r="B594" s="831"/>
      <c r="C594" s="829"/>
      <c r="D594" s="832">
        <f>C593*B593</f>
        <v>6.1</v>
      </c>
      <c r="E594" s="831" t="s">
        <v>152</v>
      </c>
      <c r="F594" s="943"/>
      <c r="G594" s="848"/>
      <c r="H594" s="843"/>
      <c r="I594" s="435"/>
      <c r="J594" s="818"/>
    </row>
    <row r="595" spans="1:10" ht="21">
      <c r="A595" s="818"/>
      <c r="B595" s="831">
        <v>1</v>
      </c>
      <c r="C595" s="829">
        <v>1.3</v>
      </c>
      <c r="D595" s="832"/>
      <c r="E595" s="831"/>
      <c r="F595" s="924"/>
      <c r="G595" s="917"/>
      <c r="H595" s="917"/>
      <c r="I595" s="844" t="s">
        <v>2294</v>
      </c>
      <c r="J595" s="818"/>
    </row>
    <row r="596" spans="1:10" ht="21">
      <c r="A596" s="818"/>
      <c r="B596" s="831"/>
      <c r="C596" s="829"/>
      <c r="D596" s="832">
        <f>C595*B595</f>
        <v>1.3</v>
      </c>
      <c r="E596" s="831" t="s">
        <v>156</v>
      </c>
      <c r="F596" s="924"/>
      <c r="G596" s="917"/>
      <c r="H596" s="917"/>
      <c r="I596" s="844" t="s">
        <v>2297</v>
      </c>
      <c r="J596" s="818"/>
    </row>
    <row r="597" spans="1:10">
      <c r="A597" s="818"/>
      <c r="B597" s="839"/>
      <c r="C597" s="839"/>
      <c r="D597" s="838">
        <f>SUM(D584:D596)</f>
        <v>42.45</v>
      </c>
      <c r="E597" s="845" t="s">
        <v>2274</v>
      </c>
      <c r="F597" s="831">
        <v>5</v>
      </c>
      <c r="G597" s="829">
        <v>2</v>
      </c>
      <c r="H597" s="832"/>
      <c r="I597" s="833" t="s">
        <v>2288</v>
      </c>
      <c r="J597" s="818"/>
    </row>
    <row r="598" spans="1:10">
      <c r="A598" s="818"/>
      <c r="B598" s="831"/>
      <c r="C598" s="829"/>
      <c r="D598" s="832"/>
      <c r="E598" s="837" t="s">
        <v>2271</v>
      </c>
      <c r="F598" s="831"/>
      <c r="G598" s="829"/>
      <c r="H598" s="832">
        <f>G597*F597</f>
        <v>10</v>
      </c>
      <c r="I598" s="833"/>
    </row>
    <row r="599" spans="1:10">
      <c r="A599" s="818"/>
      <c r="B599" s="831">
        <v>1</v>
      </c>
      <c r="C599" s="829">
        <v>39.700000000000003</v>
      </c>
      <c r="D599" s="832"/>
      <c r="E599" s="831" t="s">
        <v>276</v>
      </c>
      <c r="F599" s="831"/>
      <c r="G599" s="829"/>
      <c r="H599" s="832"/>
      <c r="I599" s="833"/>
      <c r="J599" s="818"/>
    </row>
    <row r="600" spans="1:10">
      <c r="A600" s="818"/>
      <c r="B600" s="831"/>
      <c r="C600" s="829">
        <v>1.2</v>
      </c>
      <c r="D600" s="832">
        <f>C599*C600*B599</f>
        <v>47.64</v>
      </c>
      <c r="E600" s="831"/>
      <c r="F600" s="831">
        <v>1</v>
      </c>
      <c r="G600" s="829">
        <v>2</v>
      </c>
      <c r="H600" s="832"/>
      <c r="I600" s="833" t="s">
        <v>2295</v>
      </c>
      <c r="J600" s="818"/>
    </row>
    <row r="601" spans="1:10">
      <c r="A601" s="818"/>
      <c r="B601" s="831"/>
      <c r="C601" s="829"/>
      <c r="D601" s="832"/>
      <c r="E601" s="831"/>
      <c r="F601" s="831"/>
      <c r="G601" s="829"/>
      <c r="H601" s="832">
        <f>G600*F600</f>
        <v>2</v>
      </c>
      <c r="I601" s="833"/>
      <c r="J601" s="818"/>
    </row>
    <row r="602" spans="1:10">
      <c r="A602" s="818"/>
      <c r="B602" s="831">
        <v>1</v>
      </c>
      <c r="C602" s="829">
        <v>18.7</v>
      </c>
      <c r="D602" s="832"/>
      <c r="E602" s="831" t="s">
        <v>277</v>
      </c>
      <c r="F602" s="831"/>
      <c r="G602" s="829"/>
      <c r="H602" s="832"/>
      <c r="I602" s="833"/>
      <c r="J602" s="818"/>
    </row>
    <row r="603" spans="1:10">
      <c r="A603" s="818"/>
      <c r="B603" s="831"/>
      <c r="C603" s="829">
        <v>1.2</v>
      </c>
      <c r="D603" s="832">
        <f>C602*C603*B602</f>
        <v>22.439999999999998</v>
      </c>
      <c r="E603" s="831"/>
      <c r="F603" s="831">
        <v>2</v>
      </c>
      <c r="G603" s="829">
        <v>4</v>
      </c>
      <c r="H603" s="832"/>
      <c r="I603" s="833" t="s">
        <v>2289</v>
      </c>
      <c r="J603" s="818"/>
    </row>
    <row r="604" spans="1:10">
      <c r="A604" s="818"/>
      <c r="B604" s="839"/>
      <c r="C604" s="839"/>
      <c r="D604" s="838">
        <f ca="1">SUM(D599:D604)</f>
        <v>70.08</v>
      </c>
      <c r="E604" s="845" t="s">
        <v>2272</v>
      </c>
      <c r="F604" s="831"/>
      <c r="G604" s="829"/>
      <c r="H604" s="832">
        <f>G603*F603</f>
        <v>8</v>
      </c>
      <c r="I604" s="833"/>
      <c r="J604" s="818"/>
    </row>
    <row r="605" spans="1:10">
      <c r="A605" s="818"/>
      <c r="B605" s="831"/>
      <c r="C605" s="829"/>
      <c r="D605" s="832"/>
      <c r="E605" s="844" t="s">
        <v>2276</v>
      </c>
      <c r="F605" s="831"/>
      <c r="G605" s="829"/>
      <c r="H605" s="832"/>
      <c r="I605" s="833"/>
      <c r="J605" s="818"/>
    </row>
    <row r="606" spans="1:10">
      <c r="A606" s="818"/>
      <c r="B606" s="831">
        <v>2</v>
      </c>
      <c r="C606" s="829">
        <v>40.1</v>
      </c>
      <c r="D606" s="832"/>
      <c r="E606" s="833" t="s">
        <v>2282</v>
      </c>
      <c r="F606" s="831">
        <v>1</v>
      </c>
      <c r="G606" s="829">
        <v>4</v>
      </c>
      <c r="H606" s="832"/>
      <c r="I606" s="833" t="s">
        <v>2290</v>
      </c>
      <c r="J606" s="818"/>
    </row>
    <row r="607" spans="1:10" ht="15.75" customHeight="1">
      <c r="A607" s="818"/>
      <c r="B607" s="831"/>
      <c r="C607" s="829"/>
      <c r="D607" s="832">
        <f>C606*B606</f>
        <v>80.2</v>
      </c>
      <c r="E607" s="833"/>
      <c r="F607" s="831"/>
      <c r="G607" s="829"/>
      <c r="H607" s="832">
        <f>G606*F606</f>
        <v>4</v>
      </c>
      <c r="I607" s="833"/>
      <c r="J607" s="818"/>
    </row>
    <row r="608" spans="1:10">
      <c r="A608" s="818"/>
      <c r="B608" s="435"/>
      <c r="C608" s="435"/>
      <c r="D608" s="435"/>
      <c r="E608" s="435"/>
      <c r="F608" s="831"/>
      <c r="G608" s="829"/>
      <c r="H608" s="832"/>
      <c r="I608" s="833"/>
      <c r="J608" s="818"/>
    </row>
    <row r="609" spans="1:10">
      <c r="A609" s="818"/>
      <c r="B609" s="831">
        <v>1</v>
      </c>
      <c r="C609" s="829">
        <v>20.95</v>
      </c>
      <c r="D609" s="832"/>
      <c r="E609" s="833" t="s">
        <v>2283</v>
      </c>
      <c r="F609" s="839"/>
      <c r="G609" s="839"/>
      <c r="H609" s="838">
        <f>SUM(H598:H608)</f>
        <v>24</v>
      </c>
      <c r="I609" s="845" t="s">
        <v>2296</v>
      </c>
      <c r="J609" s="818"/>
    </row>
    <row r="610" spans="1:10">
      <c r="A610" s="818"/>
      <c r="B610" s="831"/>
      <c r="C610" s="829"/>
      <c r="D610" s="832">
        <f>C609*B609</f>
        <v>20.95</v>
      </c>
      <c r="E610" s="833"/>
      <c r="F610" s="943"/>
      <c r="G610" s="848"/>
      <c r="H610" s="843"/>
      <c r="I610" s="435"/>
      <c r="J610" s="818"/>
    </row>
    <row r="611" spans="1:10">
      <c r="A611" s="818"/>
      <c r="B611" s="839"/>
      <c r="C611" s="839"/>
      <c r="D611" s="838">
        <f ca="1">SUM(D607:D614)</f>
        <v>101.15</v>
      </c>
      <c r="E611" s="845" t="s">
        <v>2277</v>
      </c>
      <c r="F611" s="831"/>
      <c r="G611" s="829"/>
      <c r="H611" s="832"/>
      <c r="I611" s="915" t="s">
        <v>2298</v>
      </c>
      <c r="J611" s="818"/>
    </row>
    <row r="612" spans="1:10">
      <c r="A612" s="818"/>
      <c r="B612" s="831"/>
      <c r="C612" s="829"/>
      <c r="D612" s="832"/>
      <c r="E612" s="844" t="s">
        <v>2280</v>
      </c>
      <c r="F612" s="831">
        <v>1</v>
      </c>
      <c r="G612" s="829">
        <v>49.32</v>
      </c>
      <c r="H612" s="832"/>
      <c r="I612" s="831" t="s">
        <v>2299</v>
      </c>
      <c r="J612" s="818"/>
    </row>
    <row r="613" spans="1:10">
      <c r="A613" s="818"/>
      <c r="B613" s="831">
        <v>1</v>
      </c>
      <c r="C613" s="829">
        <v>19.5</v>
      </c>
      <c r="D613" s="832"/>
      <c r="E613" s="833" t="s">
        <v>2281</v>
      </c>
      <c r="F613" s="839"/>
      <c r="G613" s="839"/>
      <c r="H613" s="838">
        <f>G612*F612</f>
        <v>49.32</v>
      </c>
      <c r="I613" s="845" t="s">
        <v>2300</v>
      </c>
      <c r="J613" s="818"/>
    </row>
    <row r="614" spans="1:10">
      <c r="A614" s="818"/>
      <c r="B614" s="831"/>
      <c r="C614" s="829"/>
      <c r="D614" s="832">
        <f>C613*B613</f>
        <v>19.5</v>
      </c>
      <c r="E614" s="833"/>
      <c r="F614" s="943"/>
      <c r="G614" s="848"/>
      <c r="H614" s="843"/>
      <c r="I614" s="435"/>
      <c r="J614" s="818"/>
    </row>
    <row r="615" spans="1:10">
      <c r="A615" s="818"/>
      <c r="B615" s="831">
        <v>1</v>
      </c>
      <c r="C615" s="829">
        <v>0</v>
      </c>
      <c r="D615" s="832"/>
      <c r="E615" s="833" t="s">
        <v>269</v>
      </c>
      <c r="F615" s="831"/>
      <c r="G615" s="829"/>
      <c r="H615" s="832"/>
      <c r="I615" s="831" t="s">
        <v>280</v>
      </c>
      <c r="J615" s="818"/>
    </row>
    <row r="616" spans="1:10">
      <c r="A616" s="818"/>
      <c r="B616" s="831"/>
      <c r="C616" s="829"/>
      <c r="D616" s="832">
        <f>C615*B615</f>
        <v>0</v>
      </c>
      <c r="E616" s="833"/>
      <c r="F616" s="831">
        <v>1</v>
      </c>
      <c r="G616" s="829">
        <v>48.67</v>
      </c>
      <c r="H616" s="832"/>
      <c r="I616" s="831"/>
      <c r="J616" s="818"/>
    </row>
    <row r="617" spans="1:10">
      <c r="A617" s="818"/>
      <c r="B617" s="839"/>
      <c r="C617" s="839"/>
      <c r="D617" s="838">
        <f ca="1">SUM(D614:D624)</f>
        <v>44.5</v>
      </c>
      <c r="E617" s="845" t="s">
        <v>2279</v>
      </c>
      <c r="F617" s="839"/>
      <c r="G617" s="839"/>
      <c r="H617" s="838">
        <f>G616*F616</f>
        <v>48.67</v>
      </c>
      <c r="I617" s="845" t="s">
        <v>2301</v>
      </c>
      <c r="J617" s="818"/>
    </row>
    <row r="618" spans="1:10">
      <c r="A618" s="818"/>
      <c r="B618" s="831"/>
      <c r="C618" s="829"/>
      <c r="D618" s="832"/>
      <c r="E618" s="844" t="s">
        <v>369</v>
      </c>
      <c r="F618" s="831"/>
      <c r="G618" s="829"/>
      <c r="H618" s="832"/>
      <c r="I618" s="831"/>
      <c r="J618" s="818"/>
    </row>
    <row r="619" spans="1:10">
      <c r="A619" s="818"/>
      <c r="B619" s="831"/>
      <c r="C619" s="829"/>
      <c r="D619" s="832"/>
      <c r="E619" s="844" t="s">
        <v>2329</v>
      </c>
      <c r="F619" s="831"/>
      <c r="G619" s="829"/>
      <c r="H619" s="832"/>
      <c r="I619" s="831" t="s">
        <v>281</v>
      </c>
      <c r="J619" s="818"/>
    </row>
    <row r="620" spans="1:10">
      <c r="A620" s="818"/>
      <c r="B620" s="831"/>
      <c r="C620" s="829"/>
      <c r="D620" s="832"/>
      <c r="E620" s="844"/>
      <c r="F620" s="831">
        <v>1</v>
      </c>
      <c r="G620" s="829">
        <v>50.42</v>
      </c>
      <c r="H620" s="832"/>
      <c r="I620" s="831"/>
      <c r="J620" s="818"/>
    </row>
    <row r="621" spans="1:10">
      <c r="A621" s="818"/>
      <c r="B621" s="839"/>
      <c r="C621" s="839"/>
      <c r="D621" s="838">
        <f>D432</f>
        <v>1502.5857000000001</v>
      </c>
      <c r="E621" s="845" t="s">
        <v>2156</v>
      </c>
      <c r="F621" s="839"/>
      <c r="G621" s="839"/>
      <c r="H621" s="838">
        <f>G620*F620</f>
        <v>50.42</v>
      </c>
      <c r="I621" s="845" t="s">
        <v>2302</v>
      </c>
      <c r="J621" s="818"/>
    </row>
    <row r="622" spans="1:10">
      <c r="A622" s="818"/>
      <c r="B622" s="831"/>
      <c r="C622" s="829"/>
      <c r="D622" s="832"/>
      <c r="E622" s="833"/>
      <c r="F622" s="943"/>
      <c r="G622" s="848"/>
      <c r="H622" s="843"/>
      <c r="I622" s="435"/>
      <c r="J622" s="818"/>
    </row>
    <row r="623" spans="1:10">
      <c r="A623" s="818"/>
      <c r="B623" s="831"/>
      <c r="C623" s="829"/>
      <c r="D623" s="832"/>
      <c r="E623" s="833" t="s">
        <v>272</v>
      </c>
      <c r="F623" s="943"/>
      <c r="G623" s="848"/>
      <c r="H623" s="843"/>
      <c r="I623" s="435"/>
      <c r="J623" s="818"/>
    </row>
    <row r="624" spans="1:10">
      <c r="A624" s="818"/>
      <c r="B624" s="839"/>
      <c r="C624" s="839"/>
      <c r="D624" s="838">
        <f>D472</f>
        <v>638.22700000000009</v>
      </c>
      <c r="E624" s="845" t="s">
        <v>2157</v>
      </c>
      <c r="F624" s="943"/>
      <c r="G624" s="848"/>
      <c r="H624" s="843"/>
      <c r="I624" s="435"/>
      <c r="J624" s="818"/>
    </row>
    <row r="625" spans="1:10">
      <c r="A625" s="818"/>
      <c r="B625" s="831"/>
      <c r="C625" s="829"/>
      <c r="D625" s="832"/>
      <c r="E625" s="833"/>
      <c r="F625" s="943"/>
      <c r="G625" s="848"/>
      <c r="H625" s="843"/>
      <c r="I625" s="435"/>
      <c r="J625" s="818"/>
    </row>
    <row r="626" spans="1:10">
      <c r="A626" s="818"/>
      <c r="B626" s="831"/>
      <c r="C626" s="829"/>
      <c r="D626" s="832"/>
      <c r="E626" s="833" t="s">
        <v>273</v>
      </c>
      <c r="F626" s="943"/>
      <c r="G626" s="848"/>
      <c r="H626" s="843"/>
      <c r="I626" s="435"/>
      <c r="J626" s="818"/>
    </row>
    <row r="627" spans="1:10">
      <c r="A627" s="818"/>
      <c r="B627" s="839"/>
      <c r="C627" s="839"/>
      <c r="D627" s="838">
        <f>H232</f>
        <v>260.51100000000002</v>
      </c>
      <c r="E627" s="845" t="s">
        <v>2158</v>
      </c>
      <c r="F627" s="943"/>
      <c r="G627" s="848"/>
      <c r="H627" s="843"/>
      <c r="I627" s="435"/>
      <c r="J627" s="818"/>
    </row>
    <row r="628" spans="1:10">
      <c r="A628" s="818"/>
      <c r="F628" s="849"/>
      <c r="G628" s="850"/>
      <c r="H628" s="851"/>
      <c r="I628" s="852"/>
      <c r="J628" s="818"/>
    </row>
    <row r="629" spans="1:10">
      <c r="A629" s="828"/>
      <c r="B629" s="909" t="s">
        <v>1884</v>
      </c>
      <c r="C629" s="911" t="s">
        <v>526</v>
      </c>
      <c r="D629" s="910" t="s">
        <v>1885</v>
      </c>
      <c r="E629" s="911" t="s">
        <v>1886</v>
      </c>
      <c r="F629" s="909" t="s">
        <v>1884</v>
      </c>
      <c r="G629" s="911" t="s">
        <v>526</v>
      </c>
      <c r="H629" s="910" t="s">
        <v>1885</v>
      </c>
      <c r="I629" s="911" t="s">
        <v>1886</v>
      </c>
      <c r="J629" s="828"/>
    </row>
    <row r="630" spans="1:10">
      <c r="A630" s="818"/>
      <c r="B630" s="435"/>
      <c r="C630" s="943"/>
      <c r="D630" s="943"/>
      <c r="E630" s="943" t="s">
        <v>2516</v>
      </c>
      <c r="F630" s="831"/>
      <c r="G630" s="829"/>
      <c r="H630" s="832"/>
      <c r="I630" s="844" t="s">
        <v>18</v>
      </c>
      <c r="J630" s="818"/>
    </row>
    <row r="631" spans="1:10">
      <c r="A631" s="818"/>
      <c r="B631" s="435"/>
      <c r="C631" s="943"/>
      <c r="D631" s="943"/>
      <c r="E631" s="435"/>
      <c r="F631" s="831"/>
      <c r="G631" s="829"/>
      <c r="H631" s="832"/>
      <c r="I631" s="844" t="s">
        <v>282</v>
      </c>
      <c r="J631" s="818"/>
    </row>
    <row r="632" spans="1:10">
      <c r="A632" s="818"/>
      <c r="B632" s="831">
        <v>5</v>
      </c>
      <c r="C632" s="829">
        <v>1</v>
      </c>
      <c r="D632" s="832"/>
      <c r="E632" s="831" t="s">
        <v>2288</v>
      </c>
      <c r="F632" s="831">
        <v>1</v>
      </c>
      <c r="G632" s="829">
        <v>12</v>
      </c>
      <c r="H632" s="832"/>
      <c r="I632" s="833"/>
      <c r="J632" s="818"/>
    </row>
    <row r="633" spans="1:10">
      <c r="A633" s="818"/>
      <c r="B633" s="831"/>
      <c r="C633" s="829"/>
      <c r="D633" s="832">
        <f>C632*B632</f>
        <v>5</v>
      </c>
      <c r="E633" s="831"/>
      <c r="F633" s="839"/>
      <c r="G633" s="839"/>
      <c r="H633" s="838">
        <f>G632*F632</f>
        <v>12</v>
      </c>
      <c r="I633" s="845" t="s">
        <v>2317</v>
      </c>
      <c r="J633" s="818"/>
    </row>
    <row r="634" spans="1:10">
      <c r="A634" s="818"/>
      <c r="B634" s="831"/>
      <c r="C634" s="829"/>
      <c r="D634" s="832"/>
      <c r="E634" s="831"/>
      <c r="F634" s="831"/>
      <c r="G634" s="829"/>
      <c r="H634" s="832"/>
      <c r="I634" s="833"/>
      <c r="J634" s="818"/>
    </row>
    <row r="635" spans="1:10">
      <c r="A635" s="818"/>
      <c r="B635" s="831">
        <v>1</v>
      </c>
      <c r="C635" s="829">
        <v>1</v>
      </c>
      <c r="D635" s="832"/>
      <c r="E635" s="831" t="s">
        <v>2295</v>
      </c>
      <c r="F635" s="831"/>
      <c r="G635" s="829"/>
      <c r="H635" s="832"/>
      <c r="I635" s="844" t="s">
        <v>8</v>
      </c>
      <c r="J635" s="818"/>
    </row>
    <row r="636" spans="1:10">
      <c r="A636" s="818"/>
      <c r="B636" s="831"/>
      <c r="C636" s="829"/>
      <c r="D636" s="832">
        <f>C635*B635</f>
        <v>1</v>
      </c>
      <c r="E636" s="831"/>
      <c r="F636" s="831"/>
      <c r="G636" s="829"/>
      <c r="H636" s="832"/>
      <c r="I636" s="844" t="s">
        <v>1244</v>
      </c>
      <c r="J636" s="818"/>
    </row>
    <row r="637" spans="1:10">
      <c r="A637" s="818"/>
      <c r="B637" s="831"/>
      <c r="C637" s="829"/>
      <c r="D637" s="832"/>
      <c r="E637" s="831"/>
      <c r="F637" s="831">
        <v>1</v>
      </c>
      <c r="G637" s="829">
        <v>6</v>
      </c>
      <c r="H637" s="832"/>
      <c r="I637" s="833"/>
      <c r="J637" s="818"/>
    </row>
    <row r="638" spans="1:10">
      <c r="A638" s="818"/>
      <c r="B638" s="831">
        <v>2</v>
      </c>
      <c r="C638" s="829">
        <v>2</v>
      </c>
      <c r="D638" s="832"/>
      <c r="E638" s="831" t="s">
        <v>2289</v>
      </c>
      <c r="F638" s="839"/>
      <c r="G638" s="839"/>
      <c r="H638" s="838">
        <f>G637*F637</f>
        <v>6</v>
      </c>
      <c r="I638" s="845" t="s">
        <v>2318</v>
      </c>
      <c r="J638" s="818"/>
    </row>
    <row r="639" spans="1:10">
      <c r="A639" s="818"/>
      <c r="B639" s="831"/>
      <c r="C639" s="829"/>
      <c r="D639" s="832">
        <f>C638*B638</f>
        <v>4</v>
      </c>
      <c r="E639" s="831"/>
      <c r="F639" s="831"/>
      <c r="G639" s="829"/>
      <c r="H639" s="832"/>
      <c r="I639" s="833"/>
      <c r="J639" s="818"/>
    </row>
    <row r="640" spans="1:10">
      <c r="A640" s="818"/>
      <c r="B640" s="831"/>
      <c r="C640" s="829"/>
      <c r="D640" s="832"/>
      <c r="E640" s="831"/>
      <c r="F640" s="831"/>
      <c r="G640" s="829"/>
      <c r="H640" s="832"/>
      <c r="I640" s="844" t="s">
        <v>286</v>
      </c>
      <c r="J640" s="818"/>
    </row>
    <row r="641" spans="1:10">
      <c r="A641" s="818"/>
      <c r="B641" s="831">
        <v>1</v>
      </c>
      <c r="C641" s="829">
        <v>1</v>
      </c>
      <c r="D641" s="832"/>
      <c r="E641" s="831" t="s">
        <v>2290</v>
      </c>
      <c r="F641" s="831">
        <v>1</v>
      </c>
      <c r="G641" s="829">
        <v>20</v>
      </c>
      <c r="H641" s="832"/>
      <c r="I641" s="844"/>
      <c r="J641" s="818"/>
    </row>
    <row r="642" spans="1:10">
      <c r="A642" s="818"/>
      <c r="B642" s="831"/>
      <c r="C642" s="829"/>
      <c r="D642" s="832">
        <f>C641*B641</f>
        <v>1</v>
      </c>
      <c r="E642" s="831"/>
      <c r="F642" s="839"/>
      <c r="G642" s="839"/>
      <c r="H642" s="838">
        <f>G641*F641</f>
        <v>20</v>
      </c>
      <c r="I642" s="845" t="s">
        <v>2319</v>
      </c>
      <c r="J642" s="818"/>
    </row>
    <row r="643" spans="1:10" ht="21">
      <c r="A643" s="818"/>
      <c r="B643" s="925"/>
      <c r="C643" s="926"/>
      <c r="D643" s="923"/>
      <c r="E643" s="926"/>
      <c r="F643" s="943"/>
      <c r="G643" s="848"/>
      <c r="H643" s="843"/>
      <c r="I643" s="435"/>
      <c r="J643" s="818"/>
    </row>
    <row r="644" spans="1:10">
      <c r="A644" s="818"/>
      <c r="B644" s="839"/>
      <c r="C644" s="839"/>
      <c r="D644" s="838">
        <f>SUM(D633:D642)</f>
        <v>11</v>
      </c>
      <c r="E644" s="845" t="s">
        <v>2303</v>
      </c>
      <c r="F644" s="831"/>
      <c r="G644" s="829"/>
      <c r="H644" s="832"/>
      <c r="I644" s="844" t="s">
        <v>16</v>
      </c>
      <c r="J644" s="818"/>
    </row>
    <row r="645" spans="1:10">
      <c r="A645" s="818"/>
      <c r="B645" s="831"/>
      <c r="C645" s="829"/>
      <c r="D645" s="832"/>
      <c r="E645" s="831"/>
      <c r="F645" s="831"/>
      <c r="G645" s="829"/>
      <c r="H645" s="832"/>
      <c r="I645" s="844" t="s">
        <v>17</v>
      </c>
      <c r="J645" s="818"/>
    </row>
    <row r="646" spans="1:10" ht="18.75">
      <c r="A646" s="818"/>
      <c r="B646" s="831"/>
      <c r="C646" s="829"/>
      <c r="D646" s="832"/>
      <c r="E646" s="1006" t="s">
        <v>5</v>
      </c>
      <c r="F646" s="831">
        <v>1</v>
      </c>
      <c r="G646" s="829">
        <v>5</v>
      </c>
      <c r="H646" s="832"/>
      <c r="I646" s="844" t="s">
        <v>290</v>
      </c>
      <c r="J646" s="818"/>
    </row>
    <row r="647" spans="1:10">
      <c r="A647" s="818"/>
      <c r="B647" s="831"/>
      <c r="C647" s="829"/>
      <c r="D647" s="832"/>
      <c r="E647" s="837" t="s">
        <v>6</v>
      </c>
      <c r="F647" s="839"/>
      <c r="G647" s="839"/>
      <c r="H647" s="838">
        <f>G646*F646</f>
        <v>5</v>
      </c>
      <c r="I647" s="845" t="s">
        <v>2320</v>
      </c>
      <c r="J647" s="818"/>
    </row>
    <row r="648" spans="1:10">
      <c r="A648" s="818"/>
      <c r="B648" s="831"/>
      <c r="C648" s="829"/>
      <c r="D648" s="832"/>
      <c r="E648" s="837" t="s">
        <v>2305</v>
      </c>
      <c r="F648" s="943"/>
      <c r="G648" s="848"/>
      <c r="H648" s="843"/>
      <c r="I648" s="435"/>
      <c r="J648" s="818"/>
    </row>
    <row r="649" spans="1:10">
      <c r="A649" s="818"/>
      <c r="B649" s="831">
        <v>1</v>
      </c>
      <c r="C649" s="829">
        <v>92</v>
      </c>
      <c r="D649" s="832"/>
      <c r="E649" s="831"/>
      <c r="F649" s="831"/>
      <c r="G649" s="829"/>
      <c r="H649" s="832"/>
      <c r="I649" s="844" t="s">
        <v>2323</v>
      </c>
      <c r="J649" s="818"/>
    </row>
    <row r="650" spans="1:10">
      <c r="A650" s="818"/>
      <c r="B650" s="839"/>
      <c r="C650" s="839"/>
      <c r="D650" s="838">
        <f>C649*B649</f>
        <v>92</v>
      </c>
      <c r="E650" s="845" t="s">
        <v>2304</v>
      </c>
      <c r="F650" s="831"/>
      <c r="G650" s="829"/>
      <c r="H650" s="832"/>
      <c r="I650" s="844" t="s">
        <v>2322</v>
      </c>
      <c r="J650" s="818"/>
    </row>
    <row r="651" spans="1:10">
      <c r="A651" s="818"/>
      <c r="B651" s="831"/>
      <c r="C651" s="829"/>
      <c r="D651" s="832"/>
      <c r="E651" s="831"/>
      <c r="F651" s="831">
        <v>1</v>
      </c>
      <c r="G651" s="829">
        <v>10.24</v>
      </c>
      <c r="H651" s="832"/>
      <c r="I651" s="844"/>
      <c r="J651" s="818"/>
    </row>
    <row r="652" spans="1:10">
      <c r="A652" s="818"/>
      <c r="B652" s="831"/>
      <c r="C652" s="829"/>
      <c r="D652" s="832"/>
      <c r="E652" s="837" t="s">
        <v>2306</v>
      </c>
      <c r="F652" s="839"/>
      <c r="G652" s="839"/>
      <c r="H652" s="838">
        <f>G651*F651</f>
        <v>10.24</v>
      </c>
      <c r="I652" s="845" t="s">
        <v>2321</v>
      </c>
      <c r="J652" s="818"/>
    </row>
    <row r="653" spans="1:10">
      <c r="A653" s="818"/>
      <c r="B653" s="831"/>
      <c r="C653" s="829"/>
      <c r="D653" s="832"/>
      <c r="E653" s="837" t="s">
        <v>2307</v>
      </c>
      <c r="F653" s="943"/>
      <c r="G653" s="848"/>
      <c r="H653" s="843"/>
      <c r="I653" s="435"/>
      <c r="J653" s="818"/>
    </row>
    <row r="654" spans="1:10">
      <c r="A654" s="818"/>
      <c r="B654" s="831">
        <v>1</v>
      </c>
      <c r="C654" s="829">
        <v>51</v>
      </c>
      <c r="D654" s="832"/>
      <c r="E654" s="831"/>
      <c r="F654" s="943"/>
      <c r="G654" s="848"/>
      <c r="H654" s="843"/>
      <c r="I654" s="435"/>
    </row>
    <row r="655" spans="1:10">
      <c r="A655" s="818"/>
      <c r="B655" s="839"/>
      <c r="C655" s="839"/>
      <c r="D655" s="838">
        <f>C654*B654</f>
        <v>51</v>
      </c>
      <c r="E655" s="845" t="s">
        <v>2308</v>
      </c>
      <c r="F655" s="943"/>
      <c r="G655" s="848"/>
      <c r="H655" s="843"/>
      <c r="I655" s="435"/>
      <c r="J655" s="818"/>
    </row>
    <row r="656" spans="1:10">
      <c r="A656" s="818"/>
      <c r="B656" s="831"/>
      <c r="C656" s="829"/>
      <c r="D656" s="832"/>
      <c r="E656" s="831"/>
      <c r="F656" s="943"/>
      <c r="G656" s="848"/>
      <c r="H656" s="843"/>
      <c r="I656" s="435"/>
      <c r="J656" s="818"/>
    </row>
    <row r="657" spans="1:10">
      <c r="A657" s="818"/>
      <c r="B657" s="831"/>
      <c r="C657" s="829"/>
      <c r="D657" s="832"/>
      <c r="E657" s="837" t="s">
        <v>2309</v>
      </c>
      <c r="F657" s="943"/>
      <c r="G657" s="848"/>
      <c r="H657" s="843"/>
      <c r="I657" s="435"/>
      <c r="J657" s="818"/>
    </row>
    <row r="658" spans="1:10">
      <c r="A658" s="818"/>
      <c r="B658" s="831">
        <v>1</v>
      </c>
      <c r="C658" s="829">
        <v>16</v>
      </c>
      <c r="D658" s="832"/>
      <c r="E658" s="831"/>
      <c r="F658" s="435"/>
      <c r="G658" s="829"/>
      <c r="H658" s="435"/>
      <c r="I658" s="943"/>
      <c r="J658" s="818"/>
    </row>
    <row r="659" spans="1:10" ht="15.75" customHeight="1">
      <c r="A659" s="818"/>
      <c r="B659" s="839"/>
      <c r="C659" s="839"/>
      <c r="D659" s="838">
        <f>C658*B658</f>
        <v>16</v>
      </c>
      <c r="E659" s="845" t="s">
        <v>2311</v>
      </c>
      <c r="F659" s="831"/>
      <c r="G659" s="829"/>
      <c r="H659" s="832"/>
      <c r="I659" s="844"/>
      <c r="J659" s="818"/>
    </row>
    <row r="660" spans="1:10">
      <c r="A660" s="818"/>
      <c r="B660" s="831"/>
      <c r="C660" s="829"/>
      <c r="D660" s="832"/>
      <c r="E660" s="831"/>
      <c r="F660" s="831"/>
      <c r="G660" s="829"/>
      <c r="H660" s="832"/>
      <c r="I660" s="844"/>
      <c r="J660" s="818"/>
    </row>
    <row r="661" spans="1:10">
      <c r="A661" s="818"/>
      <c r="B661" s="831"/>
      <c r="C661" s="829"/>
      <c r="D661" s="832"/>
      <c r="E661" s="837" t="s">
        <v>2310</v>
      </c>
      <c r="F661" s="831"/>
      <c r="G661" s="829"/>
      <c r="H661" s="832"/>
      <c r="I661" s="844"/>
      <c r="J661" s="818"/>
    </row>
    <row r="662" spans="1:10">
      <c r="A662" s="818"/>
      <c r="B662" s="831">
        <v>1</v>
      </c>
      <c r="C662" s="829">
        <v>4</v>
      </c>
      <c r="D662" s="832"/>
      <c r="E662" s="831"/>
      <c r="F662" s="831"/>
      <c r="G662" s="829"/>
      <c r="H662" s="832"/>
      <c r="I662" s="844"/>
      <c r="J662" s="818"/>
    </row>
    <row r="663" spans="1:10" ht="15.75" customHeight="1">
      <c r="A663" s="818"/>
      <c r="B663" s="839"/>
      <c r="C663" s="839"/>
      <c r="D663" s="838">
        <f>C662*B662</f>
        <v>4</v>
      </c>
      <c r="E663" s="845" t="s">
        <v>2313</v>
      </c>
      <c r="F663" s="831"/>
      <c r="G663" s="829"/>
      <c r="H663" s="832"/>
      <c r="I663" s="844"/>
      <c r="J663" s="818"/>
    </row>
    <row r="664" spans="1:10">
      <c r="A664" s="818"/>
      <c r="B664" s="831"/>
      <c r="C664" s="829"/>
      <c r="D664" s="832"/>
      <c r="E664" s="831"/>
      <c r="F664" s="831"/>
      <c r="G664" s="829"/>
      <c r="H664" s="832"/>
      <c r="I664" s="844"/>
      <c r="J664" s="818"/>
    </row>
    <row r="665" spans="1:10">
      <c r="A665" s="818"/>
      <c r="B665" s="831"/>
      <c r="C665" s="829"/>
      <c r="D665" s="832"/>
      <c r="E665" s="837" t="s">
        <v>2312</v>
      </c>
      <c r="F665" s="831"/>
      <c r="G665" s="829"/>
      <c r="H665" s="832"/>
      <c r="I665" s="844"/>
      <c r="J665" s="818"/>
    </row>
    <row r="666" spans="1:10" ht="15.75" customHeight="1">
      <c r="A666" s="818"/>
      <c r="B666" s="831">
        <v>1</v>
      </c>
      <c r="C666" s="829">
        <v>10</v>
      </c>
      <c r="D666" s="832"/>
      <c r="E666" s="831"/>
      <c r="F666" s="831"/>
      <c r="G666" s="829"/>
      <c r="H666" s="832"/>
      <c r="I666" s="844"/>
      <c r="J666" s="818"/>
    </row>
    <row r="667" spans="1:10">
      <c r="A667" s="818"/>
      <c r="B667" s="839"/>
      <c r="C667" s="839"/>
      <c r="D667" s="838">
        <f>C666*B666</f>
        <v>10</v>
      </c>
      <c r="E667" s="845" t="s">
        <v>2313</v>
      </c>
      <c r="F667" s="943"/>
      <c r="G667" s="848"/>
      <c r="H667" s="843"/>
      <c r="I667" s="435"/>
      <c r="J667" s="818"/>
    </row>
    <row r="668" spans="1:10">
      <c r="A668" s="818"/>
      <c r="B668" s="831"/>
      <c r="C668" s="829"/>
      <c r="D668" s="832"/>
      <c r="E668" s="831"/>
      <c r="F668" s="943"/>
      <c r="G668" s="848"/>
      <c r="H668" s="843"/>
      <c r="I668" s="435"/>
      <c r="J668" s="818"/>
    </row>
    <row r="669" spans="1:10">
      <c r="A669" s="818"/>
      <c r="B669" s="831"/>
      <c r="C669" s="829"/>
      <c r="D669" s="832"/>
      <c r="E669" s="837" t="s">
        <v>287</v>
      </c>
      <c r="F669" s="943"/>
      <c r="G669" s="848"/>
      <c r="H669" s="843"/>
      <c r="I669" s="435"/>
      <c r="J669" s="818"/>
    </row>
    <row r="670" spans="1:10">
      <c r="A670" s="818"/>
      <c r="B670" s="831"/>
      <c r="C670" s="829"/>
      <c r="D670" s="832"/>
      <c r="E670" s="837" t="s">
        <v>288</v>
      </c>
      <c r="F670" s="943"/>
      <c r="G670" s="848"/>
      <c r="H670" s="843"/>
      <c r="I670" s="435"/>
      <c r="J670" s="818"/>
    </row>
    <row r="671" spans="1:10">
      <c r="B671" s="831">
        <v>1</v>
      </c>
      <c r="C671" s="829">
        <v>54</v>
      </c>
      <c r="D671" s="832"/>
      <c r="E671" s="831"/>
      <c r="F671" s="943"/>
      <c r="G671" s="848"/>
      <c r="H671" s="843"/>
      <c r="I671" s="435"/>
    </row>
    <row r="672" spans="1:10">
      <c r="A672" s="818"/>
      <c r="B672" s="839"/>
      <c r="C672" s="839"/>
      <c r="D672" s="838">
        <f>C671*B671</f>
        <v>54</v>
      </c>
      <c r="E672" s="845" t="s">
        <v>2314</v>
      </c>
      <c r="F672" s="943"/>
      <c r="G672" s="848"/>
      <c r="H672" s="843"/>
      <c r="I672" s="435"/>
      <c r="J672" s="818"/>
    </row>
    <row r="673" spans="1:10">
      <c r="A673" s="818"/>
      <c r="B673" s="831"/>
      <c r="C673" s="829"/>
      <c r="D673" s="832"/>
      <c r="E673" s="831"/>
      <c r="F673" s="943"/>
      <c r="G673" s="848"/>
      <c r="H673" s="843"/>
      <c r="I673" s="435"/>
      <c r="J673" s="818"/>
    </row>
    <row r="674" spans="1:10">
      <c r="A674" s="818"/>
      <c r="B674" s="831"/>
      <c r="C674" s="829"/>
      <c r="D674" s="832"/>
      <c r="E674" s="837" t="s">
        <v>289</v>
      </c>
      <c r="F674" s="943"/>
      <c r="G674" s="848"/>
      <c r="H674" s="843"/>
      <c r="I674" s="435"/>
      <c r="J674" s="818"/>
    </row>
    <row r="675" spans="1:10">
      <c r="A675" s="818"/>
      <c r="B675" s="831">
        <v>1</v>
      </c>
      <c r="C675" s="829">
        <v>12</v>
      </c>
      <c r="D675" s="832"/>
      <c r="E675" s="831"/>
      <c r="F675" s="831"/>
      <c r="G675" s="829"/>
      <c r="H675" s="832"/>
      <c r="I675" s="844"/>
      <c r="J675" s="818"/>
    </row>
    <row r="676" spans="1:10">
      <c r="A676" s="818"/>
      <c r="B676" s="839"/>
      <c r="C676" s="839"/>
      <c r="D676" s="838">
        <f>C675*B675</f>
        <v>12</v>
      </c>
      <c r="E676" s="845" t="s">
        <v>2315</v>
      </c>
      <c r="F676" s="831"/>
      <c r="G676" s="829"/>
      <c r="H676" s="832"/>
      <c r="I676" s="844"/>
      <c r="J676" s="818"/>
    </row>
    <row r="677" spans="1:10">
      <c r="A677" s="818"/>
      <c r="B677" s="435"/>
      <c r="C677" s="943"/>
      <c r="D677" s="943"/>
      <c r="E677" s="435"/>
      <c r="F677" s="831"/>
      <c r="G677" s="829"/>
      <c r="H677" s="832"/>
      <c r="I677" s="844"/>
      <c r="J677" s="818"/>
    </row>
    <row r="678" spans="1:10">
      <c r="A678" s="818"/>
      <c r="B678" s="831"/>
      <c r="C678" s="829"/>
      <c r="D678" s="832"/>
      <c r="E678" s="844" t="s">
        <v>7</v>
      </c>
      <c r="F678" s="943"/>
      <c r="G678" s="848"/>
      <c r="H678" s="843"/>
      <c r="I678" s="435"/>
      <c r="J678" s="818"/>
    </row>
    <row r="679" spans="1:10">
      <c r="A679" s="818"/>
      <c r="B679" s="831"/>
      <c r="C679" s="829"/>
      <c r="D679" s="832"/>
      <c r="E679" s="844" t="s">
        <v>291</v>
      </c>
      <c r="F679" s="943"/>
      <c r="G679" s="848"/>
      <c r="H679" s="843"/>
      <c r="I679" s="435"/>
      <c r="J679" s="818"/>
    </row>
    <row r="680" spans="1:10">
      <c r="A680" s="818"/>
      <c r="B680" s="831">
        <v>1</v>
      </c>
      <c r="C680" s="829">
        <v>46</v>
      </c>
      <c r="D680" s="832"/>
      <c r="E680" s="833"/>
      <c r="F680" s="943"/>
      <c r="G680" s="848"/>
      <c r="H680" s="843"/>
      <c r="I680" s="435"/>
      <c r="J680" s="818"/>
    </row>
    <row r="681" spans="1:10">
      <c r="A681" s="818"/>
      <c r="B681" s="839"/>
      <c r="C681" s="839"/>
      <c r="D681" s="838">
        <f>C680*B680</f>
        <v>46</v>
      </c>
      <c r="E681" s="845" t="s">
        <v>2316</v>
      </c>
      <c r="F681" s="943"/>
      <c r="G681" s="848"/>
      <c r="H681" s="843"/>
      <c r="I681" s="435"/>
      <c r="J681" s="818"/>
    </row>
    <row r="682" spans="1:10">
      <c r="A682" s="818"/>
      <c r="B682" s="435"/>
      <c r="C682" s="943"/>
      <c r="D682" s="943"/>
      <c r="E682" s="435"/>
      <c r="F682" s="831"/>
      <c r="G682" s="829"/>
      <c r="H682" s="832"/>
      <c r="I682" s="435"/>
      <c r="J682" s="818"/>
    </row>
    <row r="683" spans="1:10">
      <c r="A683" s="818"/>
      <c r="B683" s="435"/>
      <c r="C683" s="943"/>
      <c r="D683" s="943"/>
      <c r="E683" s="435"/>
      <c r="F683" s="831"/>
      <c r="G683" s="829"/>
      <c r="H683" s="832"/>
      <c r="I683" s="833"/>
      <c r="J683" s="818"/>
    </row>
    <row r="684" spans="1:10">
      <c r="A684" s="818"/>
      <c r="B684" s="435"/>
      <c r="C684" s="943"/>
      <c r="D684" s="943"/>
      <c r="E684" s="435"/>
      <c r="F684" s="831"/>
      <c r="G684" s="829"/>
      <c r="H684" s="832"/>
      <c r="I684" s="833"/>
      <c r="J684" s="818"/>
    </row>
    <row r="685" spans="1:10">
      <c r="A685" s="818"/>
      <c r="B685" s="831"/>
      <c r="C685" s="829"/>
      <c r="D685" s="832"/>
      <c r="E685" s="831"/>
      <c r="F685" s="831"/>
      <c r="G685" s="829"/>
      <c r="H685" s="832"/>
      <c r="I685" s="833"/>
      <c r="J685" s="818"/>
    </row>
    <row r="686" spans="1:10">
      <c r="A686" s="818"/>
      <c r="B686" s="109"/>
      <c r="C686" s="109"/>
      <c r="D686" s="109"/>
      <c r="E686" s="109"/>
      <c r="F686" s="849"/>
      <c r="G686" s="850"/>
      <c r="H686" s="851"/>
      <c r="I686" s="852"/>
      <c r="J686" s="818"/>
    </row>
  </sheetData>
  <mergeCells count="7">
    <mergeCell ref="D495:E495"/>
    <mergeCell ref="B1:E1"/>
    <mergeCell ref="B2:E2"/>
    <mergeCell ref="B3:F3"/>
    <mergeCell ref="H3:I3"/>
    <mergeCell ref="B4:E4"/>
    <mergeCell ref="H4:I4"/>
  </mergeCells>
  <pageMargins left="0.45" right="0.2" top="0.25" bottom="0.25" header="0.3" footer="0.3"/>
  <pageSetup scale="75" orientation="portrait" r:id="rId1"/>
  <headerFooter>
    <oddHeader>&amp;CPage &amp;P of &amp;N</oddHeader>
    <oddFooter xml:space="preserve">&amp;L&amp;14Contructor: - &amp;USelam D.Office Engineer&amp;C&amp;14Consultant: - &amp;UDawit T. Resident Engineer&amp;R&amp;14Client:-______________&amp;U    </oddFooter>
  </headerFooter>
  <rowBreaks count="11" manualBreakCount="11">
    <brk id="61" max="9" man="1"/>
    <brk id="117" max="9" man="1"/>
    <brk id="177" max="9" man="1"/>
    <brk id="233" max="9" man="1"/>
    <brk id="294" max="9" man="1"/>
    <brk id="346" max="9" man="1"/>
    <brk id="402" max="9" man="1"/>
    <brk id="458" max="9" man="1"/>
    <brk id="515" max="9" man="1"/>
    <brk id="572" max="9" man="1"/>
    <brk id="628"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7"/>
  <sheetViews>
    <sheetView view="pageBreakPreview" zoomScaleSheetLayoutView="100" workbookViewId="0">
      <selection sqref="A1:XFD1048576"/>
    </sheetView>
  </sheetViews>
  <sheetFormatPr defaultRowHeight="15.75"/>
  <cols>
    <col min="1" max="1" width="4.7109375" style="158" customWidth="1"/>
    <col min="2" max="2" width="4.42578125" style="158" customWidth="1"/>
    <col min="3" max="3" width="27.85546875" style="158" customWidth="1"/>
    <col min="4" max="4" width="14.7109375" style="158" customWidth="1"/>
    <col min="5" max="5" width="7.7109375" style="158" customWidth="1"/>
    <col min="6" max="6" width="11.7109375" style="158" customWidth="1"/>
    <col min="7" max="7" width="9.140625" style="158" customWidth="1"/>
    <col min="8" max="8" width="10.42578125" style="158" customWidth="1"/>
    <col min="9" max="9" width="9.5703125" style="158" customWidth="1"/>
    <col min="10" max="10" width="6.42578125" style="158" customWidth="1"/>
    <col min="11" max="11" width="11.140625" style="158" customWidth="1"/>
    <col min="12" max="12" width="9.7109375" style="158" customWidth="1"/>
    <col min="13" max="13" width="11.28515625" style="158" customWidth="1"/>
    <col min="14" max="14" width="11" style="158" customWidth="1"/>
    <col min="15" max="15" width="5.85546875" style="158" customWidth="1"/>
    <col min="16" max="16384" width="9.140625" style="158"/>
  </cols>
  <sheetData>
    <row r="1" spans="1:17">
      <c r="A1" s="159"/>
      <c r="B1" s="2068" t="s">
        <v>1257</v>
      </c>
      <c r="C1" s="2068"/>
      <c r="D1" s="2068"/>
      <c r="E1" s="2068"/>
      <c r="F1" s="2068"/>
      <c r="G1" s="2068"/>
      <c r="K1" s="346"/>
      <c r="L1" s="789"/>
      <c r="M1" s="789"/>
      <c r="N1" s="789"/>
      <c r="O1" s="789"/>
    </row>
    <row r="2" spans="1:17">
      <c r="B2" s="2068" t="s">
        <v>1208</v>
      </c>
      <c r="C2" s="2068"/>
      <c r="D2" s="2068"/>
      <c r="E2" s="2068"/>
      <c r="F2" s="2068"/>
      <c r="G2" s="2068"/>
      <c r="K2" s="821"/>
      <c r="L2" s="2063"/>
      <c r="M2" s="2063"/>
      <c r="N2" s="2063"/>
      <c r="O2" s="789"/>
    </row>
    <row r="3" spans="1:17">
      <c r="B3" s="1656" t="s">
        <v>1258</v>
      </c>
      <c r="K3" s="1669"/>
      <c r="L3" s="121" t="s">
        <v>2924</v>
      </c>
      <c r="M3" s="121"/>
      <c r="N3" s="121"/>
      <c r="O3" s="121"/>
      <c r="P3" s="121"/>
      <c r="Q3" s="121"/>
    </row>
    <row r="4" spans="1:17">
      <c r="B4" s="1656" t="s">
        <v>1209</v>
      </c>
      <c r="J4" s="1669"/>
      <c r="K4" s="1669"/>
      <c r="L4" s="1669"/>
      <c r="M4" s="1669"/>
      <c r="N4" s="1669"/>
    </row>
    <row r="5" spans="1:17">
      <c r="B5" s="1656" t="s">
        <v>2185</v>
      </c>
      <c r="C5" s="901"/>
      <c r="D5" s="901"/>
      <c r="E5" s="901"/>
      <c r="F5" s="901"/>
      <c r="G5" s="901"/>
      <c r="H5" s="346"/>
      <c r="I5" s="346"/>
      <c r="J5" s="1669"/>
      <c r="K5" s="1669"/>
      <c r="L5" s="1669"/>
      <c r="M5" s="1669"/>
      <c r="N5" s="1325"/>
    </row>
    <row r="6" spans="1:17">
      <c r="B6" s="1326"/>
      <c r="C6" s="886"/>
      <c r="D6" s="886"/>
      <c r="E6" s="886"/>
      <c r="F6" s="886"/>
      <c r="G6" s="886"/>
      <c r="H6" s="346"/>
      <c r="I6" s="346"/>
      <c r="J6" s="1669"/>
      <c r="K6" s="1669"/>
      <c r="L6" s="1669"/>
      <c r="M6" s="1669"/>
      <c r="N6" s="1325"/>
    </row>
    <row r="7" spans="1:17">
      <c r="B7" s="2064" t="s">
        <v>4</v>
      </c>
      <c r="C7" s="2064" t="s">
        <v>293</v>
      </c>
      <c r="D7" s="2064" t="s">
        <v>309</v>
      </c>
      <c r="E7" s="2064" t="s">
        <v>310</v>
      </c>
      <c r="F7" s="1655" t="s">
        <v>295</v>
      </c>
      <c r="G7" s="2064" t="s">
        <v>311</v>
      </c>
      <c r="H7" s="2064"/>
      <c r="I7" s="2064"/>
      <c r="J7" s="1655"/>
      <c r="K7" s="1655" t="s">
        <v>312</v>
      </c>
      <c r="L7" s="1655"/>
      <c r="M7" s="1655"/>
      <c r="N7" s="1655"/>
    </row>
    <row r="8" spans="1:17">
      <c r="B8" s="2064"/>
      <c r="C8" s="2064"/>
      <c r="D8" s="2064"/>
      <c r="E8" s="2064"/>
      <c r="F8" s="1655" t="s">
        <v>313</v>
      </c>
      <c r="G8" s="1655" t="s">
        <v>314</v>
      </c>
      <c r="H8" s="1655" t="s">
        <v>315</v>
      </c>
      <c r="I8" s="1655" t="s">
        <v>2926</v>
      </c>
      <c r="J8" s="1655" t="s">
        <v>317</v>
      </c>
      <c r="K8" s="1655" t="s">
        <v>318</v>
      </c>
      <c r="L8" s="1655" t="s">
        <v>319</v>
      </c>
      <c r="M8" s="1655" t="s">
        <v>320</v>
      </c>
      <c r="N8" s="1655" t="s">
        <v>321</v>
      </c>
    </row>
    <row r="9" spans="1:17" ht="45">
      <c r="B9" s="872"/>
      <c r="C9" s="866" t="s">
        <v>1</v>
      </c>
      <c r="D9" s="1164" t="s">
        <v>2925</v>
      </c>
      <c r="E9" s="1165">
        <v>14</v>
      </c>
      <c r="F9" s="1165">
        <v>11.35</v>
      </c>
      <c r="G9" s="1165">
        <v>3</v>
      </c>
      <c r="H9" s="1165">
        <v>5</v>
      </c>
      <c r="I9" s="861">
        <f t="shared" ref="I9:I25" si="0">H9*G9</f>
        <v>15</v>
      </c>
      <c r="J9" s="865" t="str">
        <f t="shared" ref="J9:J20" si="1">IF(E9=6,I9*F9,"-")</f>
        <v>-</v>
      </c>
      <c r="K9" s="865" t="str">
        <f t="shared" ref="K9:K20" si="2">IF(E9=8,I9*F9,"-")</f>
        <v>-</v>
      </c>
      <c r="L9" s="865" t="str">
        <f t="shared" ref="L9:L20" si="3">IF(E9=10,I9*F9,"-")</f>
        <v>-</v>
      </c>
      <c r="M9" s="865" t="str">
        <f t="shared" ref="M9:M20" si="4">IF(E9=12,I9*F9,"-")</f>
        <v>-</v>
      </c>
      <c r="N9" s="873">
        <f>IF(E9=14,I9*F9,"-")</f>
        <v>170.25</v>
      </c>
    </row>
    <row r="10" spans="1:17">
      <c r="B10" s="872"/>
      <c r="C10" s="866"/>
      <c r="D10" s="861"/>
      <c r="E10" s="1165">
        <v>14</v>
      </c>
      <c r="F10" s="1165">
        <v>10.9</v>
      </c>
      <c r="G10" s="1165">
        <v>3</v>
      </c>
      <c r="H10" s="1165">
        <v>5</v>
      </c>
      <c r="I10" s="861">
        <f t="shared" si="0"/>
        <v>15</v>
      </c>
      <c r="J10" s="865" t="str">
        <f t="shared" si="1"/>
        <v>-</v>
      </c>
      <c r="K10" s="865" t="str">
        <f t="shared" si="2"/>
        <v>-</v>
      </c>
      <c r="L10" s="865" t="str">
        <f t="shared" si="3"/>
        <v>-</v>
      </c>
      <c r="M10" s="865" t="str">
        <f t="shared" si="4"/>
        <v>-</v>
      </c>
      <c r="N10" s="873">
        <f t="shared" ref="N10:N20" si="5">IF(E10=14,I10*F10,"-")</f>
        <v>163.5</v>
      </c>
    </row>
    <row r="11" spans="1:17">
      <c r="B11" s="872"/>
      <c r="C11" s="866"/>
      <c r="D11" s="861"/>
      <c r="E11" s="1165">
        <v>14</v>
      </c>
      <c r="F11" s="1165">
        <v>9.6999999999999993</v>
      </c>
      <c r="G11" s="1165">
        <v>3</v>
      </c>
      <c r="H11" s="1165">
        <v>5</v>
      </c>
      <c r="I11" s="861">
        <f t="shared" si="0"/>
        <v>15</v>
      </c>
      <c r="J11" s="865" t="str">
        <f t="shared" si="1"/>
        <v>-</v>
      </c>
      <c r="K11" s="865" t="str">
        <f t="shared" si="2"/>
        <v>-</v>
      </c>
      <c r="L11" s="865" t="str">
        <f t="shared" si="3"/>
        <v>-</v>
      </c>
      <c r="M11" s="865" t="str">
        <f t="shared" si="4"/>
        <v>-</v>
      </c>
      <c r="N11" s="873">
        <f t="shared" si="5"/>
        <v>145.5</v>
      </c>
    </row>
    <row r="12" spans="1:17">
      <c r="B12" s="872"/>
      <c r="C12" s="866"/>
      <c r="D12" s="861"/>
      <c r="E12" s="1165">
        <v>14</v>
      </c>
      <c r="F12" s="1165">
        <v>8.93</v>
      </c>
      <c r="G12" s="1165">
        <v>3</v>
      </c>
      <c r="H12" s="1165">
        <v>5</v>
      </c>
      <c r="I12" s="861">
        <f t="shared" si="0"/>
        <v>15</v>
      </c>
      <c r="J12" s="865" t="str">
        <f t="shared" si="1"/>
        <v>-</v>
      </c>
      <c r="K12" s="865" t="str">
        <f t="shared" si="2"/>
        <v>-</v>
      </c>
      <c r="L12" s="865" t="str">
        <f t="shared" si="3"/>
        <v>-</v>
      </c>
      <c r="M12" s="865" t="str">
        <f t="shared" si="4"/>
        <v>-</v>
      </c>
      <c r="N12" s="873">
        <f t="shared" si="5"/>
        <v>133.94999999999999</v>
      </c>
    </row>
    <row r="13" spans="1:17">
      <c r="B13" s="872"/>
      <c r="C13" s="866"/>
      <c r="D13" s="861"/>
      <c r="E13" s="1165">
        <v>14</v>
      </c>
      <c r="F13" s="1165">
        <v>7.05</v>
      </c>
      <c r="G13" s="1165">
        <v>3</v>
      </c>
      <c r="H13" s="1165">
        <v>5</v>
      </c>
      <c r="I13" s="861">
        <f t="shared" si="0"/>
        <v>15</v>
      </c>
      <c r="J13" s="865" t="str">
        <f t="shared" si="1"/>
        <v>-</v>
      </c>
      <c r="K13" s="865" t="str">
        <f t="shared" si="2"/>
        <v>-</v>
      </c>
      <c r="L13" s="865" t="str">
        <f t="shared" si="3"/>
        <v>-</v>
      </c>
      <c r="M13" s="865" t="str">
        <f t="shared" si="4"/>
        <v>-</v>
      </c>
      <c r="N13" s="873">
        <f t="shared" si="5"/>
        <v>105.75</v>
      </c>
    </row>
    <row r="14" spans="1:17">
      <c r="B14" s="872"/>
      <c r="C14" s="866"/>
      <c r="D14" s="861"/>
      <c r="E14" s="1165">
        <v>14</v>
      </c>
      <c r="F14" s="1165">
        <v>11.05</v>
      </c>
      <c r="G14" s="1165">
        <v>3</v>
      </c>
      <c r="H14" s="1165">
        <v>5</v>
      </c>
      <c r="I14" s="861">
        <f t="shared" si="0"/>
        <v>15</v>
      </c>
      <c r="J14" s="865" t="str">
        <f t="shared" si="1"/>
        <v>-</v>
      </c>
      <c r="K14" s="865" t="str">
        <f t="shared" si="2"/>
        <v>-</v>
      </c>
      <c r="L14" s="865" t="str">
        <f t="shared" si="3"/>
        <v>-</v>
      </c>
      <c r="M14" s="865" t="str">
        <f t="shared" si="4"/>
        <v>-</v>
      </c>
      <c r="N14" s="873">
        <f t="shared" si="5"/>
        <v>165.75</v>
      </c>
    </row>
    <row r="15" spans="1:17">
      <c r="B15" s="872"/>
      <c r="C15" s="866"/>
      <c r="D15" s="861"/>
      <c r="E15" s="1165">
        <v>14</v>
      </c>
      <c r="F15" s="1165">
        <v>9.65</v>
      </c>
      <c r="G15" s="1165">
        <v>3</v>
      </c>
      <c r="H15" s="1165">
        <v>5</v>
      </c>
      <c r="I15" s="861">
        <f t="shared" si="0"/>
        <v>15</v>
      </c>
      <c r="J15" s="865" t="str">
        <f t="shared" si="1"/>
        <v>-</v>
      </c>
      <c r="K15" s="865" t="str">
        <f t="shared" si="2"/>
        <v>-</v>
      </c>
      <c r="L15" s="865" t="str">
        <f t="shared" si="3"/>
        <v>-</v>
      </c>
      <c r="M15" s="865" t="str">
        <f t="shared" si="4"/>
        <v>-</v>
      </c>
      <c r="N15" s="873">
        <f t="shared" si="5"/>
        <v>144.75</v>
      </c>
    </row>
    <row r="16" spans="1:17">
      <c r="B16" s="872"/>
      <c r="C16" s="866"/>
      <c r="D16" s="861"/>
      <c r="E16" s="1165">
        <v>14</v>
      </c>
      <c r="F16" s="1165">
        <v>9.9700000000000006</v>
      </c>
      <c r="G16" s="1165">
        <v>3</v>
      </c>
      <c r="H16" s="1165">
        <v>5</v>
      </c>
      <c r="I16" s="861">
        <f t="shared" si="0"/>
        <v>15</v>
      </c>
      <c r="J16" s="865" t="str">
        <f t="shared" si="1"/>
        <v>-</v>
      </c>
      <c r="K16" s="865" t="str">
        <f t="shared" si="2"/>
        <v>-</v>
      </c>
      <c r="L16" s="865" t="str">
        <f t="shared" si="3"/>
        <v>-</v>
      </c>
      <c r="M16" s="865" t="str">
        <f t="shared" si="4"/>
        <v>-</v>
      </c>
      <c r="N16" s="873">
        <f t="shared" si="5"/>
        <v>149.55000000000001</v>
      </c>
    </row>
    <row r="17" spans="2:14">
      <c r="B17" s="872"/>
      <c r="C17" s="866"/>
      <c r="D17" s="861"/>
      <c r="E17" s="1165"/>
      <c r="F17" s="1165"/>
      <c r="G17" s="1165"/>
      <c r="H17" s="1165"/>
      <c r="I17" s="861"/>
      <c r="J17" s="865"/>
      <c r="K17" s="865"/>
      <c r="L17" s="865"/>
      <c r="M17" s="865"/>
      <c r="N17" s="873"/>
    </row>
    <row r="18" spans="2:14">
      <c r="B18" s="872"/>
      <c r="C18" s="866"/>
      <c r="D18" s="861"/>
      <c r="E18" s="1165">
        <v>14</v>
      </c>
      <c r="F18" s="1165">
        <v>11.05</v>
      </c>
      <c r="G18" s="1165">
        <v>3</v>
      </c>
      <c r="H18" s="1165">
        <v>8</v>
      </c>
      <c r="I18" s="861">
        <f t="shared" si="0"/>
        <v>24</v>
      </c>
      <c r="J18" s="865" t="str">
        <f t="shared" si="1"/>
        <v>-</v>
      </c>
      <c r="K18" s="865" t="str">
        <f t="shared" si="2"/>
        <v>-</v>
      </c>
      <c r="L18" s="865" t="str">
        <f t="shared" si="3"/>
        <v>-</v>
      </c>
      <c r="M18" s="865" t="str">
        <f t="shared" si="4"/>
        <v>-</v>
      </c>
      <c r="N18" s="873">
        <f t="shared" si="5"/>
        <v>265.20000000000005</v>
      </c>
    </row>
    <row r="19" spans="2:14">
      <c r="B19" s="872"/>
      <c r="C19" s="866"/>
      <c r="D19" s="861"/>
      <c r="E19" s="1165">
        <v>14</v>
      </c>
      <c r="F19" s="1165">
        <v>9.5299999999999994</v>
      </c>
      <c r="G19" s="1165">
        <v>3</v>
      </c>
      <c r="H19" s="1165">
        <v>8</v>
      </c>
      <c r="I19" s="861">
        <f t="shared" si="0"/>
        <v>24</v>
      </c>
      <c r="J19" s="865" t="str">
        <f t="shared" si="1"/>
        <v>-</v>
      </c>
      <c r="K19" s="865" t="str">
        <f t="shared" si="2"/>
        <v>-</v>
      </c>
      <c r="L19" s="865" t="str">
        <f t="shared" si="3"/>
        <v>-</v>
      </c>
      <c r="M19" s="865" t="str">
        <f t="shared" si="4"/>
        <v>-</v>
      </c>
      <c r="N19" s="873">
        <f t="shared" si="5"/>
        <v>228.71999999999997</v>
      </c>
    </row>
    <row r="20" spans="2:14">
      <c r="B20" s="872"/>
      <c r="C20" s="866"/>
      <c r="D20" s="861"/>
      <c r="E20" s="1165">
        <v>14</v>
      </c>
      <c r="F20" s="1165">
        <v>9.3800000000000008</v>
      </c>
      <c r="G20" s="1165">
        <v>3</v>
      </c>
      <c r="H20" s="1165">
        <v>8</v>
      </c>
      <c r="I20" s="861">
        <f t="shared" si="0"/>
        <v>24</v>
      </c>
      <c r="J20" s="865" t="str">
        <f t="shared" si="1"/>
        <v>-</v>
      </c>
      <c r="K20" s="865" t="str">
        <f t="shared" si="2"/>
        <v>-</v>
      </c>
      <c r="L20" s="865" t="str">
        <f t="shared" si="3"/>
        <v>-</v>
      </c>
      <c r="M20" s="865" t="str">
        <f t="shared" si="4"/>
        <v>-</v>
      </c>
      <c r="N20" s="873">
        <f t="shared" si="5"/>
        <v>225.12</v>
      </c>
    </row>
    <row r="21" spans="2:14">
      <c r="B21" s="872"/>
      <c r="C21" s="866"/>
      <c r="D21" s="861"/>
      <c r="E21" s="1165">
        <v>14</v>
      </c>
      <c r="F21" s="1165">
        <v>11.5</v>
      </c>
      <c r="G21" s="1165">
        <v>3</v>
      </c>
      <c r="H21" s="1165">
        <v>8</v>
      </c>
      <c r="I21" s="861">
        <f t="shared" si="0"/>
        <v>24</v>
      </c>
      <c r="J21" s="865" t="str">
        <f t="shared" ref="J21:J25" si="6">IF(E21=6,I21*F21,"-")</f>
        <v>-</v>
      </c>
      <c r="K21" s="865" t="str">
        <f t="shared" ref="K21:K25" si="7">IF(E21=8,I21*F21,"-")</f>
        <v>-</v>
      </c>
      <c r="L21" s="865" t="str">
        <f t="shared" ref="L21:L25" si="8">IF(E21=10,I21*F21,"-")</f>
        <v>-</v>
      </c>
      <c r="M21" s="865" t="str">
        <f t="shared" ref="M21:M25" si="9">IF(E21=12,I21*F21,"-")</f>
        <v>-</v>
      </c>
      <c r="N21" s="873">
        <f t="shared" ref="N21:N25" si="10">IF(E21=14,I21*F21,"-")</f>
        <v>276</v>
      </c>
    </row>
    <row r="22" spans="2:14">
      <c r="B22" s="872"/>
      <c r="C22" s="866" t="s">
        <v>2927</v>
      </c>
      <c r="D22" s="1165"/>
      <c r="E22" s="1165">
        <v>8</v>
      </c>
      <c r="F22" s="1165">
        <v>1.2</v>
      </c>
      <c r="G22" s="1165">
        <v>189</v>
      </c>
      <c r="H22" s="1165">
        <v>5</v>
      </c>
      <c r="I22" s="861">
        <f t="shared" si="0"/>
        <v>945</v>
      </c>
      <c r="J22" s="865" t="str">
        <f t="shared" si="6"/>
        <v>-</v>
      </c>
      <c r="K22" s="865">
        <f t="shared" si="7"/>
        <v>1134</v>
      </c>
      <c r="L22" s="865" t="str">
        <f t="shared" si="8"/>
        <v>-</v>
      </c>
      <c r="M22" s="865" t="str">
        <f t="shared" si="9"/>
        <v>-</v>
      </c>
      <c r="N22" s="873" t="str">
        <f t="shared" si="10"/>
        <v>-</v>
      </c>
    </row>
    <row r="23" spans="2:14">
      <c r="B23" s="872"/>
      <c r="C23" s="866"/>
      <c r="D23" s="1165"/>
      <c r="E23" s="1165">
        <v>8</v>
      </c>
      <c r="F23" s="1165">
        <v>1.2</v>
      </c>
      <c r="G23" s="1167">
        <v>91</v>
      </c>
      <c r="H23" s="1165">
        <v>8</v>
      </c>
      <c r="I23" s="861">
        <f t="shared" si="0"/>
        <v>728</v>
      </c>
      <c r="J23" s="865" t="str">
        <f t="shared" si="6"/>
        <v>-</v>
      </c>
      <c r="K23" s="865">
        <f t="shared" si="7"/>
        <v>873.6</v>
      </c>
      <c r="L23" s="865" t="str">
        <f t="shared" si="8"/>
        <v>-</v>
      </c>
      <c r="M23" s="865" t="str">
        <f t="shared" si="9"/>
        <v>-</v>
      </c>
      <c r="N23" s="873" t="str">
        <f t="shared" si="10"/>
        <v>-</v>
      </c>
    </row>
    <row r="24" spans="2:14">
      <c r="B24" s="872"/>
      <c r="C24" s="866" t="s">
        <v>2928</v>
      </c>
      <c r="D24" s="1166"/>
      <c r="E24" s="1165">
        <v>8</v>
      </c>
      <c r="F24" s="1775">
        <v>2.35</v>
      </c>
      <c r="G24" s="1776">
        <v>188</v>
      </c>
      <c r="H24" s="1169">
        <v>1</v>
      </c>
      <c r="I24" s="861">
        <f t="shared" si="0"/>
        <v>188</v>
      </c>
      <c r="J24" s="865" t="str">
        <f t="shared" si="6"/>
        <v>-</v>
      </c>
      <c r="K24" s="865">
        <f t="shared" si="7"/>
        <v>441.8</v>
      </c>
      <c r="L24" s="865" t="str">
        <f t="shared" si="8"/>
        <v>-</v>
      </c>
      <c r="M24" s="865" t="str">
        <f t="shared" si="9"/>
        <v>-</v>
      </c>
      <c r="N24" s="873" t="str">
        <f t="shared" si="10"/>
        <v>-</v>
      </c>
    </row>
    <row r="25" spans="2:14">
      <c r="B25" s="872"/>
      <c r="C25" s="866"/>
      <c r="D25" s="1166"/>
      <c r="E25" s="1165">
        <v>8</v>
      </c>
      <c r="F25" s="1777">
        <v>7.05</v>
      </c>
      <c r="G25" s="1776">
        <v>188</v>
      </c>
      <c r="H25" s="1170">
        <v>1</v>
      </c>
      <c r="I25" s="861">
        <f t="shared" si="0"/>
        <v>188</v>
      </c>
      <c r="J25" s="865" t="str">
        <f t="shared" si="6"/>
        <v>-</v>
      </c>
      <c r="K25" s="865">
        <f t="shared" si="7"/>
        <v>1325.3999999999999</v>
      </c>
      <c r="L25" s="865" t="str">
        <f t="shared" si="8"/>
        <v>-</v>
      </c>
      <c r="M25" s="865" t="str">
        <f t="shared" si="9"/>
        <v>-</v>
      </c>
      <c r="N25" s="873" t="str">
        <f t="shared" si="10"/>
        <v>-</v>
      </c>
    </row>
    <row r="26" spans="2:14">
      <c r="B26" s="872"/>
      <c r="C26" s="866"/>
      <c r="D26" s="1166"/>
      <c r="E26" s="1165">
        <v>8</v>
      </c>
      <c r="F26" s="1775">
        <v>2.35</v>
      </c>
      <c r="G26" s="1776">
        <v>188</v>
      </c>
      <c r="H26" s="1169">
        <v>1</v>
      </c>
      <c r="I26" s="861">
        <f t="shared" ref="I26:I31" si="11">H26*G26</f>
        <v>188</v>
      </c>
      <c r="J26" s="865" t="str">
        <f t="shared" ref="J26:J31" si="12">IF(E26=6,I26*F26,"-")</f>
        <v>-</v>
      </c>
      <c r="K26" s="865">
        <f t="shared" ref="K26:K31" si="13">IF(E26=8,I26*F26,"-")</f>
        <v>441.8</v>
      </c>
      <c r="L26" s="865" t="str">
        <f t="shared" ref="L26:L31" si="14">IF(E26=10,I26*F26,"-")</f>
        <v>-</v>
      </c>
      <c r="M26" s="865" t="str">
        <f t="shared" ref="M26:M31" si="15">IF(E26=12,I26*F26,"-")</f>
        <v>-</v>
      </c>
      <c r="N26" s="873" t="str">
        <f t="shared" ref="N26:N31" si="16">IF(E26=14,I26*F26,"-")</f>
        <v>-</v>
      </c>
    </row>
    <row r="27" spans="2:14">
      <c r="B27" s="872"/>
      <c r="C27" s="866"/>
      <c r="D27" s="1166"/>
      <c r="E27" s="1165">
        <v>8</v>
      </c>
      <c r="F27" s="1778">
        <v>5.7</v>
      </c>
      <c r="G27" s="1776">
        <v>188</v>
      </c>
      <c r="H27" s="1170">
        <v>1</v>
      </c>
      <c r="I27" s="861">
        <f t="shared" si="11"/>
        <v>188</v>
      </c>
      <c r="J27" s="865" t="str">
        <f t="shared" si="12"/>
        <v>-</v>
      </c>
      <c r="K27" s="865">
        <f t="shared" si="13"/>
        <v>1071.6000000000001</v>
      </c>
      <c r="L27" s="865" t="str">
        <f t="shared" si="14"/>
        <v>-</v>
      </c>
      <c r="M27" s="865" t="str">
        <f t="shared" si="15"/>
        <v>-</v>
      </c>
      <c r="N27" s="873" t="str">
        <f t="shared" si="16"/>
        <v>-</v>
      </c>
    </row>
    <row r="28" spans="2:14">
      <c r="B28" s="872"/>
      <c r="C28" s="866"/>
      <c r="D28" s="1166"/>
      <c r="E28" s="1165">
        <v>8</v>
      </c>
      <c r="F28" s="1779">
        <v>5.85</v>
      </c>
      <c r="G28" s="1780">
        <v>236</v>
      </c>
      <c r="H28" s="1171">
        <v>1</v>
      </c>
      <c r="I28" s="861">
        <f t="shared" si="11"/>
        <v>236</v>
      </c>
      <c r="J28" s="865" t="str">
        <f t="shared" si="12"/>
        <v>-</v>
      </c>
      <c r="K28" s="865">
        <f t="shared" si="13"/>
        <v>1380.6</v>
      </c>
      <c r="L28" s="865" t="str">
        <f t="shared" si="14"/>
        <v>-</v>
      </c>
      <c r="M28" s="865" t="str">
        <f t="shared" si="15"/>
        <v>-</v>
      </c>
      <c r="N28" s="873" t="str">
        <f t="shared" si="16"/>
        <v>-</v>
      </c>
    </row>
    <row r="29" spans="2:14">
      <c r="B29" s="872"/>
      <c r="C29" s="866"/>
      <c r="D29" s="1166"/>
      <c r="E29" s="1165">
        <v>8</v>
      </c>
      <c r="F29" s="1775">
        <v>5.75</v>
      </c>
      <c r="G29" s="1780">
        <v>156</v>
      </c>
      <c r="H29" s="1169">
        <v>1</v>
      </c>
      <c r="I29" s="861">
        <f t="shared" si="11"/>
        <v>156</v>
      </c>
      <c r="J29" s="865" t="str">
        <f t="shared" si="12"/>
        <v>-</v>
      </c>
      <c r="K29" s="865">
        <f t="shared" si="13"/>
        <v>897</v>
      </c>
      <c r="L29" s="865" t="str">
        <f t="shared" si="14"/>
        <v>-</v>
      </c>
      <c r="M29" s="865" t="str">
        <f t="shared" si="15"/>
        <v>-</v>
      </c>
      <c r="N29" s="873" t="str">
        <f t="shared" si="16"/>
        <v>-</v>
      </c>
    </row>
    <row r="30" spans="2:14">
      <c r="B30" s="872"/>
      <c r="C30" s="866"/>
      <c r="D30" s="1172"/>
      <c r="E30" s="1165">
        <v>8</v>
      </c>
      <c r="F30" s="1777">
        <v>2.2999999999999998</v>
      </c>
      <c r="G30" s="1780">
        <v>79</v>
      </c>
      <c r="H30" s="1170">
        <v>1</v>
      </c>
      <c r="I30" s="861">
        <f t="shared" si="11"/>
        <v>79</v>
      </c>
      <c r="J30" s="865" t="str">
        <f t="shared" si="12"/>
        <v>-</v>
      </c>
      <c r="K30" s="865">
        <f t="shared" si="13"/>
        <v>181.7</v>
      </c>
      <c r="L30" s="865" t="str">
        <f t="shared" si="14"/>
        <v>-</v>
      </c>
      <c r="M30" s="865" t="str">
        <f t="shared" si="15"/>
        <v>-</v>
      </c>
      <c r="N30" s="873" t="str">
        <f t="shared" si="16"/>
        <v>-</v>
      </c>
    </row>
    <row r="31" spans="2:14" ht="16.5" thickBot="1">
      <c r="B31" s="872"/>
      <c r="C31" s="866"/>
      <c r="D31" s="1173"/>
      <c r="E31" s="1165">
        <v>8</v>
      </c>
      <c r="F31" s="1775">
        <v>4.5</v>
      </c>
      <c r="G31" s="1780">
        <v>79</v>
      </c>
      <c r="H31" s="1169">
        <v>1</v>
      </c>
      <c r="I31" s="861">
        <f t="shared" si="11"/>
        <v>79</v>
      </c>
      <c r="J31" s="865" t="str">
        <f t="shared" si="12"/>
        <v>-</v>
      </c>
      <c r="K31" s="865">
        <f t="shared" si="13"/>
        <v>355.5</v>
      </c>
      <c r="L31" s="865" t="str">
        <f t="shared" si="14"/>
        <v>-</v>
      </c>
      <c r="M31" s="865" t="str">
        <f t="shared" si="15"/>
        <v>-</v>
      </c>
      <c r="N31" s="873" t="str">
        <f t="shared" si="16"/>
        <v>-</v>
      </c>
    </row>
    <row r="32" spans="2:14" ht="16.5" thickTop="1">
      <c r="B32" s="2065" t="s">
        <v>301</v>
      </c>
      <c r="C32" s="2066"/>
      <c r="D32" s="2066"/>
      <c r="E32" s="2066"/>
      <c r="F32" s="2066"/>
      <c r="G32" s="2066"/>
      <c r="H32" s="2066"/>
      <c r="I32" s="2067"/>
      <c r="J32" s="142"/>
      <c r="K32" s="119">
        <f>SUM(K9:K31)</f>
        <v>8103.0000000000009</v>
      </c>
      <c r="L32" s="119">
        <f>SUM(L9:L31)</f>
        <v>0</v>
      </c>
      <c r="M32" s="119">
        <f>SUM(M9:M31)</f>
        <v>0</v>
      </c>
      <c r="N32" s="119">
        <f>SUM(N9:N31)</f>
        <v>2174.04</v>
      </c>
    </row>
    <row r="33" spans="2:17">
      <c r="B33" s="2065" t="s">
        <v>302</v>
      </c>
      <c r="C33" s="2066"/>
      <c r="D33" s="2066"/>
      <c r="E33" s="2066"/>
      <c r="F33" s="2066"/>
      <c r="G33" s="2066"/>
      <c r="H33" s="2066"/>
      <c r="I33" s="2067"/>
      <c r="J33" s="898"/>
      <c r="K33" s="362" t="s">
        <v>303</v>
      </c>
      <c r="L33" s="362" t="s">
        <v>304</v>
      </c>
      <c r="M33" s="362" t="s">
        <v>305</v>
      </c>
      <c r="N33" s="362" t="s">
        <v>306</v>
      </c>
    </row>
    <row r="34" spans="2:17">
      <c r="B34" s="2065" t="s">
        <v>307</v>
      </c>
      <c r="C34" s="2066"/>
      <c r="D34" s="2066"/>
      <c r="E34" s="2066"/>
      <c r="F34" s="2066"/>
      <c r="G34" s="2066"/>
      <c r="H34" s="2066"/>
      <c r="I34" s="2067"/>
      <c r="J34" s="899"/>
      <c r="K34" s="425">
        <f>K32*K33</f>
        <v>3200.6850000000004</v>
      </c>
      <c r="L34" s="425">
        <f>L32*L33</f>
        <v>0</v>
      </c>
      <c r="M34" s="425">
        <f>M32*M33</f>
        <v>0</v>
      </c>
      <c r="N34" s="425">
        <f>N32*N33</f>
        <v>2630.5884000000001</v>
      </c>
    </row>
    <row r="35" spans="2:17">
      <c r="B35" s="1664"/>
      <c r="C35" s="888"/>
      <c r="D35" s="1665"/>
      <c r="E35" s="1665"/>
      <c r="F35" s="889"/>
      <c r="G35" s="1665"/>
      <c r="H35" s="1665"/>
      <c r="I35" s="1665"/>
      <c r="J35" s="889"/>
      <c r="K35" s="889"/>
      <c r="L35" s="889"/>
      <c r="M35" s="889">
        <f>I35*F35</f>
        <v>0</v>
      </c>
      <c r="N35" s="890"/>
    </row>
    <row r="36" spans="2:17">
      <c r="C36" s="866" t="s">
        <v>2929</v>
      </c>
      <c r="D36" s="861"/>
      <c r="E36" s="861"/>
      <c r="F36" s="865"/>
      <c r="G36" s="861"/>
      <c r="H36" s="861"/>
      <c r="I36" s="861"/>
      <c r="J36" s="865"/>
      <c r="K36" s="865">
        <f>F36*I36</f>
        <v>0</v>
      </c>
      <c r="L36" s="865"/>
      <c r="M36" s="865"/>
      <c r="N36" s="873"/>
    </row>
    <row r="37" spans="2:17">
      <c r="C37" s="866" t="s">
        <v>2930</v>
      </c>
      <c r="D37" s="861"/>
      <c r="E37" s="861"/>
      <c r="F37" s="865"/>
      <c r="G37" s="861"/>
      <c r="H37" s="861"/>
      <c r="I37" s="861"/>
      <c r="J37" s="865"/>
      <c r="K37" s="865"/>
      <c r="L37" s="865"/>
      <c r="M37" s="865"/>
      <c r="N37" s="873"/>
    </row>
    <row r="38" spans="2:17">
      <c r="C38" s="866"/>
      <c r="D38" s="861"/>
      <c r="E38" s="861"/>
      <c r="F38" s="865"/>
      <c r="G38" s="861"/>
      <c r="H38" s="861"/>
      <c r="I38" s="861"/>
      <c r="J38" s="865"/>
      <c r="K38" s="865"/>
      <c r="L38" s="865"/>
      <c r="M38" s="865">
        <f>F38*I38</f>
        <v>0</v>
      </c>
      <c r="N38" s="873"/>
    </row>
    <row r="39" spans="2:17">
      <c r="C39" s="866" t="s">
        <v>2931</v>
      </c>
      <c r="D39" s="861"/>
      <c r="E39" s="578">
        <v>12</v>
      </c>
      <c r="F39" s="578">
        <v>3.68</v>
      </c>
      <c r="G39" s="578">
        <v>4</v>
      </c>
      <c r="H39" s="578">
        <v>36</v>
      </c>
      <c r="I39" s="861">
        <f t="shared" ref="I39:I60" si="17">G39*H39</f>
        <v>144</v>
      </c>
      <c r="J39" s="865" t="str">
        <f t="shared" ref="J39:J60" si="18">IF(E39=6,I39*F39,"-")</f>
        <v>-</v>
      </c>
      <c r="K39" s="865" t="str">
        <f t="shared" ref="K39:K60" si="19">IF(E39=8,I39*F39,"-")</f>
        <v>-</v>
      </c>
      <c r="L39" s="865" t="str">
        <f t="shared" ref="L39:L60" si="20">IF(E39=10,I39*F39,"-")</f>
        <v>-</v>
      </c>
      <c r="M39" s="865">
        <f t="shared" ref="M39:M60" si="21">IF(E39=12,I39*F39,"-")</f>
        <v>529.92000000000007</v>
      </c>
      <c r="N39" s="873" t="str">
        <f t="shared" ref="N39:N60" si="22">IF(E39=14,I39*F39,"-")</f>
        <v>-</v>
      </c>
    </row>
    <row r="40" spans="2:17">
      <c r="C40" s="866" t="s">
        <v>2794</v>
      </c>
      <c r="D40" s="861"/>
      <c r="E40" s="578">
        <v>8</v>
      </c>
      <c r="F40" s="578">
        <v>0.7</v>
      </c>
      <c r="G40" s="578">
        <v>15</v>
      </c>
      <c r="H40" s="578">
        <v>36</v>
      </c>
      <c r="I40" s="861">
        <f t="shared" si="17"/>
        <v>540</v>
      </c>
      <c r="J40" s="865" t="str">
        <f t="shared" si="18"/>
        <v>-</v>
      </c>
      <c r="K40" s="865">
        <f t="shared" si="19"/>
        <v>378</v>
      </c>
      <c r="L40" s="865" t="str">
        <f t="shared" si="20"/>
        <v>-</v>
      </c>
      <c r="M40" s="865" t="str">
        <f t="shared" si="21"/>
        <v>-</v>
      </c>
      <c r="N40" s="873" t="str">
        <f t="shared" si="22"/>
        <v>-</v>
      </c>
    </row>
    <row r="41" spans="2:17">
      <c r="C41" s="866" t="s">
        <v>735</v>
      </c>
      <c r="D41" s="861"/>
      <c r="E41" s="578">
        <v>14</v>
      </c>
      <c r="F41" s="578">
        <v>3.68</v>
      </c>
      <c r="G41" s="578">
        <v>4</v>
      </c>
      <c r="H41" s="578">
        <v>4</v>
      </c>
      <c r="I41" s="861">
        <f t="shared" si="17"/>
        <v>16</v>
      </c>
      <c r="J41" s="865" t="str">
        <f t="shared" si="18"/>
        <v>-</v>
      </c>
      <c r="K41" s="865" t="str">
        <f t="shared" si="19"/>
        <v>-</v>
      </c>
      <c r="L41" s="865" t="str">
        <f t="shared" si="20"/>
        <v>-</v>
      </c>
      <c r="M41" s="865" t="str">
        <f t="shared" si="21"/>
        <v>-</v>
      </c>
      <c r="N41" s="873">
        <f t="shared" si="22"/>
        <v>58.88</v>
      </c>
    </row>
    <row r="42" spans="2:17">
      <c r="C42" s="866" t="s">
        <v>2794</v>
      </c>
      <c r="D42" s="861"/>
      <c r="E42" s="578">
        <v>8</v>
      </c>
      <c r="F42" s="578">
        <v>0.7</v>
      </c>
      <c r="G42" s="578">
        <v>15</v>
      </c>
      <c r="H42" s="578">
        <v>4</v>
      </c>
      <c r="I42" s="861">
        <f t="shared" si="17"/>
        <v>60</v>
      </c>
      <c r="J42" s="865" t="str">
        <f t="shared" si="18"/>
        <v>-</v>
      </c>
      <c r="K42" s="865">
        <f t="shared" si="19"/>
        <v>42</v>
      </c>
      <c r="L42" s="865" t="str">
        <f t="shared" si="20"/>
        <v>-</v>
      </c>
      <c r="M42" s="865" t="str">
        <f t="shared" si="21"/>
        <v>-</v>
      </c>
      <c r="N42" s="873" t="str">
        <f t="shared" si="22"/>
        <v>-</v>
      </c>
      <c r="Q42" s="159"/>
    </row>
    <row r="43" spans="2:17">
      <c r="C43" s="866"/>
      <c r="D43" s="861"/>
      <c r="E43" s="578"/>
      <c r="F43" s="578"/>
      <c r="G43" s="578"/>
      <c r="H43" s="578"/>
      <c r="I43" s="861">
        <f t="shared" si="17"/>
        <v>0</v>
      </c>
      <c r="J43" s="865" t="str">
        <f t="shared" si="18"/>
        <v>-</v>
      </c>
      <c r="K43" s="865" t="str">
        <f t="shared" si="19"/>
        <v>-</v>
      </c>
      <c r="L43" s="865" t="str">
        <f t="shared" si="20"/>
        <v>-</v>
      </c>
      <c r="M43" s="865" t="str">
        <f t="shared" si="21"/>
        <v>-</v>
      </c>
      <c r="N43" s="873" t="str">
        <f t="shared" si="22"/>
        <v>-</v>
      </c>
      <c r="Q43" s="159"/>
    </row>
    <row r="44" spans="2:17">
      <c r="C44" s="866"/>
      <c r="D44" s="861"/>
      <c r="E44" s="578"/>
      <c r="F44" s="578"/>
      <c r="G44" s="578"/>
      <c r="H44" s="578"/>
      <c r="I44" s="861">
        <f t="shared" si="17"/>
        <v>0</v>
      </c>
      <c r="J44" s="865" t="str">
        <f t="shared" si="18"/>
        <v>-</v>
      </c>
      <c r="K44" s="865" t="str">
        <f t="shared" si="19"/>
        <v>-</v>
      </c>
      <c r="L44" s="865" t="str">
        <f t="shared" si="20"/>
        <v>-</v>
      </c>
      <c r="M44" s="865" t="str">
        <f t="shared" si="21"/>
        <v>-</v>
      </c>
      <c r="N44" s="873" t="str">
        <f t="shared" si="22"/>
        <v>-</v>
      </c>
      <c r="Q44" s="159"/>
    </row>
    <row r="45" spans="2:17">
      <c r="C45" s="866"/>
      <c r="D45" s="861"/>
      <c r="E45" s="578"/>
      <c r="F45" s="578"/>
      <c r="G45" s="578"/>
      <c r="H45" s="578"/>
      <c r="I45" s="861">
        <f t="shared" si="17"/>
        <v>0</v>
      </c>
      <c r="J45" s="865" t="str">
        <f t="shared" si="18"/>
        <v>-</v>
      </c>
      <c r="K45" s="865" t="str">
        <f t="shared" si="19"/>
        <v>-</v>
      </c>
      <c r="L45" s="865" t="str">
        <f t="shared" si="20"/>
        <v>-</v>
      </c>
      <c r="M45" s="865" t="str">
        <f t="shared" si="21"/>
        <v>-</v>
      </c>
      <c r="N45" s="873" t="str">
        <f t="shared" si="22"/>
        <v>-</v>
      </c>
      <c r="Q45" s="159"/>
    </row>
    <row r="46" spans="2:17">
      <c r="C46" s="866" t="s">
        <v>854</v>
      </c>
      <c r="D46" s="861"/>
      <c r="E46" s="578">
        <v>12</v>
      </c>
      <c r="F46" s="578">
        <v>10.28</v>
      </c>
      <c r="G46" s="578">
        <v>3</v>
      </c>
      <c r="H46" s="578">
        <v>8</v>
      </c>
      <c r="I46" s="861">
        <f t="shared" si="17"/>
        <v>24</v>
      </c>
      <c r="J46" s="865" t="str">
        <f t="shared" si="18"/>
        <v>-</v>
      </c>
      <c r="K46" s="865" t="str">
        <f t="shared" si="19"/>
        <v>-</v>
      </c>
      <c r="L46" s="865" t="str">
        <f t="shared" si="20"/>
        <v>-</v>
      </c>
      <c r="M46" s="865">
        <f t="shared" si="21"/>
        <v>246.71999999999997</v>
      </c>
      <c r="N46" s="873" t="str">
        <f t="shared" si="22"/>
        <v>-</v>
      </c>
      <c r="Q46" s="159"/>
    </row>
    <row r="47" spans="2:17">
      <c r="C47" s="866"/>
      <c r="D47" s="861"/>
      <c r="E47" s="578">
        <v>12</v>
      </c>
      <c r="F47" s="578">
        <v>9.43</v>
      </c>
      <c r="G47" s="578">
        <v>3</v>
      </c>
      <c r="H47" s="578">
        <v>8</v>
      </c>
      <c r="I47" s="861">
        <f t="shared" si="17"/>
        <v>24</v>
      </c>
      <c r="J47" s="865" t="str">
        <f t="shared" si="18"/>
        <v>-</v>
      </c>
      <c r="K47" s="865" t="str">
        <f t="shared" si="19"/>
        <v>-</v>
      </c>
      <c r="L47" s="865" t="str">
        <f t="shared" si="20"/>
        <v>-</v>
      </c>
      <c r="M47" s="865">
        <f t="shared" si="21"/>
        <v>226.32</v>
      </c>
      <c r="N47" s="873" t="str">
        <f t="shared" si="22"/>
        <v>-</v>
      </c>
      <c r="Q47" s="159"/>
    </row>
    <row r="48" spans="2:17">
      <c r="B48" s="872"/>
      <c r="C48" s="866"/>
      <c r="D48" s="861"/>
      <c r="E48" s="578">
        <v>12</v>
      </c>
      <c r="F48" s="578">
        <v>10.83</v>
      </c>
      <c r="G48" s="578">
        <v>3</v>
      </c>
      <c r="H48" s="578">
        <v>8</v>
      </c>
      <c r="I48" s="861">
        <f t="shared" si="17"/>
        <v>24</v>
      </c>
      <c r="J48" s="865" t="str">
        <f t="shared" si="18"/>
        <v>-</v>
      </c>
      <c r="K48" s="865" t="str">
        <f t="shared" si="19"/>
        <v>-</v>
      </c>
      <c r="L48" s="865" t="str">
        <f t="shared" si="20"/>
        <v>-</v>
      </c>
      <c r="M48" s="865">
        <f t="shared" si="21"/>
        <v>259.92</v>
      </c>
      <c r="N48" s="873" t="str">
        <f t="shared" si="22"/>
        <v>-</v>
      </c>
      <c r="Q48" s="159"/>
    </row>
    <row r="49" spans="2:17">
      <c r="B49" s="872"/>
      <c r="C49" s="866"/>
      <c r="D49" s="861"/>
      <c r="E49" s="578">
        <v>12</v>
      </c>
      <c r="F49" s="578">
        <v>9.2799999999999994</v>
      </c>
      <c r="G49" s="578">
        <v>3</v>
      </c>
      <c r="H49" s="578">
        <v>8</v>
      </c>
      <c r="I49" s="861">
        <f t="shared" si="17"/>
        <v>24</v>
      </c>
      <c r="J49" s="865" t="str">
        <f t="shared" si="18"/>
        <v>-</v>
      </c>
      <c r="K49" s="865" t="str">
        <f t="shared" si="19"/>
        <v>-</v>
      </c>
      <c r="L49" s="865" t="str">
        <f t="shared" si="20"/>
        <v>-</v>
      </c>
      <c r="M49" s="865">
        <f t="shared" si="21"/>
        <v>222.71999999999997</v>
      </c>
      <c r="N49" s="873" t="str">
        <f t="shared" si="22"/>
        <v>-</v>
      </c>
      <c r="Q49" s="159"/>
    </row>
    <row r="50" spans="2:17">
      <c r="B50" s="872"/>
      <c r="C50" s="866"/>
      <c r="D50" s="861"/>
      <c r="E50" s="578">
        <v>12</v>
      </c>
      <c r="F50" s="578">
        <v>11.35</v>
      </c>
      <c r="G50" s="578">
        <v>3</v>
      </c>
      <c r="H50" s="578">
        <v>5</v>
      </c>
      <c r="I50" s="861">
        <f t="shared" si="17"/>
        <v>15</v>
      </c>
      <c r="J50" s="865" t="str">
        <f t="shared" si="18"/>
        <v>-</v>
      </c>
      <c r="K50" s="865" t="str">
        <f t="shared" si="19"/>
        <v>-</v>
      </c>
      <c r="L50" s="865" t="str">
        <f t="shared" si="20"/>
        <v>-</v>
      </c>
      <c r="M50" s="865">
        <f t="shared" si="21"/>
        <v>170.25</v>
      </c>
      <c r="N50" s="873" t="str">
        <f t="shared" si="22"/>
        <v>-</v>
      </c>
      <c r="Q50" s="159"/>
    </row>
    <row r="51" spans="2:17">
      <c r="B51" s="872"/>
      <c r="C51" s="866"/>
      <c r="D51" s="861"/>
      <c r="E51" s="578">
        <v>12</v>
      </c>
      <c r="F51" s="578">
        <v>7.05</v>
      </c>
      <c r="G51" s="578">
        <v>3</v>
      </c>
      <c r="H51" s="578">
        <v>5</v>
      </c>
      <c r="I51" s="861">
        <f t="shared" si="17"/>
        <v>15</v>
      </c>
      <c r="J51" s="865" t="str">
        <f t="shared" si="18"/>
        <v>-</v>
      </c>
      <c r="K51" s="865" t="str">
        <f t="shared" si="19"/>
        <v>-</v>
      </c>
      <c r="L51" s="865" t="str">
        <f t="shared" si="20"/>
        <v>-</v>
      </c>
      <c r="M51" s="865">
        <f t="shared" si="21"/>
        <v>105.75</v>
      </c>
      <c r="N51" s="873" t="str">
        <f t="shared" si="22"/>
        <v>-</v>
      </c>
      <c r="Q51" s="159"/>
    </row>
    <row r="52" spans="2:17">
      <c r="B52" s="872"/>
      <c r="C52" s="866"/>
      <c r="D52" s="861"/>
      <c r="E52" s="578">
        <v>12</v>
      </c>
      <c r="F52" s="578">
        <v>10.9</v>
      </c>
      <c r="G52" s="578">
        <v>3</v>
      </c>
      <c r="H52" s="578">
        <v>5</v>
      </c>
      <c r="I52" s="861">
        <f t="shared" si="17"/>
        <v>15</v>
      </c>
      <c r="J52" s="865" t="str">
        <f t="shared" si="18"/>
        <v>-</v>
      </c>
      <c r="K52" s="865" t="str">
        <f t="shared" si="19"/>
        <v>-</v>
      </c>
      <c r="L52" s="865" t="str">
        <f t="shared" si="20"/>
        <v>-</v>
      </c>
      <c r="M52" s="865">
        <f t="shared" si="21"/>
        <v>163.5</v>
      </c>
      <c r="N52" s="873" t="str">
        <f t="shared" si="22"/>
        <v>-</v>
      </c>
      <c r="Q52" s="159"/>
    </row>
    <row r="53" spans="2:17">
      <c r="B53" s="872"/>
      <c r="C53" s="866"/>
      <c r="D53" s="861"/>
      <c r="E53" s="578">
        <v>12</v>
      </c>
      <c r="F53" s="578">
        <v>11.05</v>
      </c>
      <c r="G53" s="578">
        <v>3</v>
      </c>
      <c r="H53" s="578">
        <v>5</v>
      </c>
      <c r="I53" s="861">
        <f t="shared" si="17"/>
        <v>15</v>
      </c>
      <c r="J53" s="865" t="str">
        <f t="shared" si="18"/>
        <v>-</v>
      </c>
      <c r="K53" s="865" t="str">
        <f t="shared" si="19"/>
        <v>-</v>
      </c>
      <c r="L53" s="865" t="str">
        <f t="shared" si="20"/>
        <v>-</v>
      </c>
      <c r="M53" s="865">
        <f t="shared" si="21"/>
        <v>165.75</v>
      </c>
      <c r="N53" s="873" t="str">
        <f t="shared" si="22"/>
        <v>-</v>
      </c>
      <c r="Q53" s="159"/>
    </row>
    <row r="54" spans="2:17">
      <c r="B54" s="872"/>
      <c r="C54" s="866"/>
      <c r="D54" s="861"/>
      <c r="E54" s="578">
        <v>12</v>
      </c>
      <c r="F54" s="578">
        <v>9.6999999999999993</v>
      </c>
      <c r="G54" s="578">
        <v>3</v>
      </c>
      <c r="H54" s="578">
        <v>5</v>
      </c>
      <c r="I54" s="861">
        <f t="shared" si="17"/>
        <v>15</v>
      </c>
      <c r="J54" s="865" t="str">
        <f t="shared" si="18"/>
        <v>-</v>
      </c>
      <c r="K54" s="865" t="str">
        <f t="shared" si="19"/>
        <v>-</v>
      </c>
      <c r="L54" s="865" t="str">
        <f t="shared" si="20"/>
        <v>-</v>
      </c>
      <c r="M54" s="865">
        <f t="shared" si="21"/>
        <v>145.5</v>
      </c>
      <c r="N54" s="873" t="str">
        <f t="shared" si="22"/>
        <v>-</v>
      </c>
      <c r="Q54" s="159"/>
    </row>
    <row r="55" spans="2:17">
      <c r="B55" s="872"/>
      <c r="C55" s="866"/>
      <c r="D55" s="861"/>
      <c r="E55" s="578">
        <v>12</v>
      </c>
      <c r="F55" s="578">
        <v>9.65</v>
      </c>
      <c r="G55" s="578">
        <v>3</v>
      </c>
      <c r="H55" s="578">
        <v>5</v>
      </c>
      <c r="I55" s="861">
        <f t="shared" si="17"/>
        <v>15</v>
      </c>
      <c r="J55" s="865" t="str">
        <f t="shared" si="18"/>
        <v>-</v>
      </c>
      <c r="K55" s="865" t="str">
        <f t="shared" si="19"/>
        <v>-</v>
      </c>
      <c r="L55" s="865" t="str">
        <f t="shared" si="20"/>
        <v>-</v>
      </c>
      <c r="M55" s="865">
        <f t="shared" si="21"/>
        <v>144.75</v>
      </c>
      <c r="N55" s="873" t="str">
        <f t="shared" si="22"/>
        <v>-</v>
      </c>
      <c r="Q55" s="159"/>
    </row>
    <row r="56" spans="2:17">
      <c r="B56" s="872"/>
      <c r="C56" s="866"/>
      <c r="D56" s="861"/>
      <c r="E56" s="578">
        <v>12</v>
      </c>
      <c r="F56" s="578">
        <v>8.83</v>
      </c>
      <c r="G56" s="578">
        <v>3</v>
      </c>
      <c r="H56" s="578">
        <v>5</v>
      </c>
      <c r="I56" s="861">
        <f t="shared" si="17"/>
        <v>15</v>
      </c>
      <c r="J56" s="865" t="str">
        <f t="shared" si="18"/>
        <v>-</v>
      </c>
      <c r="K56" s="865" t="str">
        <f t="shared" si="19"/>
        <v>-</v>
      </c>
      <c r="L56" s="865" t="str">
        <f t="shared" si="20"/>
        <v>-</v>
      </c>
      <c r="M56" s="865">
        <f t="shared" si="21"/>
        <v>132.44999999999999</v>
      </c>
      <c r="N56" s="873" t="str">
        <f t="shared" si="22"/>
        <v>-</v>
      </c>
      <c r="Q56" s="159"/>
    </row>
    <row r="57" spans="2:17">
      <c r="B57" s="872"/>
      <c r="C57" s="866"/>
      <c r="D57" s="861"/>
      <c r="E57" s="578">
        <v>12</v>
      </c>
      <c r="F57" s="578">
        <v>9.9700000000000006</v>
      </c>
      <c r="G57" s="578">
        <v>3</v>
      </c>
      <c r="H57" s="578">
        <v>5</v>
      </c>
      <c r="I57" s="861">
        <f t="shared" si="17"/>
        <v>15</v>
      </c>
      <c r="J57" s="865" t="str">
        <f t="shared" si="18"/>
        <v>-</v>
      </c>
      <c r="K57" s="865" t="str">
        <f t="shared" si="19"/>
        <v>-</v>
      </c>
      <c r="L57" s="865" t="str">
        <f t="shared" si="20"/>
        <v>-</v>
      </c>
      <c r="M57" s="865">
        <f t="shared" si="21"/>
        <v>149.55000000000001</v>
      </c>
      <c r="N57" s="873" t="str">
        <f t="shared" si="22"/>
        <v>-</v>
      </c>
      <c r="Q57" s="159"/>
    </row>
    <row r="58" spans="2:17">
      <c r="B58" s="872"/>
      <c r="C58" s="861"/>
      <c r="D58" s="861"/>
      <c r="E58" s="578"/>
      <c r="F58" s="578"/>
      <c r="G58" s="578"/>
      <c r="H58" s="578"/>
      <c r="I58" s="861"/>
      <c r="J58" s="865"/>
      <c r="K58" s="865"/>
      <c r="L58" s="865"/>
      <c r="M58" s="865"/>
      <c r="N58" s="873"/>
      <c r="Q58" s="159"/>
    </row>
    <row r="59" spans="2:17">
      <c r="B59" s="872"/>
      <c r="C59" s="866" t="s">
        <v>2927</v>
      </c>
      <c r="D59" s="1174" t="s">
        <v>2932</v>
      </c>
      <c r="E59" s="578">
        <v>8</v>
      </c>
      <c r="F59" s="578">
        <v>0.9</v>
      </c>
      <c r="G59" s="578">
        <v>189</v>
      </c>
      <c r="H59" s="578">
        <v>5</v>
      </c>
      <c r="I59" s="861">
        <f t="shared" si="17"/>
        <v>945</v>
      </c>
      <c r="J59" s="865" t="str">
        <f t="shared" si="18"/>
        <v>-</v>
      </c>
      <c r="K59" s="865">
        <f t="shared" si="19"/>
        <v>850.5</v>
      </c>
      <c r="L59" s="865" t="str">
        <f t="shared" si="20"/>
        <v>-</v>
      </c>
      <c r="M59" s="865" t="str">
        <f t="shared" si="21"/>
        <v>-</v>
      </c>
      <c r="N59" s="873" t="str">
        <f t="shared" si="22"/>
        <v>-</v>
      </c>
      <c r="Q59" s="159"/>
    </row>
    <row r="60" spans="2:17">
      <c r="B60" s="872"/>
      <c r="C60" s="866"/>
      <c r="D60" s="1174" t="s">
        <v>2933</v>
      </c>
      <c r="E60" s="578">
        <v>8</v>
      </c>
      <c r="F60" s="578">
        <v>0.9</v>
      </c>
      <c r="G60" s="578">
        <v>91</v>
      </c>
      <c r="H60" s="578">
        <v>8</v>
      </c>
      <c r="I60" s="861">
        <f t="shared" si="17"/>
        <v>728</v>
      </c>
      <c r="J60" s="865" t="str">
        <f t="shared" si="18"/>
        <v>-</v>
      </c>
      <c r="K60" s="865">
        <f t="shared" si="19"/>
        <v>655.20000000000005</v>
      </c>
      <c r="L60" s="865" t="str">
        <f t="shared" si="20"/>
        <v>-</v>
      </c>
      <c r="M60" s="865" t="str">
        <f t="shared" si="21"/>
        <v>-</v>
      </c>
      <c r="N60" s="873" t="str">
        <f t="shared" si="22"/>
        <v>-</v>
      </c>
      <c r="Q60" s="159"/>
    </row>
    <row r="61" spans="2:17">
      <c r="B61" s="2065" t="s">
        <v>301</v>
      </c>
      <c r="C61" s="2066"/>
      <c r="D61" s="2066"/>
      <c r="E61" s="2066"/>
      <c r="F61" s="2066"/>
      <c r="G61" s="2066"/>
      <c r="H61" s="2066"/>
      <c r="I61" s="2067"/>
      <c r="J61" s="425"/>
      <c r="K61" s="119">
        <f>SUM(K35:K60)</f>
        <v>1925.7</v>
      </c>
      <c r="L61" s="119">
        <f>SUM(L35:L60)</f>
        <v>0</v>
      </c>
      <c r="M61" s="119">
        <f>SUM(M35:M60)</f>
        <v>2663.1000000000004</v>
      </c>
      <c r="N61" s="119">
        <f>SUM(N35:N60)</f>
        <v>58.88</v>
      </c>
      <c r="Q61" s="159"/>
    </row>
    <row r="62" spans="2:17">
      <c r="B62" s="2065" t="s">
        <v>302</v>
      </c>
      <c r="C62" s="2066"/>
      <c r="D62" s="2066"/>
      <c r="E62" s="2066"/>
      <c r="F62" s="2066"/>
      <c r="G62" s="2066"/>
      <c r="H62" s="2066"/>
      <c r="I62" s="2067"/>
      <c r="J62" s="898"/>
      <c r="K62" s="425" t="s">
        <v>303</v>
      </c>
      <c r="L62" s="426"/>
      <c r="M62" s="425" t="s">
        <v>305</v>
      </c>
      <c r="N62" s="425" t="s">
        <v>306</v>
      </c>
      <c r="Q62" s="159"/>
    </row>
    <row r="63" spans="2:17">
      <c r="B63" s="2065" t="s">
        <v>307</v>
      </c>
      <c r="C63" s="2066"/>
      <c r="D63" s="2066"/>
      <c r="E63" s="2066"/>
      <c r="F63" s="2066"/>
      <c r="G63" s="2066"/>
      <c r="H63" s="2066"/>
      <c r="I63" s="2067"/>
      <c r="J63" s="899"/>
      <c r="K63" s="425">
        <f>K61*K62</f>
        <v>760.65150000000006</v>
      </c>
      <c r="L63" s="425">
        <f>L61*L62</f>
        <v>0</v>
      </c>
      <c r="M63" s="425">
        <f>M61*M62</f>
        <v>2364.8328000000001</v>
      </c>
      <c r="N63" s="425">
        <f>N61*N62</f>
        <v>71.244799999999998</v>
      </c>
      <c r="Q63" s="159"/>
    </row>
    <row r="64" spans="2:17">
      <c r="B64" s="1664"/>
      <c r="C64" s="892" t="s">
        <v>3</v>
      </c>
      <c r="D64" s="893"/>
      <c r="E64" s="875"/>
      <c r="F64" s="876"/>
      <c r="G64" s="875"/>
      <c r="H64" s="875"/>
      <c r="I64" s="875"/>
      <c r="J64" s="875"/>
      <c r="K64" s="875"/>
      <c r="L64" s="876"/>
      <c r="M64" s="876"/>
      <c r="N64" s="877"/>
      <c r="Q64" s="159"/>
    </row>
    <row r="65" spans="2:17">
      <c r="B65" s="872"/>
      <c r="C65" s="861"/>
      <c r="D65" s="861"/>
      <c r="E65" s="867">
        <v>12</v>
      </c>
      <c r="F65" s="868">
        <v>1.45</v>
      </c>
      <c r="G65" s="867">
        <v>3</v>
      </c>
      <c r="H65" s="867">
        <v>2</v>
      </c>
      <c r="I65" s="867">
        <f t="shared" ref="I65:I79" si="23">H65*G65</f>
        <v>6</v>
      </c>
      <c r="J65" s="867"/>
      <c r="K65" s="867"/>
      <c r="L65" s="868"/>
      <c r="M65" s="869">
        <f t="shared" ref="M65:M83" si="24">IF(E65=12,I65*F65,"-")</f>
        <v>8.6999999999999993</v>
      </c>
      <c r="N65" s="878"/>
      <c r="Q65" s="159"/>
    </row>
    <row r="66" spans="2:17">
      <c r="B66" s="872"/>
      <c r="C66" s="861" t="s">
        <v>250</v>
      </c>
      <c r="D66" s="861"/>
      <c r="E66" s="867">
        <v>12</v>
      </c>
      <c r="F66" s="868">
        <v>1.1499999999999999</v>
      </c>
      <c r="G66" s="867">
        <v>3</v>
      </c>
      <c r="H66" s="867">
        <v>2</v>
      </c>
      <c r="I66" s="867">
        <f t="shared" si="23"/>
        <v>6</v>
      </c>
      <c r="J66" s="867" t="str">
        <f t="shared" ref="J66:J73" si="25">IF(E66=6,I66*F66,"-")</f>
        <v>-</v>
      </c>
      <c r="K66" s="869" t="str">
        <f t="shared" ref="K66:K79" si="26">IF(E66=8,I66*F66,"-")</f>
        <v>-</v>
      </c>
      <c r="L66" s="869" t="str">
        <f t="shared" ref="L66:L73" si="27">IF(E66=10,I66*F66,"-")</f>
        <v>-</v>
      </c>
      <c r="M66" s="869">
        <f t="shared" si="24"/>
        <v>6.8999999999999995</v>
      </c>
      <c r="N66" s="894" t="str">
        <f t="shared" ref="N66:N79" si="28">IF(E66=14,I66*F66,"-")</f>
        <v>-</v>
      </c>
      <c r="Q66" s="159"/>
    </row>
    <row r="67" spans="2:17">
      <c r="B67" s="872"/>
      <c r="C67" s="862" t="s">
        <v>405</v>
      </c>
      <c r="D67" s="862"/>
      <c r="E67" s="867">
        <v>8</v>
      </c>
      <c r="F67" s="868">
        <v>0.6</v>
      </c>
      <c r="G67" s="867">
        <v>3</v>
      </c>
      <c r="H67" s="867">
        <v>7</v>
      </c>
      <c r="I67" s="867">
        <f t="shared" si="23"/>
        <v>21</v>
      </c>
      <c r="J67" s="867" t="str">
        <f t="shared" si="25"/>
        <v>-</v>
      </c>
      <c r="K67" s="869">
        <f t="shared" si="26"/>
        <v>12.6</v>
      </c>
      <c r="L67" s="869" t="str">
        <f t="shared" si="27"/>
        <v>-</v>
      </c>
      <c r="M67" s="869" t="str">
        <f t="shared" si="24"/>
        <v>-</v>
      </c>
      <c r="N67" s="894" t="str">
        <f t="shared" si="28"/>
        <v>-</v>
      </c>
      <c r="Q67" s="159"/>
    </row>
    <row r="68" spans="2:17">
      <c r="B68" s="872"/>
      <c r="C68" s="862"/>
      <c r="D68" s="862"/>
      <c r="E68" s="867">
        <v>12</v>
      </c>
      <c r="F68" s="868">
        <v>2.2000000000000002</v>
      </c>
      <c r="G68" s="867">
        <v>2</v>
      </c>
      <c r="H68" s="867">
        <v>2</v>
      </c>
      <c r="I68" s="867">
        <f t="shared" si="23"/>
        <v>4</v>
      </c>
      <c r="J68" s="867"/>
      <c r="K68" s="869"/>
      <c r="L68" s="869"/>
      <c r="M68" s="869">
        <f t="shared" si="24"/>
        <v>8.8000000000000007</v>
      </c>
      <c r="N68" s="894"/>
      <c r="Q68" s="159"/>
    </row>
    <row r="69" spans="2:17">
      <c r="B69" s="872"/>
      <c r="C69" s="861" t="s">
        <v>2092</v>
      </c>
      <c r="D69" s="861"/>
      <c r="E69" s="867">
        <v>12</v>
      </c>
      <c r="F69" s="868">
        <v>1.9</v>
      </c>
      <c r="G69" s="867">
        <v>2</v>
      </c>
      <c r="H69" s="867">
        <v>2</v>
      </c>
      <c r="I69" s="867">
        <f t="shared" si="23"/>
        <v>4</v>
      </c>
      <c r="J69" s="867" t="str">
        <f t="shared" si="25"/>
        <v>-</v>
      </c>
      <c r="K69" s="869" t="str">
        <f t="shared" si="26"/>
        <v>-</v>
      </c>
      <c r="L69" s="869" t="str">
        <f t="shared" si="27"/>
        <v>-</v>
      </c>
      <c r="M69" s="869">
        <f t="shared" si="24"/>
        <v>7.6</v>
      </c>
      <c r="N69" s="894" t="str">
        <f t="shared" si="28"/>
        <v>-</v>
      </c>
      <c r="Q69" s="159"/>
    </row>
    <row r="70" spans="2:17">
      <c r="B70" s="872"/>
      <c r="C70" s="862" t="s">
        <v>405</v>
      </c>
      <c r="D70" s="862"/>
      <c r="E70" s="867">
        <v>8</v>
      </c>
      <c r="F70" s="868">
        <v>0.6</v>
      </c>
      <c r="G70" s="867">
        <v>2</v>
      </c>
      <c r="H70" s="867">
        <v>11</v>
      </c>
      <c r="I70" s="867">
        <f t="shared" si="23"/>
        <v>22</v>
      </c>
      <c r="J70" s="867" t="str">
        <f t="shared" si="25"/>
        <v>-</v>
      </c>
      <c r="K70" s="869">
        <f t="shared" si="26"/>
        <v>13.2</v>
      </c>
      <c r="L70" s="869" t="str">
        <f t="shared" si="27"/>
        <v>-</v>
      </c>
      <c r="M70" s="869" t="str">
        <f t="shared" si="24"/>
        <v>-</v>
      </c>
      <c r="N70" s="894" t="str">
        <f t="shared" si="28"/>
        <v>-</v>
      </c>
      <c r="Q70" s="159"/>
    </row>
    <row r="71" spans="2:17">
      <c r="B71" s="872"/>
      <c r="C71" s="862"/>
      <c r="D71" s="862"/>
      <c r="E71" s="867">
        <v>12</v>
      </c>
      <c r="F71" s="868">
        <v>1.35</v>
      </c>
      <c r="G71" s="867">
        <v>1</v>
      </c>
      <c r="H71" s="867">
        <v>2</v>
      </c>
      <c r="I71" s="867">
        <f t="shared" si="23"/>
        <v>2</v>
      </c>
      <c r="J71" s="867" t="str">
        <f t="shared" si="25"/>
        <v>-</v>
      </c>
      <c r="K71" s="869" t="str">
        <f t="shared" si="26"/>
        <v>-</v>
      </c>
      <c r="L71" s="869" t="str">
        <f t="shared" si="27"/>
        <v>-</v>
      </c>
      <c r="M71" s="869">
        <f t="shared" si="24"/>
        <v>2.7</v>
      </c>
      <c r="N71" s="894" t="str">
        <f t="shared" si="28"/>
        <v>-</v>
      </c>
      <c r="Q71" s="159"/>
    </row>
    <row r="72" spans="2:17">
      <c r="B72" s="872"/>
      <c r="C72" s="861" t="s">
        <v>406</v>
      </c>
      <c r="D72" s="861"/>
      <c r="E72" s="867">
        <v>12</v>
      </c>
      <c r="F72" s="868">
        <v>1.05</v>
      </c>
      <c r="G72" s="867">
        <v>1</v>
      </c>
      <c r="H72" s="867">
        <v>2</v>
      </c>
      <c r="I72" s="867">
        <f t="shared" si="23"/>
        <v>2</v>
      </c>
      <c r="J72" s="867" t="str">
        <f t="shared" si="25"/>
        <v>-</v>
      </c>
      <c r="K72" s="869" t="str">
        <f t="shared" si="26"/>
        <v>-</v>
      </c>
      <c r="L72" s="869" t="str">
        <f t="shared" si="27"/>
        <v>-</v>
      </c>
      <c r="M72" s="869">
        <f t="shared" si="24"/>
        <v>2.1</v>
      </c>
      <c r="N72" s="894" t="str">
        <f t="shared" si="28"/>
        <v>-</v>
      </c>
      <c r="Q72" s="159"/>
    </row>
    <row r="73" spans="2:17">
      <c r="B73" s="872"/>
      <c r="C73" s="861" t="s">
        <v>405</v>
      </c>
      <c r="D73" s="861"/>
      <c r="E73" s="867">
        <v>8</v>
      </c>
      <c r="F73" s="868">
        <v>0.6</v>
      </c>
      <c r="G73" s="867">
        <v>1</v>
      </c>
      <c r="H73" s="867">
        <v>5</v>
      </c>
      <c r="I73" s="867">
        <f t="shared" si="23"/>
        <v>5</v>
      </c>
      <c r="J73" s="867" t="str">
        <f t="shared" si="25"/>
        <v>-</v>
      </c>
      <c r="K73" s="869">
        <f t="shared" si="26"/>
        <v>3</v>
      </c>
      <c r="L73" s="869" t="str">
        <f t="shared" si="27"/>
        <v>-</v>
      </c>
      <c r="M73" s="869" t="str">
        <f t="shared" si="24"/>
        <v>-</v>
      </c>
      <c r="N73" s="894" t="str">
        <f t="shared" si="28"/>
        <v>-</v>
      </c>
      <c r="Q73" s="159"/>
    </row>
    <row r="74" spans="2:17">
      <c r="B74" s="872"/>
      <c r="C74" s="861"/>
      <c r="D74" s="861"/>
      <c r="E74" s="867">
        <v>12</v>
      </c>
      <c r="F74" s="868">
        <v>1.35</v>
      </c>
      <c r="G74" s="867">
        <v>1</v>
      </c>
      <c r="H74" s="867">
        <v>2</v>
      </c>
      <c r="I74" s="867">
        <f t="shared" si="23"/>
        <v>2</v>
      </c>
      <c r="J74" s="867"/>
      <c r="K74" s="869" t="str">
        <f t="shared" si="26"/>
        <v>-</v>
      </c>
      <c r="L74" s="869"/>
      <c r="M74" s="869">
        <f t="shared" si="24"/>
        <v>2.7</v>
      </c>
      <c r="N74" s="894" t="str">
        <f t="shared" si="28"/>
        <v>-</v>
      </c>
      <c r="Q74" s="159"/>
    </row>
    <row r="75" spans="2:17">
      <c r="B75" s="872"/>
      <c r="C75" s="861" t="s">
        <v>191</v>
      </c>
      <c r="D75" s="861"/>
      <c r="E75" s="867">
        <v>12</v>
      </c>
      <c r="F75" s="868">
        <v>1.25</v>
      </c>
      <c r="G75" s="867">
        <v>1</v>
      </c>
      <c r="H75" s="867">
        <v>2</v>
      </c>
      <c r="I75" s="867">
        <f t="shared" si="23"/>
        <v>2</v>
      </c>
      <c r="J75" s="867"/>
      <c r="K75" s="869" t="str">
        <f t="shared" si="26"/>
        <v>-</v>
      </c>
      <c r="L75" s="869"/>
      <c r="M75" s="869">
        <f t="shared" si="24"/>
        <v>2.5</v>
      </c>
      <c r="N75" s="894" t="str">
        <f t="shared" si="28"/>
        <v>-</v>
      </c>
      <c r="Q75" s="159"/>
    </row>
    <row r="76" spans="2:17">
      <c r="B76" s="872"/>
      <c r="C76" s="861"/>
      <c r="D76" s="861"/>
      <c r="E76" s="867">
        <v>8</v>
      </c>
      <c r="F76" s="868">
        <v>0.7</v>
      </c>
      <c r="G76" s="867">
        <v>1</v>
      </c>
      <c r="H76" s="867">
        <v>7</v>
      </c>
      <c r="I76" s="867">
        <f t="shared" si="23"/>
        <v>7</v>
      </c>
      <c r="J76" s="867"/>
      <c r="K76" s="869">
        <f t="shared" si="26"/>
        <v>4.8999999999999995</v>
      </c>
      <c r="L76" s="869"/>
      <c r="M76" s="869" t="str">
        <f t="shared" si="24"/>
        <v>-</v>
      </c>
      <c r="N76" s="894" t="str">
        <f t="shared" si="28"/>
        <v>-</v>
      </c>
      <c r="Q76" s="159"/>
    </row>
    <row r="77" spans="2:17">
      <c r="B77" s="872"/>
      <c r="C77" s="867"/>
      <c r="D77" s="861"/>
      <c r="E77" s="867">
        <v>12</v>
      </c>
      <c r="F77" s="868">
        <v>1.95</v>
      </c>
      <c r="G77" s="867">
        <v>1</v>
      </c>
      <c r="H77" s="867">
        <v>2</v>
      </c>
      <c r="I77" s="867">
        <f t="shared" si="23"/>
        <v>2</v>
      </c>
      <c r="J77" s="867"/>
      <c r="K77" s="869" t="str">
        <f t="shared" si="26"/>
        <v>-</v>
      </c>
      <c r="L77" s="869"/>
      <c r="M77" s="869">
        <f t="shared" si="24"/>
        <v>3.9</v>
      </c>
      <c r="N77" s="894" t="str">
        <f t="shared" si="28"/>
        <v>-</v>
      </c>
      <c r="Q77" s="159"/>
    </row>
    <row r="78" spans="2:17">
      <c r="B78" s="872"/>
      <c r="C78" s="861" t="s">
        <v>362</v>
      </c>
      <c r="D78" s="861"/>
      <c r="E78" s="867">
        <v>12</v>
      </c>
      <c r="F78" s="868">
        <v>1.65</v>
      </c>
      <c r="G78" s="867">
        <v>1</v>
      </c>
      <c r="H78" s="867">
        <v>2</v>
      </c>
      <c r="I78" s="867">
        <f t="shared" si="23"/>
        <v>2</v>
      </c>
      <c r="J78" s="867"/>
      <c r="K78" s="869" t="str">
        <f t="shared" si="26"/>
        <v>-</v>
      </c>
      <c r="L78" s="869"/>
      <c r="M78" s="869">
        <f t="shared" si="24"/>
        <v>3.3</v>
      </c>
      <c r="N78" s="894" t="str">
        <f t="shared" si="28"/>
        <v>-</v>
      </c>
      <c r="Q78" s="159"/>
    </row>
    <row r="79" spans="2:17">
      <c r="B79" s="872"/>
      <c r="C79" s="861"/>
      <c r="D79" s="861"/>
      <c r="E79" s="867">
        <v>8</v>
      </c>
      <c r="F79" s="868">
        <v>0.5</v>
      </c>
      <c r="G79" s="867">
        <v>1</v>
      </c>
      <c r="H79" s="867">
        <v>9</v>
      </c>
      <c r="I79" s="867">
        <f t="shared" si="23"/>
        <v>9</v>
      </c>
      <c r="J79" s="867"/>
      <c r="K79" s="869">
        <f t="shared" si="26"/>
        <v>4.5</v>
      </c>
      <c r="L79" s="869"/>
      <c r="M79" s="869" t="str">
        <f t="shared" si="24"/>
        <v>-</v>
      </c>
      <c r="N79" s="873" t="str">
        <f t="shared" si="28"/>
        <v>-</v>
      </c>
      <c r="Q79" s="159"/>
    </row>
    <row r="80" spans="2:17">
      <c r="B80" s="872"/>
      <c r="C80" s="861"/>
      <c r="D80" s="861"/>
      <c r="E80" s="867"/>
      <c r="F80" s="868"/>
      <c r="G80" s="867"/>
      <c r="H80" s="867"/>
      <c r="I80" s="867"/>
      <c r="J80" s="867"/>
      <c r="K80" s="869"/>
      <c r="L80" s="869"/>
      <c r="M80" s="869"/>
      <c r="N80" s="873"/>
      <c r="Q80" s="159"/>
    </row>
    <row r="81" spans="2:18">
      <c r="B81" s="872"/>
      <c r="C81" s="861"/>
      <c r="D81" s="861"/>
      <c r="E81" s="867"/>
      <c r="F81" s="868"/>
      <c r="G81" s="867"/>
      <c r="H81" s="867"/>
      <c r="I81" s="867"/>
      <c r="J81" s="867"/>
      <c r="K81" s="869"/>
      <c r="L81" s="869"/>
      <c r="M81" s="869"/>
      <c r="N81" s="873"/>
      <c r="Q81" s="159"/>
    </row>
    <row r="82" spans="2:18">
      <c r="B82" s="872"/>
      <c r="C82" s="861"/>
      <c r="D82" s="861"/>
      <c r="E82" s="867"/>
      <c r="F82" s="868"/>
      <c r="G82" s="867"/>
      <c r="H82" s="867"/>
      <c r="I82" s="867"/>
      <c r="J82" s="867"/>
      <c r="K82" s="869"/>
      <c r="L82" s="869"/>
      <c r="M82" s="869"/>
      <c r="N82" s="873"/>
      <c r="Q82" s="159"/>
    </row>
    <row r="83" spans="2:18">
      <c r="B83" s="872"/>
      <c r="C83" s="862"/>
      <c r="D83" s="861"/>
      <c r="E83" s="861"/>
      <c r="F83" s="863"/>
      <c r="G83" s="861"/>
      <c r="H83" s="864"/>
      <c r="I83" s="861"/>
      <c r="J83" s="865"/>
      <c r="K83" s="865"/>
      <c r="L83" s="865"/>
      <c r="M83" s="869" t="str">
        <f t="shared" si="24"/>
        <v>-</v>
      </c>
      <c r="N83" s="873"/>
      <c r="Q83" s="159"/>
    </row>
    <row r="84" spans="2:18">
      <c r="B84" s="872"/>
      <c r="C84" s="862"/>
      <c r="D84" s="861"/>
      <c r="E84" s="861"/>
      <c r="F84" s="863"/>
      <c r="G84" s="861"/>
      <c r="H84" s="864"/>
      <c r="I84" s="861"/>
      <c r="J84" s="865"/>
      <c r="K84" s="865"/>
      <c r="L84" s="865"/>
      <c r="M84" s="865"/>
      <c r="N84" s="873"/>
      <c r="Q84" s="159"/>
    </row>
    <row r="85" spans="2:18">
      <c r="B85" s="880"/>
      <c r="C85" s="895"/>
      <c r="D85" s="895"/>
      <c r="E85" s="895"/>
      <c r="F85" s="896"/>
      <c r="G85" s="895"/>
      <c r="H85" s="895"/>
      <c r="I85" s="895"/>
      <c r="J85" s="896"/>
      <c r="K85" s="896"/>
      <c r="L85" s="896"/>
      <c r="M85" s="896"/>
      <c r="N85" s="897"/>
      <c r="Q85" s="159"/>
    </row>
    <row r="86" spans="2:18">
      <c r="B86" s="2065" t="s">
        <v>301</v>
      </c>
      <c r="C86" s="2066"/>
      <c r="D86" s="2066"/>
      <c r="E86" s="2066"/>
      <c r="F86" s="2066"/>
      <c r="G86" s="2066"/>
      <c r="H86" s="2066"/>
      <c r="I86" s="2067"/>
      <c r="J86" s="142"/>
      <c r="K86" s="119">
        <f>SUM(K64:K85)</f>
        <v>38.199999999999996</v>
      </c>
      <c r="L86" s="119">
        <f>SUM(L64:L85)</f>
        <v>0</v>
      </c>
      <c r="M86" s="119">
        <f>SUM(M64:M85)</f>
        <v>49.2</v>
      </c>
      <c r="N86" s="119">
        <f>SUM(N64:N85)</f>
        <v>0</v>
      </c>
      <c r="Q86" s="159"/>
    </row>
    <row r="87" spans="2:18">
      <c r="B87" s="2065" t="s">
        <v>302</v>
      </c>
      <c r="C87" s="2066"/>
      <c r="D87" s="2066"/>
      <c r="E87" s="2066"/>
      <c r="F87" s="2066"/>
      <c r="G87" s="2066"/>
      <c r="H87" s="2066"/>
      <c r="I87" s="2067"/>
      <c r="J87" s="898"/>
      <c r="K87" s="362" t="s">
        <v>303</v>
      </c>
      <c r="L87" s="362" t="s">
        <v>304</v>
      </c>
      <c r="M87" s="362" t="s">
        <v>305</v>
      </c>
      <c r="N87" s="362" t="s">
        <v>306</v>
      </c>
      <c r="Q87" s="159"/>
    </row>
    <row r="88" spans="2:18">
      <c r="B88" s="2065" t="s">
        <v>307</v>
      </c>
      <c r="C88" s="2066"/>
      <c r="D88" s="2066"/>
      <c r="E88" s="2066"/>
      <c r="F88" s="2066"/>
      <c r="G88" s="2066"/>
      <c r="H88" s="2066"/>
      <c r="I88" s="2067"/>
      <c r="J88" s="899"/>
      <c r="K88" s="425">
        <f>K86*K87</f>
        <v>15.088999999999999</v>
      </c>
      <c r="L88" s="425">
        <f>L86*L87</f>
        <v>0</v>
      </c>
      <c r="M88" s="425">
        <f>M86*M87</f>
        <v>43.689600000000006</v>
      </c>
      <c r="N88" s="425">
        <f>N86*N87</f>
        <v>0</v>
      </c>
      <c r="Q88" s="159"/>
    </row>
    <row r="89" spans="2:18">
      <c r="B89" s="346"/>
      <c r="C89" s="346"/>
      <c r="D89" s="346"/>
      <c r="E89" s="346"/>
      <c r="F89" s="346"/>
      <c r="G89" s="346"/>
      <c r="H89" s="346"/>
      <c r="I89" s="346"/>
      <c r="J89" s="365"/>
      <c r="K89" s="122"/>
      <c r="L89" s="122"/>
      <c r="M89" s="122"/>
      <c r="N89" s="122"/>
      <c r="Q89" s="159"/>
    </row>
    <row r="90" spans="2:18">
      <c r="P90" s="159"/>
      <c r="Q90" s="159"/>
      <c r="R90" s="159"/>
    </row>
    <row r="91" spans="2:18">
      <c r="P91" s="159"/>
      <c r="Q91" s="159"/>
      <c r="R91" s="159"/>
    </row>
    <row r="92" spans="2:18">
      <c r="P92" s="159"/>
      <c r="Q92" s="159"/>
      <c r="R92" s="159"/>
    </row>
    <row r="93" spans="2:18">
      <c r="P93" s="159"/>
      <c r="Q93" s="159"/>
      <c r="R93" s="159"/>
    </row>
    <row r="94" spans="2:18">
      <c r="P94" s="159"/>
      <c r="Q94" s="159"/>
      <c r="R94" s="159"/>
    </row>
    <row r="95" spans="2:18">
      <c r="P95" s="159"/>
      <c r="Q95" s="159"/>
      <c r="R95" s="159"/>
    </row>
    <row r="96" spans="2:18">
      <c r="P96" s="159"/>
      <c r="Q96" s="159"/>
      <c r="R96" s="159"/>
    </row>
    <row r="97" spans="16:18">
      <c r="P97" s="159"/>
      <c r="Q97" s="159"/>
      <c r="R97" s="159"/>
    </row>
  </sheetData>
  <mergeCells count="17">
    <mergeCell ref="B88:I88"/>
    <mergeCell ref="B32:I32"/>
    <mergeCell ref="B33:I33"/>
    <mergeCell ref="B34:I34"/>
    <mergeCell ref="B1:G1"/>
    <mergeCell ref="B2:G2"/>
    <mergeCell ref="B61:I61"/>
    <mergeCell ref="B62:I62"/>
    <mergeCell ref="B63:I63"/>
    <mergeCell ref="B86:I86"/>
    <mergeCell ref="B87:I87"/>
    <mergeCell ref="L2:N2"/>
    <mergeCell ref="B7:B8"/>
    <mergeCell ref="C7:C8"/>
    <mergeCell ref="D7:D8"/>
    <mergeCell ref="E7:E8"/>
    <mergeCell ref="G7:I7"/>
  </mergeCells>
  <pageMargins left="0.3" right="0.3" top="1" bottom="0.75" header="0.3" footer="0.3"/>
  <pageSetup scale="83" orientation="landscape" r:id="rId1"/>
  <headerFooter>
    <oddHeader>Page &amp;P of &amp;N</oddHeader>
    <oddFooter xml:space="preserve">&amp;LContructor: - &amp;USelam D.Office Engineer&amp;C&amp;UConsultant: - Dawit T. Resident Engineer&amp;RClient: -___________________    </oddFooter>
  </headerFooter>
  <rowBreaks count="1" manualBreakCount="1">
    <brk id="34" max="14" man="1"/>
  </rowBreaks>
  <colBreaks count="1" manualBreakCount="1">
    <brk id="17" max="244"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I47"/>
  <sheetViews>
    <sheetView view="pageBreakPreview" zoomScaleSheetLayoutView="100" workbookViewId="0">
      <selection sqref="A1:XFD1048576"/>
    </sheetView>
  </sheetViews>
  <sheetFormatPr defaultRowHeight="15"/>
  <cols>
    <col min="1" max="1" width="3.85546875" style="342" customWidth="1"/>
    <col min="2" max="2" width="6.140625" style="342" customWidth="1"/>
    <col min="3" max="4" width="9.140625" style="342"/>
    <col min="5" max="5" width="12.42578125" style="342" customWidth="1"/>
    <col min="6" max="6" width="16.7109375" style="342" customWidth="1"/>
    <col min="7" max="7" width="16.5703125" style="342" customWidth="1"/>
    <col min="8" max="8" width="17" style="342" customWidth="1"/>
    <col min="9" max="9" width="16.42578125" style="342" customWidth="1"/>
    <col min="10" max="10" width="2.140625" style="342" customWidth="1"/>
    <col min="11" max="256" width="9.140625" style="342"/>
    <col min="257" max="257" width="7.5703125" style="342" customWidth="1"/>
    <col min="258" max="259" width="9.140625" style="342"/>
    <col min="260" max="260" width="5.85546875" style="342" customWidth="1"/>
    <col min="261" max="261" width="0.42578125" style="342" customWidth="1"/>
    <col min="262" max="262" width="16.140625" style="342" customWidth="1"/>
    <col min="263" max="264" width="15.7109375" style="342" customWidth="1"/>
    <col min="265" max="265" width="16.42578125" style="342" customWidth="1"/>
    <col min="266" max="512" width="9.140625" style="342"/>
    <col min="513" max="513" width="7.5703125" style="342" customWidth="1"/>
    <col min="514" max="515" width="9.140625" style="342"/>
    <col min="516" max="516" width="5.85546875" style="342" customWidth="1"/>
    <col min="517" max="517" width="0.42578125" style="342" customWidth="1"/>
    <col min="518" max="518" width="16.140625" style="342" customWidth="1"/>
    <col min="519" max="520" width="15.7109375" style="342" customWidth="1"/>
    <col min="521" max="521" width="16.42578125" style="342" customWidth="1"/>
    <col min="522" max="768" width="9.140625" style="342"/>
    <col min="769" max="769" width="7.5703125" style="342" customWidth="1"/>
    <col min="770" max="771" width="9.140625" style="342"/>
    <col min="772" max="772" width="5.85546875" style="342" customWidth="1"/>
    <col min="773" max="773" width="0.42578125" style="342" customWidth="1"/>
    <col min="774" max="774" width="16.140625" style="342" customWidth="1"/>
    <col min="775" max="776" width="15.7109375" style="342" customWidth="1"/>
    <col min="777" max="777" width="16.42578125" style="342" customWidth="1"/>
    <col min="778" max="1024" width="9.140625" style="342"/>
    <col min="1025" max="1025" width="7.5703125" style="342" customWidth="1"/>
    <col min="1026" max="1027" width="9.140625" style="342"/>
    <col min="1028" max="1028" width="5.85546875" style="342" customWidth="1"/>
    <col min="1029" max="1029" width="0.42578125" style="342" customWidth="1"/>
    <col min="1030" max="1030" width="16.140625" style="342" customWidth="1"/>
    <col min="1031" max="1032" width="15.7109375" style="342" customWidth="1"/>
    <col min="1033" max="1033" width="16.42578125" style="342" customWidth="1"/>
    <col min="1034" max="1280" width="9.140625" style="342"/>
    <col min="1281" max="1281" width="7.5703125" style="342" customWidth="1"/>
    <col min="1282" max="1283" width="9.140625" style="342"/>
    <col min="1284" max="1284" width="5.85546875" style="342" customWidth="1"/>
    <col min="1285" max="1285" width="0.42578125" style="342" customWidth="1"/>
    <col min="1286" max="1286" width="16.140625" style="342" customWidth="1"/>
    <col min="1287" max="1288" width="15.7109375" style="342" customWidth="1"/>
    <col min="1289" max="1289" width="16.42578125" style="342" customWidth="1"/>
    <col min="1290" max="1536" width="9.140625" style="342"/>
    <col min="1537" max="1537" width="7.5703125" style="342" customWidth="1"/>
    <col min="1538" max="1539" width="9.140625" style="342"/>
    <col min="1540" max="1540" width="5.85546875" style="342" customWidth="1"/>
    <col min="1541" max="1541" width="0.42578125" style="342" customWidth="1"/>
    <col min="1542" max="1542" width="16.140625" style="342" customWidth="1"/>
    <col min="1543" max="1544" width="15.7109375" style="342" customWidth="1"/>
    <col min="1545" max="1545" width="16.42578125" style="342" customWidth="1"/>
    <col min="1546" max="1792" width="9.140625" style="342"/>
    <col min="1793" max="1793" width="7.5703125" style="342" customWidth="1"/>
    <col min="1794" max="1795" width="9.140625" style="342"/>
    <col min="1796" max="1796" width="5.85546875" style="342" customWidth="1"/>
    <col min="1797" max="1797" width="0.42578125" style="342" customWidth="1"/>
    <col min="1798" max="1798" width="16.140625" style="342" customWidth="1"/>
    <col min="1799" max="1800" width="15.7109375" style="342" customWidth="1"/>
    <col min="1801" max="1801" width="16.42578125" style="342" customWidth="1"/>
    <col min="1802" max="2048" width="9.140625" style="342"/>
    <col min="2049" max="2049" width="7.5703125" style="342" customWidth="1"/>
    <col min="2050" max="2051" width="9.140625" style="342"/>
    <col min="2052" max="2052" width="5.85546875" style="342" customWidth="1"/>
    <col min="2053" max="2053" width="0.42578125" style="342" customWidth="1"/>
    <col min="2054" max="2054" width="16.140625" style="342" customWidth="1"/>
    <col min="2055" max="2056" width="15.7109375" style="342" customWidth="1"/>
    <col min="2057" max="2057" width="16.42578125" style="342" customWidth="1"/>
    <col min="2058" max="2304" width="9.140625" style="342"/>
    <col min="2305" max="2305" width="7.5703125" style="342" customWidth="1"/>
    <col min="2306" max="2307" width="9.140625" style="342"/>
    <col min="2308" max="2308" width="5.85546875" style="342" customWidth="1"/>
    <col min="2309" max="2309" width="0.42578125" style="342" customWidth="1"/>
    <col min="2310" max="2310" width="16.140625" style="342" customWidth="1"/>
    <col min="2311" max="2312" width="15.7109375" style="342" customWidth="1"/>
    <col min="2313" max="2313" width="16.42578125" style="342" customWidth="1"/>
    <col min="2314" max="2560" width="9.140625" style="342"/>
    <col min="2561" max="2561" width="7.5703125" style="342" customWidth="1"/>
    <col min="2562" max="2563" width="9.140625" style="342"/>
    <col min="2564" max="2564" width="5.85546875" style="342" customWidth="1"/>
    <col min="2565" max="2565" width="0.42578125" style="342" customWidth="1"/>
    <col min="2566" max="2566" width="16.140625" style="342" customWidth="1"/>
    <col min="2567" max="2568" width="15.7109375" style="342" customWidth="1"/>
    <col min="2569" max="2569" width="16.42578125" style="342" customWidth="1"/>
    <col min="2570" max="2816" width="9.140625" style="342"/>
    <col min="2817" max="2817" width="7.5703125" style="342" customWidth="1"/>
    <col min="2818" max="2819" width="9.140625" style="342"/>
    <col min="2820" max="2820" width="5.85546875" style="342" customWidth="1"/>
    <col min="2821" max="2821" width="0.42578125" style="342" customWidth="1"/>
    <col min="2822" max="2822" width="16.140625" style="342" customWidth="1"/>
    <col min="2823" max="2824" width="15.7109375" style="342" customWidth="1"/>
    <col min="2825" max="2825" width="16.42578125" style="342" customWidth="1"/>
    <col min="2826" max="3072" width="9.140625" style="342"/>
    <col min="3073" max="3073" width="7.5703125" style="342" customWidth="1"/>
    <col min="3074" max="3075" width="9.140625" style="342"/>
    <col min="3076" max="3076" width="5.85546875" style="342" customWidth="1"/>
    <col min="3077" max="3077" width="0.42578125" style="342" customWidth="1"/>
    <col min="3078" max="3078" width="16.140625" style="342" customWidth="1"/>
    <col min="3079" max="3080" width="15.7109375" style="342" customWidth="1"/>
    <col min="3081" max="3081" width="16.42578125" style="342" customWidth="1"/>
    <col min="3082" max="3328" width="9.140625" style="342"/>
    <col min="3329" max="3329" width="7.5703125" style="342" customWidth="1"/>
    <col min="3330" max="3331" width="9.140625" style="342"/>
    <col min="3332" max="3332" width="5.85546875" style="342" customWidth="1"/>
    <col min="3333" max="3333" width="0.42578125" style="342" customWidth="1"/>
    <col min="3334" max="3334" width="16.140625" style="342" customWidth="1"/>
    <col min="3335" max="3336" width="15.7109375" style="342" customWidth="1"/>
    <col min="3337" max="3337" width="16.42578125" style="342" customWidth="1"/>
    <col min="3338" max="3584" width="9.140625" style="342"/>
    <col min="3585" max="3585" width="7.5703125" style="342" customWidth="1"/>
    <col min="3586" max="3587" width="9.140625" style="342"/>
    <col min="3588" max="3588" width="5.85546875" style="342" customWidth="1"/>
    <col min="3589" max="3589" width="0.42578125" style="342" customWidth="1"/>
    <col min="3590" max="3590" width="16.140625" style="342" customWidth="1"/>
    <col min="3591" max="3592" width="15.7109375" style="342" customWidth="1"/>
    <col min="3593" max="3593" width="16.42578125" style="342" customWidth="1"/>
    <col min="3594" max="3840" width="9.140625" style="342"/>
    <col min="3841" max="3841" width="7.5703125" style="342" customWidth="1"/>
    <col min="3842" max="3843" width="9.140625" style="342"/>
    <col min="3844" max="3844" width="5.85546875" style="342" customWidth="1"/>
    <col min="3845" max="3845" width="0.42578125" style="342" customWidth="1"/>
    <col min="3846" max="3846" width="16.140625" style="342" customWidth="1"/>
    <col min="3847" max="3848" width="15.7109375" style="342" customWidth="1"/>
    <col min="3849" max="3849" width="16.42578125" style="342" customWidth="1"/>
    <col min="3850" max="4096" width="9.140625" style="342"/>
    <col min="4097" max="4097" width="7.5703125" style="342" customWidth="1"/>
    <col min="4098" max="4099" width="9.140625" style="342"/>
    <col min="4100" max="4100" width="5.85546875" style="342" customWidth="1"/>
    <col min="4101" max="4101" width="0.42578125" style="342" customWidth="1"/>
    <col min="4102" max="4102" width="16.140625" style="342" customWidth="1"/>
    <col min="4103" max="4104" width="15.7109375" style="342" customWidth="1"/>
    <col min="4105" max="4105" width="16.42578125" style="342" customWidth="1"/>
    <col min="4106" max="4352" width="9.140625" style="342"/>
    <col min="4353" max="4353" width="7.5703125" style="342" customWidth="1"/>
    <col min="4354" max="4355" width="9.140625" style="342"/>
    <col min="4356" max="4356" width="5.85546875" style="342" customWidth="1"/>
    <col min="4357" max="4357" width="0.42578125" style="342" customWidth="1"/>
    <col min="4358" max="4358" width="16.140625" style="342" customWidth="1"/>
    <col min="4359" max="4360" width="15.7109375" style="342" customWidth="1"/>
    <col min="4361" max="4361" width="16.42578125" style="342" customWidth="1"/>
    <col min="4362" max="4608" width="9.140625" style="342"/>
    <col min="4609" max="4609" width="7.5703125" style="342" customWidth="1"/>
    <col min="4610" max="4611" width="9.140625" style="342"/>
    <col min="4612" max="4612" width="5.85546875" style="342" customWidth="1"/>
    <col min="4613" max="4613" width="0.42578125" style="342" customWidth="1"/>
    <col min="4614" max="4614" width="16.140625" style="342" customWidth="1"/>
    <col min="4615" max="4616" width="15.7109375" style="342" customWidth="1"/>
    <col min="4617" max="4617" width="16.42578125" style="342" customWidth="1"/>
    <col min="4618" max="4864" width="9.140625" style="342"/>
    <col min="4865" max="4865" width="7.5703125" style="342" customWidth="1"/>
    <col min="4866" max="4867" width="9.140625" style="342"/>
    <col min="4868" max="4868" width="5.85546875" style="342" customWidth="1"/>
    <col min="4869" max="4869" width="0.42578125" style="342" customWidth="1"/>
    <col min="4870" max="4870" width="16.140625" style="342" customWidth="1"/>
    <col min="4871" max="4872" width="15.7109375" style="342" customWidth="1"/>
    <col min="4873" max="4873" width="16.42578125" style="342" customWidth="1"/>
    <col min="4874" max="5120" width="9.140625" style="342"/>
    <col min="5121" max="5121" width="7.5703125" style="342" customWidth="1"/>
    <col min="5122" max="5123" width="9.140625" style="342"/>
    <col min="5124" max="5124" width="5.85546875" style="342" customWidth="1"/>
    <col min="5125" max="5125" width="0.42578125" style="342" customWidth="1"/>
    <col min="5126" max="5126" width="16.140625" style="342" customWidth="1"/>
    <col min="5127" max="5128" width="15.7109375" style="342" customWidth="1"/>
    <col min="5129" max="5129" width="16.42578125" style="342" customWidth="1"/>
    <col min="5130" max="5376" width="9.140625" style="342"/>
    <col min="5377" max="5377" width="7.5703125" style="342" customWidth="1"/>
    <col min="5378" max="5379" width="9.140625" style="342"/>
    <col min="5380" max="5380" width="5.85546875" style="342" customWidth="1"/>
    <col min="5381" max="5381" width="0.42578125" style="342" customWidth="1"/>
    <col min="5382" max="5382" width="16.140625" style="342" customWidth="1"/>
    <col min="5383" max="5384" width="15.7109375" style="342" customWidth="1"/>
    <col min="5385" max="5385" width="16.42578125" style="342" customWidth="1"/>
    <col min="5386" max="5632" width="9.140625" style="342"/>
    <col min="5633" max="5633" width="7.5703125" style="342" customWidth="1"/>
    <col min="5634" max="5635" width="9.140625" style="342"/>
    <col min="5636" max="5636" width="5.85546875" style="342" customWidth="1"/>
    <col min="5637" max="5637" width="0.42578125" style="342" customWidth="1"/>
    <col min="5638" max="5638" width="16.140625" style="342" customWidth="1"/>
    <col min="5639" max="5640" width="15.7109375" style="342" customWidth="1"/>
    <col min="5641" max="5641" width="16.42578125" style="342" customWidth="1"/>
    <col min="5642" max="5888" width="9.140625" style="342"/>
    <col min="5889" max="5889" width="7.5703125" style="342" customWidth="1"/>
    <col min="5890" max="5891" width="9.140625" style="342"/>
    <col min="5892" max="5892" width="5.85546875" style="342" customWidth="1"/>
    <col min="5893" max="5893" width="0.42578125" style="342" customWidth="1"/>
    <col min="5894" max="5894" width="16.140625" style="342" customWidth="1"/>
    <col min="5895" max="5896" width="15.7109375" style="342" customWidth="1"/>
    <col min="5897" max="5897" width="16.42578125" style="342" customWidth="1"/>
    <col min="5898" max="6144" width="9.140625" style="342"/>
    <col min="6145" max="6145" width="7.5703125" style="342" customWidth="1"/>
    <col min="6146" max="6147" width="9.140625" style="342"/>
    <col min="6148" max="6148" width="5.85546875" style="342" customWidth="1"/>
    <col min="6149" max="6149" width="0.42578125" style="342" customWidth="1"/>
    <col min="6150" max="6150" width="16.140625" style="342" customWidth="1"/>
    <col min="6151" max="6152" width="15.7109375" style="342" customWidth="1"/>
    <col min="6153" max="6153" width="16.42578125" style="342" customWidth="1"/>
    <col min="6154" max="6400" width="9.140625" style="342"/>
    <col min="6401" max="6401" width="7.5703125" style="342" customWidth="1"/>
    <col min="6402" max="6403" width="9.140625" style="342"/>
    <col min="6404" max="6404" width="5.85546875" style="342" customWidth="1"/>
    <col min="6405" max="6405" width="0.42578125" style="342" customWidth="1"/>
    <col min="6406" max="6406" width="16.140625" style="342" customWidth="1"/>
    <col min="6407" max="6408" width="15.7109375" style="342" customWidth="1"/>
    <col min="6409" max="6409" width="16.42578125" style="342" customWidth="1"/>
    <col min="6410" max="6656" width="9.140625" style="342"/>
    <col min="6657" max="6657" width="7.5703125" style="342" customWidth="1"/>
    <col min="6658" max="6659" width="9.140625" style="342"/>
    <col min="6660" max="6660" width="5.85546875" style="342" customWidth="1"/>
    <col min="6661" max="6661" width="0.42578125" style="342" customWidth="1"/>
    <col min="6662" max="6662" width="16.140625" style="342" customWidth="1"/>
    <col min="6663" max="6664" width="15.7109375" style="342" customWidth="1"/>
    <col min="6665" max="6665" width="16.42578125" style="342" customWidth="1"/>
    <col min="6666" max="6912" width="9.140625" style="342"/>
    <col min="6913" max="6913" width="7.5703125" style="342" customWidth="1"/>
    <col min="6914" max="6915" width="9.140625" style="342"/>
    <col min="6916" max="6916" width="5.85546875" style="342" customWidth="1"/>
    <col min="6917" max="6917" width="0.42578125" style="342" customWidth="1"/>
    <col min="6918" max="6918" width="16.140625" style="342" customWidth="1"/>
    <col min="6919" max="6920" width="15.7109375" style="342" customWidth="1"/>
    <col min="6921" max="6921" width="16.42578125" style="342" customWidth="1"/>
    <col min="6922" max="7168" width="9.140625" style="342"/>
    <col min="7169" max="7169" width="7.5703125" style="342" customWidth="1"/>
    <col min="7170" max="7171" width="9.140625" style="342"/>
    <col min="7172" max="7172" width="5.85546875" style="342" customWidth="1"/>
    <col min="7173" max="7173" width="0.42578125" style="342" customWidth="1"/>
    <col min="7174" max="7174" width="16.140625" style="342" customWidth="1"/>
    <col min="7175" max="7176" width="15.7109375" style="342" customWidth="1"/>
    <col min="7177" max="7177" width="16.42578125" style="342" customWidth="1"/>
    <col min="7178" max="7424" width="9.140625" style="342"/>
    <col min="7425" max="7425" width="7.5703125" style="342" customWidth="1"/>
    <col min="7426" max="7427" width="9.140625" style="342"/>
    <col min="7428" max="7428" width="5.85546875" style="342" customWidth="1"/>
    <col min="7429" max="7429" width="0.42578125" style="342" customWidth="1"/>
    <col min="7430" max="7430" width="16.140625" style="342" customWidth="1"/>
    <col min="7431" max="7432" width="15.7109375" style="342" customWidth="1"/>
    <col min="7433" max="7433" width="16.42578125" style="342" customWidth="1"/>
    <col min="7434" max="7680" width="9.140625" style="342"/>
    <col min="7681" max="7681" width="7.5703125" style="342" customWidth="1"/>
    <col min="7682" max="7683" width="9.140625" style="342"/>
    <col min="7684" max="7684" width="5.85546875" style="342" customWidth="1"/>
    <col min="7685" max="7685" width="0.42578125" style="342" customWidth="1"/>
    <col min="7686" max="7686" width="16.140625" style="342" customWidth="1"/>
    <col min="7687" max="7688" width="15.7109375" style="342" customWidth="1"/>
    <col min="7689" max="7689" width="16.42578125" style="342" customWidth="1"/>
    <col min="7690" max="7936" width="9.140625" style="342"/>
    <col min="7937" max="7937" width="7.5703125" style="342" customWidth="1"/>
    <col min="7938" max="7939" width="9.140625" style="342"/>
    <col min="7940" max="7940" width="5.85546875" style="342" customWidth="1"/>
    <col min="7941" max="7941" width="0.42578125" style="342" customWidth="1"/>
    <col min="7942" max="7942" width="16.140625" style="342" customWidth="1"/>
    <col min="7943" max="7944" width="15.7109375" style="342" customWidth="1"/>
    <col min="7945" max="7945" width="16.42578125" style="342" customWidth="1"/>
    <col min="7946" max="8192" width="9.140625" style="342"/>
    <col min="8193" max="8193" width="7.5703125" style="342" customWidth="1"/>
    <col min="8194" max="8195" width="9.140625" style="342"/>
    <col min="8196" max="8196" width="5.85546875" style="342" customWidth="1"/>
    <col min="8197" max="8197" width="0.42578125" style="342" customWidth="1"/>
    <col min="8198" max="8198" width="16.140625" style="342" customWidth="1"/>
    <col min="8199" max="8200" width="15.7109375" style="342" customWidth="1"/>
    <col min="8201" max="8201" width="16.42578125" style="342" customWidth="1"/>
    <col min="8202" max="8448" width="9.140625" style="342"/>
    <col min="8449" max="8449" width="7.5703125" style="342" customWidth="1"/>
    <col min="8450" max="8451" width="9.140625" style="342"/>
    <col min="8452" max="8452" width="5.85546875" style="342" customWidth="1"/>
    <col min="8453" max="8453" width="0.42578125" style="342" customWidth="1"/>
    <col min="8454" max="8454" width="16.140625" style="342" customWidth="1"/>
    <col min="8455" max="8456" width="15.7109375" style="342" customWidth="1"/>
    <col min="8457" max="8457" width="16.42578125" style="342" customWidth="1"/>
    <col min="8458" max="8704" width="9.140625" style="342"/>
    <col min="8705" max="8705" width="7.5703125" style="342" customWidth="1"/>
    <col min="8706" max="8707" width="9.140625" style="342"/>
    <col min="8708" max="8708" width="5.85546875" style="342" customWidth="1"/>
    <col min="8709" max="8709" width="0.42578125" style="342" customWidth="1"/>
    <col min="8710" max="8710" width="16.140625" style="342" customWidth="1"/>
    <col min="8711" max="8712" width="15.7109375" style="342" customWidth="1"/>
    <col min="8713" max="8713" width="16.42578125" style="342" customWidth="1"/>
    <col min="8714" max="8960" width="9.140625" style="342"/>
    <col min="8961" max="8961" width="7.5703125" style="342" customWidth="1"/>
    <col min="8962" max="8963" width="9.140625" style="342"/>
    <col min="8964" max="8964" width="5.85546875" style="342" customWidth="1"/>
    <col min="8965" max="8965" width="0.42578125" style="342" customWidth="1"/>
    <col min="8966" max="8966" width="16.140625" style="342" customWidth="1"/>
    <col min="8967" max="8968" width="15.7109375" style="342" customWidth="1"/>
    <col min="8969" max="8969" width="16.42578125" style="342" customWidth="1"/>
    <col min="8970" max="9216" width="9.140625" style="342"/>
    <col min="9217" max="9217" width="7.5703125" style="342" customWidth="1"/>
    <col min="9218" max="9219" width="9.140625" style="342"/>
    <col min="9220" max="9220" width="5.85546875" style="342" customWidth="1"/>
    <col min="9221" max="9221" width="0.42578125" style="342" customWidth="1"/>
    <col min="9222" max="9222" width="16.140625" style="342" customWidth="1"/>
    <col min="9223" max="9224" width="15.7109375" style="342" customWidth="1"/>
    <col min="9225" max="9225" width="16.42578125" style="342" customWidth="1"/>
    <col min="9226" max="9472" width="9.140625" style="342"/>
    <col min="9473" max="9473" width="7.5703125" style="342" customWidth="1"/>
    <col min="9474" max="9475" width="9.140625" style="342"/>
    <col min="9476" max="9476" width="5.85546875" style="342" customWidth="1"/>
    <col min="9477" max="9477" width="0.42578125" style="342" customWidth="1"/>
    <col min="9478" max="9478" width="16.140625" style="342" customWidth="1"/>
    <col min="9479" max="9480" width="15.7109375" style="342" customWidth="1"/>
    <col min="9481" max="9481" width="16.42578125" style="342" customWidth="1"/>
    <col min="9482" max="9728" width="9.140625" style="342"/>
    <col min="9729" max="9729" width="7.5703125" style="342" customWidth="1"/>
    <col min="9730" max="9731" width="9.140625" style="342"/>
    <col min="9732" max="9732" width="5.85546875" style="342" customWidth="1"/>
    <col min="9733" max="9733" width="0.42578125" style="342" customWidth="1"/>
    <col min="9734" max="9734" width="16.140625" style="342" customWidth="1"/>
    <col min="9735" max="9736" width="15.7109375" style="342" customWidth="1"/>
    <col min="9737" max="9737" width="16.42578125" style="342" customWidth="1"/>
    <col min="9738" max="9984" width="9.140625" style="342"/>
    <col min="9985" max="9985" width="7.5703125" style="342" customWidth="1"/>
    <col min="9986" max="9987" width="9.140625" style="342"/>
    <col min="9988" max="9988" width="5.85546875" style="342" customWidth="1"/>
    <col min="9989" max="9989" width="0.42578125" style="342" customWidth="1"/>
    <col min="9990" max="9990" width="16.140625" style="342" customWidth="1"/>
    <col min="9991" max="9992" width="15.7109375" style="342" customWidth="1"/>
    <col min="9993" max="9993" width="16.42578125" style="342" customWidth="1"/>
    <col min="9994" max="10240" width="9.140625" style="342"/>
    <col min="10241" max="10241" width="7.5703125" style="342" customWidth="1"/>
    <col min="10242" max="10243" width="9.140625" style="342"/>
    <col min="10244" max="10244" width="5.85546875" style="342" customWidth="1"/>
    <col min="10245" max="10245" width="0.42578125" style="342" customWidth="1"/>
    <col min="10246" max="10246" width="16.140625" style="342" customWidth="1"/>
    <col min="10247" max="10248" width="15.7109375" style="342" customWidth="1"/>
    <col min="10249" max="10249" width="16.42578125" style="342" customWidth="1"/>
    <col min="10250" max="10496" width="9.140625" style="342"/>
    <col min="10497" max="10497" width="7.5703125" style="342" customWidth="1"/>
    <col min="10498" max="10499" width="9.140625" style="342"/>
    <col min="10500" max="10500" width="5.85546875" style="342" customWidth="1"/>
    <col min="10501" max="10501" width="0.42578125" style="342" customWidth="1"/>
    <col min="10502" max="10502" width="16.140625" style="342" customWidth="1"/>
    <col min="10503" max="10504" width="15.7109375" style="342" customWidth="1"/>
    <col min="10505" max="10505" width="16.42578125" style="342" customWidth="1"/>
    <col min="10506" max="10752" width="9.140625" style="342"/>
    <col min="10753" max="10753" width="7.5703125" style="342" customWidth="1"/>
    <col min="10754" max="10755" width="9.140625" style="342"/>
    <col min="10756" max="10756" width="5.85546875" style="342" customWidth="1"/>
    <col min="10757" max="10757" width="0.42578125" style="342" customWidth="1"/>
    <col min="10758" max="10758" width="16.140625" style="342" customWidth="1"/>
    <col min="10759" max="10760" width="15.7109375" style="342" customWidth="1"/>
    <col min="10761" max="10761" width="16.42578125" style="342" customWidth="1"/>
    <col min="10762" max="11008" width="9.140625" style="342"/>
    <col min="11009" max="11009" width="7.5703125" style="342" customWidth="1"/>
    <col min="11010" max="11011" width="9.140625" style="342"/>
    <col min="11012" max="11012" width="5.85546875" style="342" customWidth="1"/>
    <col min="11013" max="11013" width="0.42578125" style="342" customWidth="1"/>
    <col min="11014" max="11014" width="16.140625" style="342" customWidth="1"/>
    <col min="11015" max="11016" width="15.7109375" style="342" customWidth="1"/>
    <col min="11017" max="11017" width="16.42578125" style="342" customWidth="1"/>
    <col min="11018" max="11264" width="9.140625" style="342"/>
    <col min="11265" max="11265" width="7.5703125" style="342" customWidth="1"/>
    <col min="11266" max="11267" width="9.140625" style="342"/>
    <col min="11268" max="11268" width="5.85546875" style="342" customWidth="1"/>
    <col min="11269" max="11269" width="0.42578125" style="342" customWidth="1"/>
    <col min="11270" max="11270" width="16.140625" style="342" customWidth="1"/>
    <col min="11271" max="11272" width="15.7109375" style="342" customWidth="1"/>
    <col min="11273" max="11273" width="16.42578125" style="342" customWidth="1"/>
    <col min="11274" max="11520" width="9.140625" style="342"/>
    <col min="11521" max="11521" width="7.5703125" style="342" customWidth="1"/>
    <col min="11522" max="11523" width="9.140625" style="342"/>
    <col min="11524" max="11524" width="5.85546875" style="342" customWidth="1"/>
    <col min="11525" max="11525" width="0.42578125" style="342" customWidth="1"/>
    <col min="11526" max="11526" width="16.140625" style="342" customWidth="1"/>
    <col min="11527" max="11528" width="15.7109375" style="342" customWidth="1"/>
    <col min="11529" max="11529" width="16.42578125" style="342" customWidth="1"/>
    <col min="11530" max="11776" width="9.140625" style="342"/>
    <col min="11777" max="11777" width="7.5703125" style="342" customWidth="1"/>
    <col min="11778" max="11779" width="9.140625" style="342"/>
    <col min="11780" max="11780" width="5.85546875" style="342" customWidth="1"/>
    <col min="11781" max="11781" width="0.42578125" style="342" customWidth="1"/>
    <col min="11782" max="11782" width="16.140625" style="342" customWidth="1"/>
    <col min="11783" max="11784" width="15.7109375" style="342" customWidth="1"/>
    <col min="11785" max="11785" width="16.42578125" style="342" customWidth="1"/>
    <col min="11786" max="12032" width="9.140625" style="342"/>
    <col min="12033" max="12033" width="7.5703125" style="342" customWidth="1"/>
    <col min="12034" max="12035" width="9.140625" style="342"/>
    <col min="12036" max="12036" width="5.85546875" style="342" customWidth="1"/>
    <col min="12037" max="12037" width="0.42578125" style="342" customWidth="1"/>
    <col min="12038" max="12038" width="16.140625" style="342" customWidth="1"/>
    <col min="12039" max="12040" width="15.7109375" style="342" customWidth="1"/>
    <col min="12041" max="12041" width="16.42578125" style="342" customWidth="1"/>
    <col min="12042" max="12288" width="9.140625" style="342"/>
    <col min="12289" max="12289" width="7.5703125" style="342" customWidth="1"/>
    <col min="12290" max="12291" width="9.140625" style="342"/>
    <col min="12292" max="12292" width="5.85546875" style="342" customWidth="1"/>
    <col min="12293" max="12293" width="0.42578125" style="342" customWidth="1"/>
    <col min="12294" max="12294" width="16.140625" style="342" customWidth="1"/>
    <col min="12295" max="12296" width="15.7109375" style="342" customWidth="1"/>
    <col min="12297" max="12297" width="16.42578125" style="342" customWidth="1"/>
    <col min="12298" max="12544" width="9.140625" style="342"/>
    <col min="12545" max="12545" width="7.5703125" style="342" customWidth="1"/>
    <col min="12546" max="12547" width="9.140625" style="342"/>
    <col min="12548" max="12548" width="5.85546875" style="342" customWidth="1"/>
    <col min="12549" max="12549" width="0.42578125" style="342" customWidth="1"/>
    <col min="12550" max="12550" width="16.140625" style="342" customWidth="1"/>
    <col min="12551" max="12552" width="15.7109375" style="342" customWidth="1"/>
    <col min="12553" max="12553" width="16.42578125" style="342" customWidth="1"/>
    <col min="12554" max="12800" width="9.140625" style="342"/>
    <col min="12801" max="12801" width="7.5703125" style="342" customWidth="1"/>
    <col min="12802" max="12803" width="9.140625" style="342"/>
    <col min="12804" max="12804" width="5.85546875" style="342" customWidth="1"/>
    <col min="12805" max="12805" width="0.42578125" style="342" customWidth="1"/>
    <col min="12806" max="12806" width="16.140625" style="342" customWidth="1"/>
    <col min="12807" max="12808" width="15.7109375" style="342" customWidth="1"/>
    <col min="12809" max="12809" width="16.42578125" style="342" customWidth="1"/>
    <col min="12810" max="13056" width="9.140625" style="342"/>
    <col min="13057" max="13057" width="7.5703125" style="342" customWidth="1"/>
    <col min="13058" max="13059" width="9.140625" style="342"/>
    <col min="13060" max="13060" width="5.85546875" style="342" customWidth="1"/>
    <col min="13061" max="13061" width="0.42578125" style="342" customWidth="1"/>
    <col min="13062" max="13062" width="16.140625" style="342" customWidth="1"/>
    <col min="13063" max="13064" width="15.7109375" style="342" customWidth="1"/>
    <col min="13065" max="13065" width="16.42578125" style="342" customWidth="1"/>
    <col min="13066" max="13312" width="9.140625" style="342"/>
    <col min="13313" max="13313" width="7.5703125" style="342" customWidth="1"/>
    <col min="13314" max="13315" width="9.140625" style="342"/>
    <col min="13316" max="13316" width="5.85546875" style="342" customWidth="1"/>
    <col min="13317" max="13317" width="0.42578125" style="342" customWidth="1"/>
    <col min="13318" max="13318" width="16.140625" style="342" customWidth="1"/>
    <col min="13319" max="13320" width="15.7109375" style="342" customWidth="1"/>
    <col min="13321" max="13321" width="16.42578125" style="342" customWidth="1"/>
    <col min="13322" max="13568" width="9.140625" style="342"/>
    <col min="13569" max="13569" width="7.5703125" style="342" customWidth="1"/>
    <col min="13570" max="13571" width="9.140625" style="342"/>
    <col min="13572" max="13572" width="5.85546875" style="342" customWidth="1"/>
    <col min="13573" max="13573" width="0.42578125" style="342" customWidth="1"/>
    <col min="13574" max="13574" width="16.140625" style="342" customWidth="1"/>
    <col min="13575" max="13576" width="15.7109375" style="342" customWidth="1"/>
    <col min="13577" max="13577" width="16.42578125" style="342" customWidth="1"/>
    <col min="13578" max="13824" width="9.140625" style="342"/>
    <col min="13825" max="13825" width="7.5703125" style="342" customWidth="1"/>
    <col min="13826" max="13827" width="9.140625" style="342"/>
    <col min="13828" max="13828" width="5.85546875" style="342" customWidth="1"/>
    <col min="13829" max="13829" width="0.42578125" style="342" customWidth="1"/>
    <col min="13830" max="13830" width="16.140625" style="342" customWidth="1"/>
    <col min="13831" max="13832" width="15.7109375" style="342" customWidth="1"/>
    <col min="13833" max="13833" width="16.42578125" style="342" customWidth="1"/>
    <col min="13834" max="14080" width="9.140625" style="342"/>
    <col min="14081" max="14081" width="7.5703125" style="342" customWidth="1"/>
    <col min="14082" max="14083" width="9.140625" style="342"/>
    <col min="14084" max="14084" width="5.85546875" style="342" customWidth="1"/>
    <col min="14085" max="14085" width="0.42578125" style="342" customWidth="1"/>
    <col min="14086" max="14086" width="16.140625" style="342" customWidth="1"/>
    <col min="14087" max="14088" width="15.7109375" style="342" customWidth="1"/>
    <col min="14089" max="14089" width="16.42578125" style="342" customWidth="1"/>
    <col min="14090" max="14336" width="9.140625" style="342"/>
    <col min="14337" max="14337" width="7.5703125" style="342" customWidth="1"/>
    <col min="14338" max="14339" width="9.140625" style="342"/>
    <col min="14340" max="14340" width="5.85546875" style="342" customWidth="1"/>
    <col min="14341" max="14341" width="0.42578125" style="342" customWidth="1"/>
    <col min="14342" max="14342" width="16.140625" style="342" customWidth="1"/>
    <col min="14343" max="14344" width="15.7109375" style="342" customWidth="1"/>
    <col min="14345" max="14345" width="16.42578125" style="342" customWidth="1"/>
    <col min="14346" max="14592" width="9.140625" style="342"/>
    <col min="14593" max="14593" width="7.5703125" style="342" customWidth="1"/>
    <col min="14594" max="14595" width="9.140625" style="342"/>
    <col min="14596" max="14596" width="5.85546875" style="342" customWidth="1"/>
    <col min="14597" max="14597" width="0.42578125" style="342" customWidth="1"/>
    <col min="14598" max="14598" width="16.140625" style="342" customWidth="1"/>
    <col min="14599" max="14600" width="15.7109375" style="342" customWidth="1"/>
    <col min="14601" max="14601" width="16.42578125" style="342" customWidth="1"/>
    <col min="14602" max="14848" width="9.140625" style="342"/>
    <col min="14849" max="14849" width="7.5703125" style="342" customWidth="1"/>
    <col min="14850" max="14851" width="9.140625" style="342"/>
    <col min="14852" max="14852" width="5.85546875" style="342" customWidth="1"/>
    <col min="14853" max="14853" width="0.42578125" style="342" customWidth="1"/>
    <col min="14854" max="14854" width="16.140625" style="342" customWidth="1"/>
    <col min="14855" max="14856" width="15.7109375" style="342" customWidth="1"/>
    <col min="14857" max="14857" width="16.42578125" style="342" customWidth="1"/>
    <col min="14858" max="15104" width="9.140625" style="342"/>
    <col min="15105" max="15105" width="7.5703125" style="342" customWidth="1"/>
    <col min="15106" max="15107" width="9.140625" style="342"/>
    <col min="15108" max="15108" width="5.85546875" style="342" customWidth="1"/>
    <col min="15109" max="15109" width="0.42578125" style="342" customWidth="1"/>
    <col min="15110" max="15110" width="16.140625" style="342" customWidth="1"/>
    <col min="15111" max="15112" width="15.7109375" style="342" customWidth="1"/>
    <col min="15113" max="15113" width="16.42578125" style="342" customWidth="1"/>
    <col min="15114" max="15360" width="9.140625" style="342"/>
    <col min="15361" max="15361" width="7.5703125" style="342" customWidth="1"/>
    <col min="15362" max="15363" width="9.140625" style="342"/>
    <col min="15364" max="15364" width="5.85546875" style="342" customWidth="1"/>
    <col min="15365" max="15365" width="0.42578125" style="342" customWidth="1"/>
    <col min="15366" max="15366" width="16.140625" style="342" customWidth="1"/>
    <col min="15367" max="15368" width="15.7109375" style="342" customWidth="1"/>
    <col min="15369" max="15369" width="16.42578125" style="342" customWidth="1"/>
    <col min="15370" max="15616" width="9.140625" style="342"/>
    <col min="15617" max="15617" width="7.5703125" style="342" customWidth="1"/>
    <col min="15618" max="15619" width="9.140625" style="342"/>
    <col min="15620" max="15620" width="5.85546875" style="342" customWidth="1"/>
    <col min="15621" max="15621" width="0.42578125" style="342" customWidth="1"/>
    <col min="15622" max="15622" width="16.140625" style="342" customWidth="1"/>
    <col min="15623" max="15624" width="15.7109375" style="342" customWidth="1"/>
    <col min="15625" max="15625" width="16.42578125" style="342" customWidth="1"/>
    <col min="15626" max="15872" width="9.140625" style="342"/>
    <col min="15873" max="15873" width="7.5703125" style="342" customWidth="1"/>
    <col min="15874" max="15875" width="9.140625" style="342"/>
    <col min="15876" max="15876" width="5.85546875" style="342" customWidth="1"/>
    <col min="15877" max="15877" width="0.42578125" style="342" customWidth="1"/>
    <col min="15878" max="15878" width="16.140625" style="342" customWidth="1"/>
    <col min="15879" max="15880" width="15.7109375" style="342" customWidth="1"/>
    <col min="15881" max="15881" width="16.42578125" style="342" customWidth="1"/>
    <col min="15882" max="16128" width="9.140625" style="342"/>
    <col min="16129" max="16129" width="7.5703125" style="342" customWidth="1"/>
    <col min="16130" max="16131" width="9.140625" style="342"/>
    <col min="16132" max="16132" width="5.85546875" style="342" customWidth="1"/>
    <col min="16133" max="16133" width="0.42578125" style="342" customWidth="1"/>
    <col min="16134" max="16134" width="16.140625" style="342" customWidth="1"/>
    <col min="16135" max="16136" width="15.7109375" style="342" customWidth="1"/>
    <col min="16137" max="16137" width="16.42578125" style="342" customWidth="1"/>
    <col min="16138" max="16384" width="9.140625" style="342"/>
  </cols>
  <sheetData>
    <row r="1" spans="2:9" s="343" customFormat="1" ht="18">
      <c r="B1" s="2080" t="s">
        <v>1520</v>
      </c>
      <c r="C1" s="2080"/>
      <c r="D1" s="2080"/>
      <c r="E1" s="2080"/>
      <c r="F1" s="2080"/>
      <c r="G1" s="2080"/>
      <c r="H1" s="2080"/>
      <c r="I1" s="2080"/>
    </row>
    <row r="2" spans="2:9" s="343" customFormat="1" ht="18">
      <c r="B2" s="1781"/>
      <c r="C2" s="1781"/>
      <c r="D2" s="1781"/>
      <c r="E2" s="1781"/>
      <c r="F2" s="1781"/>
      <c r="G2" s="1781"/>
      <c r="H2" s="1781"/>
      <c r="I2" s="1782"/>
    </row>
    <row r="3" spans="2:9" s="343" customFormat="1" ht="18">
      <c r="B3" s="1783" t="s">
        <v>1521</v>
      </c>
      <c r="C3" s="1783"/>
      <c r="D3" s="1783"/>
      <c r="E3" s="1783"/>
      <c r="F3" s="1781"/>
      <c r="G3" s="1781"/>
      <c r="H3" s="1784"/>
      <c r="I3" s="1785"/>
    </row>
    <row r="4" spans="2:9" s="343" customFormat="1" ht="18">
      <c r="B4" s="1783" t="s">
        <v>1299</v>
      </c>
      <c r="C4" s="1783"/>
      <c r="D4" s="1783"/>
      <c r="E4" s="1783"/>
      <c r="F4" s="1781"/>
      <c r="G4" s="1781"/>
      <c r="H4" s="1786"/>
      <c r="I4" s="1786"/>
    </row>
    <row r="5" spans="2:9" s="343" customFormat="1" ht="18">
      <c r="B5" s="1783" t="s">
        <v>1522</v>
      </c>
      <c r="C5" s="1783"/>
      <c r="D5" s="1783"/>
      <c r="E5" s="1783"/>
      <c r="F5" s="1781"/>
      <c r="G5" s="1781"/>
      <c r="H5" s="1784"/>
      <c r="I5" s="1786"/>
    </row>
    <row r="6" spans="2:9" s="343" customFormat="1" ht="18">
      <c r="B6" s="1783" t="s">
        <v>1523</v>
      </c>
      <c r="C6" s="1783"/>
      <c r="D6" s="1783"/>
      <c r="E6" s="1783"/>
      <c r="F6" s="1781"/>
      <c r="G6" s="1781"/>
      <c r="H6" s="1781"/>
      <c r="I6" s="1781"/>
    </row>
    <row r="7" spans="2:9" s="343" customFormat="1" ht="18">
      <c r="B7" s="1783" t="s">
        <v>3528</v>
      </c>
      <c r="C7" s="1783"/>
      <c r="D7" s="1783"/>
      <c r="E7" s="1783"/>
      <c r="F7" s="1781"/>
      <c r="G7" s="1781"/>
      <c r="H7" s="1781"/>
      <c r="I7" s="1781"/>
    </row>
    <row r="8" spans="2:9" s="343" customFormat="1" ht="18">
      <c r="B8" s="1783"/>
      <c r="C8" s="1783"/>
      <c r="D8" s="1783"/>
      <c r="E8" s="1783"/>
      <c r="F8" s="1781"/>
      <c r="G8" s="1781"/>
      <c r="H8" s="1781"/>
      <c r="I8" s="1781"/>
    </row>
    <row r="9" spans="2:9" s="343" customFormat="1" ht="18">
      <c r="B9" s="1783"/>
      <c r="C9" s="1783"/>
      <c r="D9" s="1783"/>
      <c r="E9" s="1783"/>
      <c r="F9" s="1781"/>
      <c r="G9" s="1781"/>
      <c r="H9" s="1781"/>
      <c r="I9" s="1781"/>
    </row>
    <row r="10" spans="2:9" s="343" customFormat="1" ht="18">
      <c r="B10" s="1783"/>
      <c r="C10" s="1783"/>
      <c r="D10" s="1783"/>
      <c r="E10" s="1783"/>
      <c r="F10" s="1781"/>
      <c r="G10" s="1781"/>
      <c r="H10" s="1781"/>
      <c r="I10" s="1781"/>
    </row>
    <row r="11" spans="2:9" s="343" customFormat="1" ht="18">
      <c r="B11" s="2087" t="s">
        <v>1301</v>
      </c>
      <c r="C11" s="2087"/>
      <c r="D11" s="2087"/>
      <c r="E11" s="2087"/>
      <c r="F11" s="2087"/>
      <c r="G11" s="2087"/>
      <c r="H11" s="2087"/>
      <c r="I11" s="2087"/>
    </row>
    <row r="12" spans="2:9" ht="15.75">
      <c r="B12" s="1787"/>
      <c r="C12" s="1788"/>
      <c r="D12" s="1788"/>
      <c r="E12" s="1788"/>
      <c r="F12" s="1788"/>
      <c r="G12" s="1788"/>
      <c r="H12" s="1788"/>
      <c r="I12" s="1787"/>
    </row>
    <row r="13" spans="2:9" ht="15.75">
      <c r="B13" s="2081" t="s">
        <v>1302</v>
      </c>
      <c r="C13" s="2084" t="s">
        <v>0</v>
      </c>
      <c r="D13" s="2084"/>
      <c r="E13" s="2084"/>
      <c r="F13" s="2085" t="s">
        <v>1303</v>
      </c>
      <c r="G13" s="2085"/>
      <c r="H13" s="2085" t="s">
        <v>1304</v>
      </c>
      <c r="I13" s="2086"/>
    </row>
    <row r="14" spans="2:9" ht="15.75">
      <c r="B14" s="2082"/>
      <c r="C14" s="2084"/>
      <c r="D14" s="2084"/>
      <c r="E14" s="2084"/>
      <c r="F14" s="1789" t="s">
        <v>1305</v>
      </c>
      <c r="G14" s="1789" t="s">
        <v>1306</v>
      </c>
      <c r="H14" s="1789" t="s">
        <v>1305</v>
      </c>
      <c r="I14" s="1790" t="s">
        <v>1306</v>
      </c>
    </row>
    <row r="15" spans="2:9" ht="15.75">
      <c r="B15" s="2083"/>
      <c r="C15" s="2084"/>
      <c r="D15" s="2084"/>
      <c r="E15" s="2084"/>
      <c r="F15" s="1791" t="s">
        <v>1307</v>
      </c>
      <c r="G15" s="1791" t="s">
        <v>1308</v>
      </c>
      <c r="H15" s="1791" t="s">
        <v>1307</v>
      </c>
      <c r="I15" s="1792" t="s">
        <v>1308</v>
      </c>
    </row>
    <row r="16" spans="2:9" ht="15.75">
      <c r="B16" s="1793"/>
      <c r="C16" s="2076" t="s">
        <v>1309</v>
      </c>
      <c r="D16" s="2077"/>
      <c r="E16" s="2077"/>
      <c r="F16" s="1787"/>
      <c r="G16" s="1794"/>
      <c r="H16" s="1795"/>
      <c r="I16" s="1796"/>
    </row>
    <row r="17" spans="2:9" ht="15.75">
      <c r="B17" s="1793">
        <v>1</v>
      </c>
      <c r="C17" s="2075" t="s">
        <v>1310</v>
      </c>
      <c r="D17" s="2075"/>
      <c r="E17" s="2075"/>
      <c r="F17" s="1797">
        <v>321385</v>
      </c>
      <c r="G17" s="1797">
        <f>'OPD Meas.'!J17</f>
        <v>162975.00387680001</v>
      </c>
      <c r="H17" s="1798">
        <f t="shared" ref="H17:I31" si="0">F17</f>
        <v>321385</v>
      </c>
      <c r="I17" s="1799">
        <f t="shared" si="0"/>
        <v>162975.00387680001</v>
      </c>
    </row>
    <row r="18" spans="2:9" ht="15.75">
      <c r="B18" s="1793">
        <v>2</v>
      </c>
      <c r="C18" s="2075" t="s">
        <v>1311</v>
      </c>
      <c r="D18" s="2075"/>
      <c r="E18" s="2075"/>
      <c r="F18" s="1797">
        <v>496608</v>
      </c>
      <c r="G18" s="1797">
        <f>'OPD Meas.'!J36</f>
        <v>410133.88140000001</v>
      </c>
      <c r="H18" s="1798">
        <f t="shared" si="0"/>
        <v>496608</v>
      </c>
      <c r="I18" s="1799">
        <f t="shared" si="0"/>
        <v>410133.88140000001</v>
      </c>
    </row>
    <row r="19" spans="2:9" ht="15.75">
      <c r="B19" s="1793">
        <v>3</v>
      </c>
      <c r="C19" s="2075" t="s">
        <v>1312</v>
      </c>
      <c r="D19" s="2075"/>
      <c r="E19" s="2075"/>
      <c r="F19" s="1797">
        <v>184800</v>
      </c>
      <c r="G19" s="1797">
        <f>'OPD Meas.'!J40</f>
        <v>99382.512000000017</v>
      </c>
      <c r="H19" s="1798">
        <f t="shared" si="0"/>
        <v>184800</v>
      </c>
      <c r="I19" s="1799">
        <f t="shared" si="0"/>
        <v>99382.512000000017</v>
      </c>
    </row>
    <row r="20" spans="2:9" ht="15.75">
      <c r="B20" s="1793"/>
      <c r="C20" s="2069" t="s">
        <v>1313</v>
      </c>
      <c r="D20" s="2070"/>
      <c r="E20" s="2070"/>
      <c r="F20" s="1797">
        <f>SUM(F17:F19)</f>
        <v>1002793</v>
      </c>
      <c r="G20" s="1797">
        <f>SUM(G17:G19)</f>
        <v>672491.39727680001</v>
      </c>
      <c r="H20" s="1797">
        <f>SUM(H17:H19)</f>
        <v>1002793</v>
      </c>
      <c r="I20" s="1797">
        <f>SUM(I17:I19)</f>
        <v>672491.39727680001</v>
      </c>
    </row>
    <row r="21" spans="2:9" ht="15.75">
      <c r="B21" s="1793"/>
      <c r="C21" s="2075" t="s">
        <v>1314</v>
      </c>
      <c r="D21" s="2075"/>
      <c r="E21" s="2075"/>
      <c r="F21" s="1797"/>
      <c r="G21" s="1797"/>
      <c r="H21" s="1798"/>
      <c r="I21" s="1799"/>
    </row>
    <row r="22" spans="2:9" ht="15.75">
      <c r="B22" s="1793">
        <v>1</v>
      </c>
      <c r="C22" s="2075" t="s">
        <v>1311</v>
      </c>
      <c r="D22" s="2075"/>
      <c r="E22" s="2075"/>
      <c r="F22" s="1797">
        <v>242703</v>
      </c>
      <c r="G22" s="1797">
        <f>'OPD Meas.'!J57</f>
        <v>171327.05935999998</v>
      </c>
      <c r="H22" s="1798">
        <f t="shared" si="0"/>
        <v>242703</v>
      </c>
      <c r="I22" s="1799">
        <f t="shared" si="0"/>
        <v>171327.05935999998</v>
      </c>
    </row>
    <row r="23" spans="2:9" ht="15.75">
      <c r="B23" s="1793">
        <v>2</v>
      </c>
      <c r="C23" s="2078" t="s">
        <v>1315</v>
      </c>
      <c r="D23" s="2079"/>
      <c r="E23" s="2079"/>
      <c r="F23" s="1797">
        <v>169290</v>
      </c>
      <c r="G23" s="1797">
        <f>'OPD Meas.'!J61</f>
        <v>197408.89799999999</v>
      </c>
      <c r="H23" s="1797">
        <f t="shared" si="0"/>
        <v>169290</v>
      </c>
      <c r="I23" s="1799">
        <f t="shared" si="0"/>
        <v>197408.89799999999</v>
      </c>
    </row>
    <row r="24" spans="2:9" ht="15.75">
      <c r="B24" s="1793">
        <v>3</v>
      </c>
      <c r="C24" s="2075" t="s">
        <v>1316</v>
      </c>
      <c r="D24" s="2075"/>
      <c r="E24" s="2075"/>
      <c r="F24" s="1797">
        <v>153292</v>
      </c>
      <c r="G24" s="1797">
        <f>'OPD Meas.'!J67</f>
        <v>174072.4</v>
      </c>
      <c r="H24" s="1797">
        <f t="shared" si="0"/>
        <v>153292</v>
      </c>
      <c r="I24" s="1799">
        <f t="shared" si="0"/>
        <v>174072.4</v>
      </c>
    </row>
    <row r="25" spans="2:9" ht="15.75">
      <c r="B25" s="1793">
        <v>4</v>
      </c>
      <c r="C25" s="2075" t="s">
        <v>1493</v>
      </c>
      <c r="D25" s="2075"/>
      <c r="E25" s="2075"/>
      <c r="F25" s="1797">
        <v>147919.28</v>
      </c>
      <c r="G25" s="1797">
        <f>'OPD Meas.'!J78</f>
        <v>161282.4</v>
      </c>
      <c r="H25" s="1797">
        <f t="shared" si="0"/>
        <v>147919.28</v>
      </c>
      <c r="I25" s="1799">
        <f t="shared" si="0"/>
        <v>161282.4</v>
      </c>
    </row>
    <row r="26" spans="2:9" ht="15.75">
      <c r="B26" s="1793">
        <v>5</v>
      </c>
      <c r="C26" s="2075" t="s">
        <v>1318</v>
      </c>
      <c r="D26" s="2075"/>
      <c r="E26" s="2075"/>
      <c r="F26" s="1797">
        <v>154418</v>
      </c>
      <c r="G26" s="1797">
        <f>'OPD Meas.'!J88</f>
        <v>86788.5</v>
      </c>
      <c r="H26" s="1797">
        <v>85300</v>
      </c>
      <c r="I26" s="1799">
        <f t="shared" si="0"/>
        <v>86788.5</v>
      </c>
    </row>
    <row r="27" spans="2:9" ht="15.75">
      <c r="B27" s="1793">
        <v>6</v>
      </c>
      <c r="C27" s="2075" t="s">
        <v>1319</v>
      </c>
      <c r="D27" s="2075"/>
      <c r="E27" s="2075"/>
      <c r="F27" s="1797">
        <v>592950</v>
      </c>
      <c r="G27" s="1797">
        <f>'OPD Meas.'!J101</f>
        <v>583973.5290000001</v>
      </c>
      <c r="H27" s="1797">
        <f t="shared" si="0"/>
        <v>592950</v>
      </c>
      <c r="I27" s="1799">
        <f t="shared" si="0"/>
        <v>583973.5290000001</v>
      </c>
    </row>
    <row r="28" spans="2:9" ht="15.75">
      <c r="B28" s="1793">
        <v>7</v>
      </c>
      <c r="C28" s="1800" t="s">
        <v>1320</v>
      </c>
      <c r="D28" s="1801"/>
      <c r="E28" s="1801"/>
      <c r="F28" s="1797">
        <v>40516</v>
      </c>
      <c r="G28" s="1797">
        <f>'OPD Meas.'!J106</f>
        <v>46331.838000000003</v>
      </c>
      <c r="H28" s="1797">
        <f t="shared" si="0"/>
        <v>40516</v>
      </c>
      <c r="I28" s="1799">
        <f t="shared" si="0"/>
        <v>46331.838000000003</v>
      </c>
    </row>
    <row r="29" spans="2:9" ht="15.75">
      <c r="B29" s="1793">
        <v>8</v>
      </c>
      <c r="C29" s="1800" t="s">
        <v>1321</v>
      </c>
      <c r="D29" s="1801"/>
      <c r="E29" s="1801"/>
      <c r="F29" s="1797">
        <v>9560</v>
      </c>
      <c r="G29" s="1797"/>
      <c r="H29" s="1797">
        <f t="shared" si="0"/>
        <v>9560</v>
      </c>
      <c r="I29" s="1799">
        <v>0</v>
      </c>
    </row>
    <row r="30" spans="2:9" ht="15.75">
      <c r="B30" s="1793">
        <v>9</v>
      </c>
      <c r="C30" s="1800" t="s">
        <v>1322</v>
      </c>
      <c r="D30" s="1801"/>
      <c r="E30" s="1801"/>
      <c r="F30" s="1797">
        <v>33460</v>
      </c>
      <c r="G30" s="1797">
        <f>'OPD Meas.'!J126</f>
        <v>5009.6499999999996</v>
      </c>
      <c r="H30" s="1797">
        <f t="shared" si="0"/>
        <v>33460</v>
      </c>
      <c r="I30" s="1799">
        <f t="shared" si="0"/>
        <v>5009.6499999999996</v>
      </c>
    </row>
    <row r="31" spans="2:9" ht="15.75">
      <c r="B31" s="1793">
        <v>10</v>
      </c>
      <c r="C31" s="1800" t="s">
        <v>1323</v>
      </c>
      <c r="D31" s="1801"/>
      <c r="E31" s="1801"/>
      <c r="F31" s="1797">
        <v>118513.89</v>
      </c>
      <c r="G31" s="1797">
        <f>'OPD Meas.'!J156</f>
        <v>101588.75</v>
      </c>
      <c r="H31" s="1797">
        <f t="shared" si="0"/>
        <v>118513.89</v>
      </c>
      <c r="I31" s="1799">
        <f t="shared" si="0"/>
        <v>101588.75</v>
      </c>
    </row>
    <row r="32" spans="2:9" ht="15.75">
      <c r="B32" s="1793"/>
      <c r="C32" s="2069" t="s">
        <v>1324</v>
      </c>
      <c r="D32" s="2070"/>
      <c r="E32" s="2070"/>
      <c r="F32" s="1797">
        <f>SUM(F22:F31)</f>
        <v>1662622.17</v>
      </c>
      <c r="G32" s="1797">
        <f>SUM(G22:G31)</f>
        <v>1527783.0243600002</v>
      </c>
      <c r="H32" s="1798">
        <f>SUM(H22:H31)</f>
        <v>1593504.17</v>
      </c>
      <c r="I32" s="1799">
        <f>SUM(I22:I31)</f>
        <v>1527783.0243600002</v>
      </c>
    </row>
    <row r="33" spans="2:9" ht="16.5" thickBot="1">
      <c r="B33" s="1802"/>
      <c r="C33" s="2071" t="s">
        <v>1325</v>
      </c>
      <c r="D33" s="2072"/>
      <c r="E33" s="2072"/>
      <c r="F33" s="1803">
        <f>F20+F32</f>
        <v>2665415.17</v>
      </c>
      <c r="G33" s="1803">
        <f>G20+G32</f>
        <v>2200274.4216368003</v>
      </c>
      <c r="H33" s="1804">
        <f>H20+H32</f>
        <v>2596297.17</v>
      </c>
      <c r="I33" s="1805">
        <f>I20+I32</f>
        <v>2200274.4216368003</v>
      </c>
    </row>
    <row r="34" spans="2:9" ht="16.5" thickTop="1">
      <c r="B34" s="1787"/>
      <c r="C34" s="1787"/>
      <c r="D34" s="1787"/>
      <c r="E34" s="1787"/>
      <c r="F34" s="1787"/>
      <c r="G34" s="1787"/>
      <c r="H34" s="1787"/>
      <c r="I34" s="1787"/>
    </row>
    <row r="35" spans="2:9" ht="15.75">
      <c r="B35" s="1806"/>
      <c r="C35" s="1806"/>
      <c r="D35" s="1806"/>
      <c r="E35" s="1806"/>
      <c r="F35" s="1806"/>
      <c r="G35" s="1806"/>
      <c r="H35" s="1806"/>
      <c r="I35" s="1787"/>
    </row>
    <row r="36" spans="2:9" ht="15.75">
      <c r="B36" s="2073"/>
      <c r="C36" s="2073"/>
      <c r="D36" s="2073"/>
      <c r="E36" s="2073"/>
      <c r="F36" s="2073"/>
      <c r="G36" s="2073"/>
      <c r="H36" s="2073"/>
      <c r="I36" s="2073"/>
    </row>
    <row r="37" spans="2:9" ht="15.75">
      <c r="B37" s="1806" t="s">
        <v>1326</v>
      </c>
      <c r="C37" s="1806"/>
      <c r="D37" s="1806"/>
      <c r="E37" s="1806"/>
      <c r="F37" s="1806"/>
      <c r="G37" s="1806"/>
      <c r="H37" s="1806"/>
      <c r="I37" s="1787"/>
    </row>
    <row r="38" spans="2:9" ht="15.75">
      <c r="B38" s="1806" t="s">
        <v>3529</v>
      </c>
      <c r="C38" s="1806"/>
      <c r="D38" s="1806"/>
      <c r="E38" s="1806"/>
      <c r="F38" s="1806"/>
      <c r="G38" s="1807"/>
      <c r="H38" s="1806"/>
      <c r="I38" s="1787"/>
    </row>
    <row r="39" spans="2:9" ht="15.75">
      <c r="B39" s="1806"/>
      <c r="C39" s="1806"/>
      <c r="D39" s="1806"/>
      <c r="E39" s="1806"/>
      <c r="F39" s="1806"/>
      <c r="G39" s="1807"/>
      <c r="H39" s="1806"/>
      <c r="I39" s="1787"/>
    </row>
    <row r="40" spans="2:9" ht="15.75">
      <c r="B40" s="1806"/>
      <c r="C40" s="1806"/>
      <c r="D40" s="1806"/>
      <c r="E40" s="1806"/>
      <c r="F40" s="1806"/>
      <c r="G40" s="1807"/>
      <c r="H40" s="1806"/>
      <c r="I40" s="1787"/>
    </row>
    <row r="41" spans="2:9" ht="15.75">
      <c r="B41" s="1806"/>
      <c r="C41" s="1806"/>
      <c r="D41" s="1806"/>
      <c r="E41" s="1806"/>
      <c r="F41" s="1806"/>
      <c r="G41" s="1807"/>
      <c r="H41" s="1806"/>
      <c r="I41" s="1787"/>
    </row>
    <row r="42" spans="2:9" ht="15.75">
      <c r="B42" s="1806"/>
      <c r="C42" s="1806"/>
      <c r="D42" s="1806"/>
      <c r="E42" s="1806"/>
      <c r="F42" s="1806"/>
      <c r="G42" s="1807"/>
      <c r="H42" s="1806"/>
      <c r="I42" s="1787"/>
    </row>
    <row r="43" spans="2:9" ht="15.75">
      <c r="B43" s="1806"/>
      <c r="C43" s="1806"/>
      <c r="D43" s="1806"/>
      <c r="E43" s="1806"/>
      <c r="F43" s="1806"/>
      <c r="G43" s="1807"/>
      <c r="H43" s="1806"/>
      <c r="I43" s="1787"/>
    </row>
    <row r="44" spans="2:9" ht="15.75">
      <c r="B44" s="1806"/>
      <c r="C44" s="1806"/>
      <c r="D44" s="1806"/>
      <c r="E44" s="1806"/>
      <c r="F44" s="1806"/>
      <c r="G44" s="1807"/>
      <c r="H44" s="1806"/>
      <c r="I44" s="1787"/>
    </row>
    <row r="45" spans="2:9" ht="15.75">
      <c r="B45" s="1787"/>
      <c r="C45" s="1787"/>
      <c r="D45" s="1787"/>
      <c r="E45" s="1787"/>
      <c r="F45" s="1787"/>
      <c r="G45" s="1787"/>
      <c r="H45" s="1787"/>
      <c r="I45" s="1787"/>
    </row>
    <row r="46" spans="2:9" ht="15.75">
      <c r="B46" s="1787"/>
      <c r="C46" s="1787"/>
      <c r="D46" s="1787"/>
      <c r="E46" s="1787"/>
      <c r="F46" s="1787"/>
      <c r="G46" s="1787"/>
      <c r="H46" s="1787"/>
      <c r="I46" s="1787"/>
    </row>
    <row r="47" spans="2:9" ht="15.75">
      <c r="B47" s="1787" t="s">
        <v>1327</v>
      </c>
      <c r="C47" s="1787"/>
      <c r="D47" s="1787"/>
      <c r="E47" s="2074" t="s">
        <v>1328</v>
      </c>
      <c r="F47" s="2074"/>
      <c r="G47" s="2074"/>
      <c r="H47" s="2074" t="s">
        <v>1329</v>
      </c>
      <c r="I47" s="2074"/>
    </row>
  </sheetData>
  <mergeCells count="23">
    <mergeCell ref="B1:I1"/>
    <mergeCell ref="B13:B15"/>
    <mergeCell ref="C13:E15"/>
    <mergeCell ref="F13:G13"/>
    <mergeCell ref="H13:I13"/>
    <mergeCell ref="B11:I11"/>
    <mergeCell ref="C27:E27"/>
    <mergeCell ref="C16:E16"/>
    <mergeCell ref="C17:E17"/>
    <mergeCell ref="C18:E18"/>
    <mergeCell ref="C19:E19"/>
    <mergeCell ref="C20:E20"/>
    <mergeCell ref="C21:E21"/>
    <mergeCell ref="C22:E22"/>
    <mergeCell ref="C23:E23"/>
    <mergeCell ref="C24:E24"/>
    <mergeCell ref="C25:E25"/>
    <mergeCell ref="C26:E26"/>
    <mergeCell ref="C32:E32"/>
    <mergeCell ref="C33:E33"/>
    <mergeCell ref="B36:I36"/>
    <mergeCell ref="E47:G47"/>
    <mergeCell ref="H47:I47"/>
  </mergeCells>
  <pageMargins left="0.7" right="0.45" top="0.75" bottom="0.75" header="0.3" footer="0.3"/>
  <pageSetup scale="85"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1:S181"/>
  <sheetViews>
    <sheetView view="pageBreakPreview" zoomScale="115" zoomScaleSheetLayoutView="115" zoomScalePageLayoutView="70" workbookViewId="0">
      <selection activeCell="B6" sqref="B6:B7"/>
    </sheetView>
  </sheetViews>
  <sheetFormatPr defaultRowHeight="15.75" customHeight="1"/>
  <cols>
    <col min="1" max="1" width="4.28515625" style="1311" customWidth="1"/>
    <col min="2" max="2" width="7.7109375" style="1315" customWidth="1"/>
    <col min="3" max="3" width="49.42578125" style="1319" customWidth="1"/>
    <col min="4" max="4" width="7.7109375" style="1315" customWidth="1"/>
    <col min="5" max="5" width="9.42578125" style="1315" hidden="1" customWidth="1"/>
    <col min="6" max="6" width="9" style="1315" bestFit="1" customWidth="1"/>
    <col min="7" max="7" width="11.42578125" style="1315" customWidth="1"/>
    <col min="8" max="8" width="11.28515625" style="1320" bestFit="1" customWidth="1"/>
    <col min="9" max="9" width="9" style="1323" bestFit="1" customWidth="1"/>
    <col min="10" max="10" width="11.28515625" style="1321" bestFit="1" customWidth="1"/>
    <col min="11" max="11" width="1.42578125" style="104" customWidth="1"/>
    <col min="12" max="12" width="15.28515625" style="1311" customWidth="1"/>
    <col min="13" max="13" width="12.140625" style="1311" customWidth="1"/>
    <col min="14" max="14" width="31.5703125" style="1311" customWidth="1"/>
    <col min="15" max="15" width="55.140625" style="1311" customWidth="1"/>
    <col min="16" max="16" width="97.5703125" style="1311" customWidth="1"/>
    <col min="17" max="17" width="176" style="1311" customWidth="1"/>
    <col min="18" max="18" width="9.140625" style="1311"/>
    <col min="19" max="19" width="9.28515625" style="1311" customWidth="1"/>
    <col min="20" max="257" width="9.140625" style="1311"/>
    <col min="258" max="258" width="6.28515625" style="1311" customWidth="1"/>
    <col min="259" max="259" width="46.42578125" style="1311" customWidth="1"/>
    <col min="260" max="260" width="6.42578125" style="1311" customWidth="1"/>
    <col min="261" max="261" width="0" style="1311" hidden="1" customWidth="1"/>
    <col min="262" max="262" width="10.140625" style="1311" customWidth="1"/>
    <col min="263" max="263" width="11.42578125" style="1311" customWidth="1"/>
    <col min="264" max="264" width="14" style="1311" customWidth="1"/>
    <col min="265" max="265" width="12.85546875" style="1311" customWidth="1"/>
    <col min="266" max="266" width="17.7109375" style="1311" customWidth="1"/>
    <col min="267" max="267" width="15.28515625" style="1311" customWidth="1"/>
    <col min="268" max="268" width="12.140625" style="1311" bestFit="1" customWidth="1"/>
    <col min="269" max="269" width="20.42578125" style="1311" bestFit="1" customWidth="1"/>
    <col min="270" max="270" width="31.5703125" style="1311" bestFit="1" customWidth="1"/>
    <col min="271" max="271" width="55.140625" style="1311" bestFit="1" customWidth="1"/>
    <col min="272" max="272" width="97.5703125" style="1311" bestFit="1" customWidth="1"/>
    <col min="273" max="273" width="176" style="1311" bestFit="1" customWidth="1"/>
    <col min="274" max="274" width="9.140625" style="1311"/>
    <col min="275" max="275" width="9.28515625" style="1311" bestFit="1" customWidth="1"/>
    <col min="276" max="513" width="9.140625" style="1311"/>
    <col min="514" max="514" width="6.28515625" style="1311" customWidth="1"/>
    <col min="515" max="515" width="46.42578125" style="1311" customWidth="1"/>
    <col min="516" max="516" width="6.42578125" style="1311" customWidth="1"/>
    <col min="517" max="517" width="0" style="1311" hidden="1" customWidth="1"/>
    <col min="518" max="518" width="10.140625" style="1311" customWidth="1"/>
    <col min="519" max="519" width="11.42578125" style="1311" customWidth="1"/>
    <col min="520" max="520" width="14" style="1311" customWidth="1"/>
    <col min="521" max="521" width="12.85546875" style="1311" customWidth="1"/>
    <col min="522" max="522" width="17.7109375" style="1311" customWidth="1"/>
    <col min="523" max="523" width="15.28515625" style="1311" customWidth="1"/>
    <col min="524" max="524" width="12.140625" style="1311" bestFit="1" customWidth="1"/>
    <col min="525" max="525" width="20.42578125" style="1311" bestFit="1" customWidth="1"/>
    <col min="526" max="526" width="31.5703125" style="1311" bestFit="1" customWidth="1"/>
    <col min="527" max="527" width="55.140625" style="1311" bestFit="1" customWidth="1"/>
    <col min="528" max="528" width="97.5703125" style="1311" bestFit="1" customWidth="1"/>
    <col min="529" max="529" width="176" style="1311" bestFit="1" customWidth="1"/>
    <col min="530" max="530" width="9.140625" style="1311"/>
    <col min="531" max="531" width="9.28515625" style="1311" bestFit="1" customWidth="1"/>
    <col min="532" max="769" width="9.140625" style="1311"/>
    <col min="770" max="770" width="6.28515625" style="1311" customWidth="1"/>
    <col min="771" max="771" width="46.42578125" style="1311" customWidth="1"/>
    <col min="772" max="772" width="6.42578125" style="1311" customWidth="1"/>
    <col min="773" max="773" width="0" style="1311" hidden="1" customWidth="1"/>
    <col min="774" max="774" width="10.140625" style="1311" customWidth="1"/>
    <col min="775" max="775" width="11.42578125" style="1311" customWidth="1"/>
    <col min="776" max="776" width="14" style="1311" customWidth="1"/>
    <col min="777" max="777" width="12.85546875" style="1311" customWidth="1"/>
    <col min="778" max="778" width="17.7109375" style="1311" customWidth="1"/>
    <col min="779" max="779" width="15.28515625" style="1311" customWidth="1"/>
    <col min="780" max="780" width="12.140625" style="1311" bestFit="1" customWidth="1"/>
    <col min="781" max="781" width="20.42578125" style="1311" bestFit="1" customWidth="1"/>
    <col min="782" max="782" width="31.5703125" style="1311" bestFit="1" customWidth="1"/>
    <col min="783" max="783" width="55.140625" style="1311" bestFit="1" customWidth="1"/>
    <col min="784" max="784" width="97.5703125" style="1311" bestFit="1" customWidth="1"/>
    <col min="785" max="785" width="176" style="1311" bestFit="1" customWidth="1"/>
    <col min="786" max="786" width="9.140625" style="1311"/>
    <col min="787" max="787" width="9.28515625" style="1311" bestFit="1" customWidth="1"/>
    <col min="788" max="1025" width="9.140625" style="1311"/>
    <col min="1026" max="1026" width="6.28515625" style="1311" customWidth="1"/>
    <col min="1027" max="1027" width="46.42578125" style="1311" customWidth="1"/>
    <col min="1028" max="1028" width="6.42578125" style="1311" customWidth="1"/>
    <col min="1029" max="1029" width="0" style="1311" hidden="1" customWidth="1"/>
    <col min="1030" max="1030" width="10.140625" style="1311" customWidth="1"/>
    <col min="1031" max="1031" width="11.42578125" style="1311" customWidth="1"/>
    <col min="1032" max="1032" width="14" style="1311" customWidth="1"/>
    <col min="1033" max="1033" width="12.85546875" style="1311" customWidth="1"/>
    <col min="1034" max="1034" width="17.7109375" style="1311" customWidth="1"/>
    <col min="1035" max="1035" width="15.28515625" style="1311" customWidth="1"/>
    <col min="1036" max="1036" width="12.140625" style="1311" bestFit="1" customWidth="1"/>
    <col min="1037" max="1037" width="20.42578125" style="1311" bestFit="1" customWidth="1"/>
    <col min="1038" max="1038" width="31.5703125" style="1311" bestFit="1" customWidth="1"/>
    <col min="1039" max="1039" width="55.140625" style="1311" bestFit="1" customWidth="1"/>
    <col min="1040" max="1040" width="97.5703125" style="1311" bestFit="1" customWidth="1"/>
    <col min="1041" max="1041" width="176" style="1311" bestFit="1" customWidth="1"/>
    <col min="1042" max="1042" width="9.140625" style="1311"/>
    <col min="1043" max="1043" width="9.28515625" style="1311" bestFit="1" customWidth="1"/>
    <col min="1044" max="1281" width="9.140625" style="1311"/>
    <col min="1282" max="1282" width="6.28515625" style="1311" customWidth="1"/>
    <col min="1283" max="1283" width="46.42578125" style="1311" customWidth="1"/>
    <col min="1284" max="1284" width="6.42578125" style="1311" customWidth="1"/>
    <col min="1285" max="1285" width="0" style="1311" hidden="1" customWidth="1"/>
    <col min="1286" max="1286" width="10.140625" style="1311" customWidth="1"/>
    <col min="1287" max="1287" width="11.42578125" style="1311" customWidth="1"/>
    <col min="1288" max="1288" width="14" style="1311" customWidth="1"/>
    <col min="1289" max="1289" width="12.85546875" style="1311" customWidth="1"/>
    <col min="1290" max="1290" width="17.7109375" style="1311" customWidth="1"/>
    <col min="1291" max="1291" width="15.28515625" style="1311" customWidth="1"/>
    <col min="1292" max="1292" width="12.140625" style="1311" bestFit="1" customWidth="1"/>
    <col min="1293" max="1293" width="20.42578125" style="1311" bestFit="1" customWidth="1"/>
    <col min="1294" max="1294" width="31.5703125" style="1311" bestFit="1" customWidth="1"/>
    <col min="1295" max="1295" width="55.140625" style="1311" bestFit="1" customWidth="1"/>
    <col min="1296" max="1296" width="97.5703125" style="1311" bestFit="1" customWidth="1"/>
    <col min="1297" max="1297" width="176" style="1311" bestFit="1" customWidth="1"/>
    <col min="1298" max="1298" width="9.140625" style="1311"/>
    <col min="1299" max="1299" width="9.28515625" style="1311" bestFit="1" customWidth="1"/>
    <col min="1300" max="1537" width="9.140625" style="1311"/>
    <col min="1538" max="1538" width="6.28515625" style="1311" customWidth="1"/>
    <col min="1539" max="1539" width="46.42578125" style="1311" customWidth="1"/>
    <col min="1540" max="1540" width="6.42578125" style="1311" customWidth="1"/>
    <col min="1541" max="1541" width="0" style="1311" hidden="1" customWidth="1"/>
    <col min="1542" max="1542" width="10.140625" style="1311" customWidth="1"/>
    <col min="1543" max="1543" width="11.42578125" style="1311" customWidth="1"/>
    <col min="1544" max="1544" width="14" style="1311" customWidth="1"/>
    <col min="1545" max="1545" width="12.85546875" style="1311" customWidth="1"/>
    <col min="1546" max="1546" width="17.7109375" style="1311" customWidth="1"/>
    <col min="1547" max="1547" width="15.28515625" style="1311" customWidth="1"/>
    <col min="1548" max="1548" width="12.140625" style="1311" bestFit="1" customWidth="1"/>
    <col min="1549" max="1549" width="20.42578125" style="1311" bestFit="1" customWidth="1"/>
    <col min="1550" max="1550" width="31.5703125" style="1311" bestFit="1" customWidth="1"/>
    <col min="1551" max="1551" width="55.140625" style="1311" bestFit="1" customWidth="1"/>
    <col min="1552" max="1552" width="97.5703125" style="1311" bestFit="1" customWidth="1"/>
    <col min="1553" max="1553" width="176" style="1311" bestFit="1" customWidth="1"/>
    <col min="1554" max="1554" width="9.140625" style="1311"/>
    <col min="1555" max="1555" width="9.28515625" style="1311" bestFit="1" customWidth="1"/>
    <col min="1556" max="1793" width="9.140625" style="1311"/>
    <col min="1794" max="1794" width="6.28515625" style="1311" customWidth="1"/>
    <col min="1795" max="1795" width="46.42578125" style="1311" customWidth="1"/>
    <col min="1796" max="1796" width="6.42578125" style="1311" customWidth="1"/>
    <col min="1797" max="1797" width="0" style="1311" hidden="1" customWidth="1"/>
    <col min="1798" max="1798" width="10.140625" style="1311" customWidth="1"/>
    <col min="1799" max="1799" width="11.42578125" style="1311" customWidth="1"/>
    <col min="1800" max="1800" width="14" style="1311" customWidth="1"/>
    <col min="1801" max="1801" width="12.85546875" style="1311" customWidth="1"/>
    <col min="1802" max="1802" width="17.7109375" style="1311" customWidth="1"/>
    <col min="1803" max="1803" width="15.28515625" style="1311" customWidth="1"/>
    <col min="1804" max="1804" width="12.140625" style="1311" bestFit="1" customWidth="1"/>
    <col min="1805" max="1805" width="20.42578125" style="1311" bestFit="1" customWidth="1"/>
    <col min="1806" max="1806" width="31.5703125" style="1311" bestFit="1" customWidth="1"/>
    <col min="1807" max="1807" width="55.140625" style="1311" bestFit="1" customWidth="1"/>
    <col min="1808" max="1808" width="97.5703125" style="1311" bestFit="1" customWidth="1"/>
    <col min="1809" max="1809" width="176" style="1311" bestFit="1" customWidth="1"/>
    <col min="1810" max="1810" width="9.140625" style="1311"/>
    <col min="1811" max="1811" width="9.28515625" style="1311" bestFit="1" customWidth="1"/>
    <col min="1812" max="2049" width="9.140625" style="1311"/>
    <col min="2050" max="2050" width="6.28515625" style="1311" customWidth="1"/>
    <col min="2051" max="2051" width="46.42578125" style="1311" customWidth="1"/>
    <col min="2052" max="2052" width="6.42578125" style="1311" customWidth="1"/>
    <col min="2053" max="2053" width="0" style="1311" hidden="1" customWidth="1"/>
    <col min="2054" max="2054" width="10.140625" style="1311" customWidth="1"/>
    <col min="2055" max="2055" width="11.42578125" style="1311" customWidth="1"/>
    <col min="2056" max="2056" width="14" style="1311" customWidth="1"/>
    <col min="2057" max="2057" width="12.85546875" style="1311" customWidth="1"/>
    <col min="2058" max="2058" width="17.7109375" style="1311" customWidth="1"/>
    <col min="2059" max="2059" width="15.28515625" style="1311" customWidth="1"/>
    <col min="2060" max="2060" width="12.140625" style="1311" bestFit="1" customWidth="1"/>
    <col min="2061" max="2061" width="20.42578125" style="1311" bestFit="1" customWidth="1"/>
    <col min="2062" max="2062" width="31.5703125" style="1311" bestFit="1" customWidth="1"/>
    <col min="2063" max="2063" width="55.140625" style="1311" bestFit="1" customWidth="1"/>
    <col min="2064" max="2064" width="97.5703125" style="1311" bestFit="1" customWidth="1"/>
    <col min="2065" max="2065" width="176" style="1311" bestFit="1" customWidth="1"/>
    <col min="2066" max="2066" width="9.140625" style="1311"/>
    <col min="2067" max="2067" width="9.28515625" style="1311" bestFit="1" customWidth="1"/>
    <col min="2068" max="2305" width="9.140625" style="1311"/>
    <col min="2306" max="2306" width="6.28515625" style="1311" customWidth="1"/>
    <col min="2307" max="2307" width="46.42578125" style="1311" customWidth="1"/>
    <col min="2308" max="2308" width="6.42578125" style="1311" customWidth="1"/>
    <col min="2309" max="2309" width="0" style="1311" hidden="1" customWidth="1"/>
    <col min="2310" max="2310" width="10.140625" style="1311" customWidth="1"/>
    <col min="2311" max="2311" width="11.42578125" style="1311" customWidth="1"/>
    <col min="2312" max="2312" width="14" style="1311" customWidth="1"/>
    <col min="2313" max="2313" width="12.85546875" style="1311" customWidth="1"/>
    <col min="2314" max="2314" width="17.7109375" style="1311" customWidth="1"/>
    <col min="2315" max="2315" width="15.28515625" style="1311" customWidth="1"/>
    <col min="2316" max="2316" width="12.140625" style="1311" bestFit="1" customWidth="1"/>
    <col min="2317" max="2317" width="20.42578125" style="1311" bestFit="1" customWidth="1"/>
    <col min="2318" max="2318" width="31.5703125" style="1311" bestFit="1" customWidth="1"/>
    <col min="2319" max="2319" width="55.140625" style="1311" bestFit="1" customWidth="1"/>
    <col min="2320" max="2320" width="97.5703125" style="1311" bestFit="1" customWidth="1"/>
    <col min="2321" max="2321" width="176" style="1311" bestFit="1" customWidth="1"/>
    <col min="2322" max="2322" width="9.140625" style="1311"/>
    <col min="2323" max="2323" width="9.28515625" style="1311" bestFit="1" customWidth="1"/>
    <col min="2324" max="2561" width="9.140625" style="1311"/>
    <col min="2562" max="2562" width="6.28515625" style="1311" customWidth="1"/>
    <col min="2563" max="2563" width="46.42578125" style="1311" customWidth="1"/>
    <col min="2564" max="2564" width="6.42578125" style="1311" customWidth="1"/>
    <col min="2565" max="2565" width="0" style="1311" hidden="1" customWidth="1"/>
    <col min="2566" max="2566" width="10.140625" style="1311" customWidth="1"/>
    <col min="2567" max="2567" width="11.42578125" style="1311" customWidth="1"/>
    <col min="2568" max="2568" width="14" style="1311" customWidth="1"/>
    <col min="2569" max="2569" width="12.85546875" style="1311" customWidth="1"/>
    <col min="2570" max="2570" width="17.7109375" style="1311" customWidth="1"/>
    <col min="2571" max="2571" width="15.28515625" style="1311" customWidth="1"/>
    <col min="2572" max="2572" width="12.140625" style="1311" bestFit="1" customWidth="1"/>
    <col min="2573" max="2573" width="20.42578125" style="1311" bestFit="1" customWidth="1"/>
    <col min="2574" max="2574" width="31.5703125" style="1311" bestFit="1" customWidth="1"/>
    <col min="2575" max="2575" width="55.140625" style="1311" bestFit="1" customWidth="1"/>
    <col min="2576" max="2576" width="97.5703125" style="1311" bestFit="1" customWidth="1"/>
    <col min="2577" max="2577" width="176" style="1311" bestFit="1" customWidth="1"/>
    <col min="2578" max="2578" width="9.140625" style="1311"/>
    <col min="2579" max="2579" width="9.28515625" style="1311" bestFit="1" customWidth="1"/>
    <col min="2580" max="2817" width="9.140625" style="1311"/>
    <col min="2818" max="2818" width="6.28515625" style="1311" customWidth="1"/>
    <col min="2819" max="2819" width="46.42578125" style="1311" customWidth="1"/>
    <col min="2820" max="2820" width="6.42578125" style="1311" customWidth="1"/>
    <col min="2821" max="2821" width="0" style="1311" hidden="1" customWidth="1"/>
    <col min="2822" max="2822" width="10.140625" style="1311" customWidth="1"/>
    <col min="2823" max="2823" width="11.42578125" style="1311" customWidth="1"/>
    <col min="2824" max="2824" width="14" style="1311" customWidth="1"/>
    <col min="2825" max="2825" width="12.85546875" style="1311" customWidth="1"/>
    <col min="2826" max="2826" width="17.7109375" style="1311" customWidth="1"/>
    <col min="2827" max="2827" width="15.28515625" style="1311" customWidth="1"/>
    <col min="2828" max="2828" width="12.140625" style="1311" bestFit="1" customWidth="1"/>
    <col min="2829" max="2829" width="20.42578125" style="1311" bestFit="1" customWidth="1"/>
    <col min="2830" max="2830" width="31.5703125" style="1311" bestFit="1" customWidth="1"/>
    <col min="2831" max="2831" width="55.140625" style="1311" bestFit="1" customWidth="1"/>
    <col min="2832" max="2832" width="97.5703125" style="1311" bestFit="1" customWidth="1"/>
    <col min="2833" max="2833" width="176" style="1311" bestFit="1" customWidth="1"/>
    <col min="2834" max="2834" width="9.140625" style="1311"/>
    <col min="2835" max="2835" width="9.28515625" style="1311" bestFit="1" customWidth="1"/>
    <col min="2836" max="3073" width="9.140625" style="1311"/>
    <col min="3074" max="3074" width="6.28515625" style="1311" customWidth="1"/>
    <col min="3075" max="3075" width="46.42578125" style="1311" customWidth="1"/>
    <col min="3076" max="3076" width="6.42578125" style="1311" customWidth="1"/>
    <col min="3077" max="3077" width="0" style="1311" hidden="1" customWidth="1"/>
    <col min="3078" max="3078" width="10.140625" style="1311" customWidth="1"/>
    <col min="3079" max="3079" width="11.42578125" style="1311" customWidth="1"/>
    <col min="3080" max="3080" width="14" style="1311" customWidth="1"/>
    <col min="3081" max="3081" width="12.85546875" style="1311" customWidth="1"/>
    <col min="3082" max="3082" width="17.7109375" style="1311" customWidth="1"/>
    <col min="3083" max="3083" width="15.28515625" style="1311" customWidth="1"/>
    <col min="3084" max="3084" width="12.140625" style="1311" bestFit="1" customWidth="1"/>
    <col min="3085" max="3085" width="20.42578125" style="1311" bestFit="1" customWidth="1"/>
    <col min="3086" max="3086" width="31.5703125" style="1311" bestFit="1" customWidth="1"/>
    <col min="3087" max="3087" width="55.140625" style="1311" bestFit="1" customWidth="1"/>
    <col min="3088" max="3088" width="97.5703125" style="1311" bestFit="1" customWidth="1"/>
    <col min="3089" max="3089" width="176" style="1311" bestFit="1" customWidth="1"/>
    <col min="3090" max="3090" width="9.140625" style="1311"/>
    <col min="3091" max="3091" width="9.28515625" style="1311" bestFit="1" customWidth="1"/>
    <col min="3092" max="3329" width="9.140625" style="1311"/>
    <col min="3330" max="3330" width="6.28515625" style="1311" customWidth="1"/>
    <col min="3331" max="3331" width="46.42578125" style="1311" customWidth="1"/>
    <col min="3332" max="3332" width="6.42578125" style="1311" customWidth="1"/>
    <col min="3333" max="3333" width="0" style="1311" hidden="1" customWidth="1"/>
    <col min="3334" max="3334" width="10.140625" style="1311" customWidth="1"/>
    <col min="3335" max="3335" width="11.42578125" style="1311" customWidth="1"/>
    <col min="3336" max="3336" width="14" style="1311" customWidth="1"/>
    <col min="3337" max="3337" width="12.85546875" style="1311" customWidth="1"/>
    <col min="3338" max="3338" width="17.7109375" style="1311" customWidth="1"/>
    <col min="3339" max="3339" width="15.28515625" style="1311" customWidth="1"/>
    <col min="3340" max="3340" width="12.140625" style="1311" bestFit="1" customWidth="1"/>
    <col min="3341" max="3341" width="20.42578125" style="1311" bestFit="1" customWidth="1"/>
    <col min="3342" max="3342" width="31.5703125" style="1311" bestFit="1" customWidth="1"/>
    <col min="3343" max="3343" width="55.140625" style="1311" bestFit="1" customWidth="1"/>
    <col min="3344" max="3344" width="97.5703125" style="1311" bestFit="1" customWidth="1"/>
    <col min="3345" max="3345" width="176" style="1311" bestFit="1" customWidth="1"/>
    <col min="3346" max="3346" width="9.140625" style="1311"/>
    <col min="3347" max="3347" width="9.28515625" style="1311" bestFit="1" customWidth="1"/>
    <col min="3348" max="3585" width="9.140625" style="1311"/>
    <col min="3586" max="3586" width="6.28515625" style="1311" customWidth="1"/>
    <col min="3587" max="3587" width="46.42578125" style="1311" customWidth="1"/>
    <col min="3588" max="3588" width="6.42578125" style="1311" customWidth="1"/>
    <col min="3589" max="3589" width="0" style="1311" hidden="1" customWidth="1"/>
    <col min="3590" max="3590" width="10.140625" style="1311" customWidth="1"/>
    <col min="3591" max="3591" width="11.42578125" style="1311" customWidth="1"/>
    <col min="3592" max="3592" width="14" style="1311" customWidth="1"/>
    <col min="3593" max="3593" width="12.85546875" style="1311" customWidth="1"/>
    <col min="3594" max="3594" width="17.7109375" style="1311" customWidth="1"/>
    <col min="3595" max="3595" width="15.28515625" style="1311" customWidth="1"/>
    <col min="3596" max="3596" width="12.140625" style="1311" bestFit="1" customWidth="1"/>
    <col min="3597" max="3597" width="20.42578125" style="1311" bestFit="1" customWidth="1"/>
    <col min="3598" max="3598" width="31.5703125" style="1311" bestFit="1" customWidth="1"/>
    <col min="3599" max="3599" width="55.140625" style="1311" bestFit="1" customWidth="1"/>
    <col min="3600" max="3600" width="97.5703125" style="1311" bestFit="1" customWidth="1"/>
    <col min="3601" max="3601" width="176" style="1311" bestFit="1" customWidth="1"/>
    <col min="3602" max="3602" width="9.140625" style="1311"/>
    <col min="3603" max="3603" width="9.28515625" style="1311" bestFit="1" customWidth="1"/>
    <col min="3604" max="3841" width="9.140625" style="1311"/>
    <col min="3842" max="3842" width="6.28515625" style="1311" customWidth="1"/>
    <col min="3843" max="3843" width="46.42578125" style="1311" customWidth="1"/>
    <col min="3844" max="3844" width="6.42578125" style="1311" customWidth="1"/>
    <col min="3845" max="3845" width="0" style="1311" hidden="1" customWidth="1"/>
    <col min="3846" max="3846" width="10.140625" style="1311" customWidth="1"/>
    <col min="3847" max="3847" width="11.42578125" style="1311" customWidth="1"/>
    <col min="3848" max="3848" width="14" style="1311" customWidth="1"/>
    <col min="3849" max="3849" width="12.85546875" style="1311" customWidth="1"/>
    <col min="3850" max="3850" width="17.7109375" style="1311" customWidth="1"/>
    <col min="3851" max="3851" width="15.28515625" style="1311" customWidth="1"/>
    <col min="3852" max="3852" width="12.140625" style="1311" bestFit="1" customWidth="1"/>
    <col min="3853" max="3853" width="20.42578125" style="1311" bestFit="1" customWidth="1"/>
    <col min="3854" max="3854" width="31.5703125" style="1311" bestFit="1" customWidth="1"/>
    <col min="3855" max="3855" width="55.140625" style="1311" bestFit="1" customWidth="1"/>
    <col min="3856" max="3856" width="97.5703125" style="1311" bestFit="1" customWidth="1"/>
    <col min="3857" max="3857" width="176" style="1311" bestFit="1" customWidth="1"/>
    <col min="3858" max="3858" width="9.140625" style="1311"/>
    <col min="3859" max="3859" width="9.28515625" style="1311" bestFit="1" customWidth="1"/>
    <col min="3860" max="4097" width="9.140625" style="1311"/>
    <col min="4098" max="4098" width="6.28515625" style="1311" customWidth="1"/>
    <col min="4099" max="4099" width="46.42578125" style="1311" customWidth="1"/>
    <col min="4100" max="4100" width="6.42578125" style="1311" customWidth="1"/>
    <col min="4101" max="4101" width="0" style="1311" hidden="1" customWidth="1"/>
    <col min="4102" max="4102" width="10.140625" style="1311" customWidth="1"/>
    <col min="4103" max="4103" width="11.42578125" style="1311" customWidth="1"/>
    <col min="4104" max="4104" width="14" style="1311" customWidth="1"/>
    <col min="4105" max="4105" width="12.85546875" style="1311" customWidth="1"/>
    <col min="4106" max="4106" width="17.7109375" style="1311" customWidth="1"/>
    <col min="4107" max="4107" width="15.28515625" style="1311" customWidth="1"/>
    <col min="4108" max="4108" width="12.140625" style="1311" bestFit="1" customWidth="1"/>
    <col min="4109" max="4109" width="20.42578125" style="1311" bestFit="1" customWidth="1"/>
    <col min="4110" max="4110" width="31.5703125" style="1311" bestFit="1" customWidth="1"/>
    <col min="4111" max="4111" width="55.140625" style="1311" bestFit="1" customWidth="1"/>
    <col min="4112" max="4112" width="97.5703125" style="1311" bestFit="1" customWidth="1"/>
    <col min="4113" max="4113" width="176" style="1311" bestFit="1" customWidth="1"/>
    <col min="4114" max="4114" width="9.140625" style="1311"/>
    <col min="4115" max="4115" width="9.28515625" style="1311" bestFit="1" customWidth="1"/>
    <col min="4116" max="4353" width="9.140625" style="1311"/>
    <col min="4354" max="4354" width="6.28515625" style="1311" customWidth="1"/>
    <col min="4355" max="4355" width="46.42578125" style="1311" customWidth="1"/>
    <col min="4356" max="4356" width="6.42578125" style="1311" customWidth="1"/>
    <col min="4357" max="4357" width="0" style="1311" hidden="1" customWidth="1"/>
    <col min="4358" max="4358" width="10.140625" style="1311" customWidth="1"/>
    <col min="4359" max="4359" width="11.42578125" style="1311" customWidth="1"/>
    <col min="4360" max="4360" width="14" style="1311" customWidth="1"/>
    <col min="4361" max="4361" width="12.85546875" style="1311" customWidth="1"/>
    <col min="4362" max="4362" width="17.7109375" style="1311" customWidth="1"/>
    <col min="4363" max="4363" width="15.28515625" style="1311" customWidth="1"/>
    <col min="4364" max="4364" width="12.140625" style="1311" bestFit="1" customWidth="1"/>
    <col min="4365" max="4365" width="20.42578125" style="1311" bestFit="1" customWidth="1"/>
    <col min="4366" max="4366" width="31.5703125" style="1311" bestFit="1" customWidth="1"/>
    <col min="4367" max="4367" width="55.140625" style="1311" bestFit="1" customWidth="1"/>
    <col min="4368" max="4368" width="97.5703125" style="1311" bestFit="1" customWidth="1"/>
    <col min="4369" max="4369" width="176" style="1311" bestFit="1" customWidth="1"/>
    <col min="4370" max="4370" width="9.140625" style="1311"/>
    <col min="4371" max="4371" width="9.28515625" style="1311" bestFit="1" customWidth="1"/>
    <col min="4372" max="4609" width="9.140625" style="1311"/>
    <col min="4610" max="4610" width="6.28515625" style="1311" customWidth="1"/>
    <col min="4611" max="4611" width="46.42578125" style="1311" customWidth="1"/>
    <col min="4612" max="4612" width="6.42578125" style="1311" customWidth="1"/>
    <col min="4613" max="4613" width="0" style="1311" hidden="1" customWidth="1"/>
    <col min="4614" max="4614" width="10.140625" style="1311" customWidth="1"/>
    <col min="4615" max="4615" width="11.42578125" style="1311" customWidth="1"/>
    <col min="4616" max="4616" width="14" style="1311" customWidth="1"/>
    <col min="4617" max="4617" width="12.85546875" style="1311" customWidth="1"/>
    <col min="4618" max="4618" width="17.7109375" style="1311" customWidth="1"/>
    <col min="4619" max="4619" width="15.28515625" style="1311" customWidth="1"/>
    <col min="4620" max="4620" width="12.140625" style="1311" bestFit="1" customWidth="1"/>
    <col min="4621" max="4621" width="20.42578125" style="1311" bestFit="1" customWidth="1"/>
    <col min="4622" max="4622" width="31.5703125" style="1311" bestFit="1" customWidth="1"/>
    <col min="4623" max="4623" width="55.140625" style="1311" bestFit="1" customWidth="1"/>
    <col min="4624" max="4624" width="97.5703125" style="1311" bestFit="1" customWidth="1"/>
    <col min="4625" max="4625" width="176" style="1311" bestFit="1" customWidth="1"/>
    <col min="4626" max="4626" width="9.140625" style="1311"/>
    <col min="4627" max="4627" width="9.28515625" style="1311" bestFit="1" customWidth="1"/>
    <col min="4628" max="4865" width="9.140625" style="1311"/>
    <col min="4866" max="4866" width="6.28515625" style="1311" customWidth="1"/>
    <col min="4867" max="4867" width="46.42578125" style="1311" customWidth="1"/>
    <col min="4868" max="4868" width="6.42578125" style="1311" customWidth="1"/>
    <col min="4869" max="4869" width="0" style="1311" hidden="1" customWidth="1"/>
    <col min="4870" max="4870" width="10.140625" style="1311" customWidth="1"/>
    <col min="4871" max="4871" width="11.42578125" style="1311" customWidth="1"/>
    <col min="4872" max="4872" width="14" style="1311" customWidth="1"/>
    <col min="4873" max="4873" width="12.85546875" style="1311" customWidth="1"/>
    <col min="4874" max="4874" width="17.7109375" style="1311" customWidth="1"/>
    <col min="4875" max="4875" width="15.28515625" style="1311" customWidth="1"/>
    <col min="4876" max="4876" width="12.140625" style="1311" bestFit="1" customWidth="1"/>
    <col min="4877" max="4877" width="20.42578125" style="1311" bestFit="1" customWidth="1"/>
    <col min="4878" max="4878" width="31.5703125" style="1311" bestFit="1" customWidth="1"/>
    <col min="4879" max="4879" width="55.140625" style="1311" bestFit="1" customWidth="1"/>
    <col min="4880" max="4880" width="97.5703125" style="1311" bestFit="1" customWidth="1"/>
    <col min="4881" max="4881" width="176" style="1311" bestFit="1" customWidth="1"/>
    <col min="4882" max="4882" width="9.140625" style="1311"/>
    <col min="4883" max="4883" width="9.28515625" style="1311" bestFit="1" customWidth="1"/>
    <col min="4884" max="5121" width="9.140625" style="1311"/>
    <col min="5122" max="5122" width="6.28515625" style="1311" customWidth="1"/>
    <col min="5123" max="5123" width="46.42578125" style="1311" customWidth="1"/>
    <col min="5124" max="5124" width="6.42578125" style="1311" customWidth="1"/>
    <col min="5125" max="5125" width="0" style="1311" hidden="1" customWidth="1"/>
    <col min="5126" max="5126" width="10.140625" style="1311" customWidth="1"/>
    <col min="5127" max="5127" width="11.42578125" style="1311" customWidth="1"/>
    <col min="5128" max="5128" width="14" style="1311" customWidth="1"/>
    <col min="5129" max="5129" width="12.85546875" style="1311" customWidth="1"/>
    <col min="5130" max="5130" width="17.7109375" style="1311" customWidth="1"/>
    <col min="5131" max="5131" width="15.28515625" style="1311" customWidth="1"/>
    <col min="5132" max="5132" width="12.140625" style="1311" bestFit="1" customWidth="1"/>
    <col min="5133" max="5133" width="20.42578125" style="1311" bestFit="1" customWidth="1"/>
    <col min="5134" max="5134" width="31.5703125" style="1311" bestFit="1" customWidth="1"/>
    <col min="5135" max="5135" width="55.140625" style="1311" bestFit="1" customWidth="1"/>
    <col min="5136" max="5136" width="97.5703125" style="1311" bestFit="1" customWidth="1"/>
    <col min="5137" max="5137" width="176" style="1311" bestFit="1" customWidth="1"/>
    <col min="5138" max="5138" width="9.140625" style="1311"/>
    <col min="5139" max="5139" width="9.28515625" style="1311" bestFit="1" customWidth="1"/>
    <col min="5140" max="5377" width="9.140625" style="1311"/>
    <col min="5378" max="5378" width="6.28515625" style="1311" customWidth="1"/>
    <col min="5379" max="5379" width="46.42578125" style="1311" customWidth="1"/>
    <col min="5380" max="5380" width="6.42578125" style="1311" customWidth="1"/>
    <col min="5381" max="5381" width="0" style="1311" hidden="1" customWidth="1"/>
    <col min="5382" max="5382" width="10.140625" style="1311" customWidth="1"/>
    <col min="5383" max="5383" width="11.42578125" style="1311" customWidth="1"/>
    <col min="5384" max="5384" width="14" style="1311" customWidth="1"/>
    <col min="5385" max="5385" width="12.85546875" style="1311" customWidth="1"/>
    <col min="5386" max="5386" width="17.7109375" style="1311" customWidth="1"/>
    <col min="5387" max="5387" width="15.28515625" style="1311" customWidth="1"/>
    <col min="5388" max="5388" width="12.140625" style="1311" bestFit="1" customWidth="1"/>
    <col min="5389" max="5389" width="20.42578125" style="1311" bestFit="1" customWidth="1"/>
    <col min="5390" max="5390" width="31.5703125" style="1311" bestFit="1" customWidth="1"/>
    <col min="5391" max="5391" width="55.140625" style="1311" bestFit="1" customWidth="1"/>
    <col min="5392" max="5392" width="97.5703125" style="1311" bestFit="1" customWidth="1"/>
    <col min="5393" max="5393" width="176" style="1311" bestFit="1" customWidth="1"/>
    <col min="5394" max="5394" width="9.140625" style="1311"/>
    <col min="5395" max="5395" width="9.28515625" style="1311" bestFit="1" customWidth="1"/>
    <col min="5396" max="5633" width="9.140625" style="1311"/>
    <col min="5634" max="5634" width="6.28515625" style="1311" customWidth="1"/>
    <col min="5635" max="5635" width="46.42578125" style="1311" customWidth="1"/>
    <col min="5636" max="5636" width="6.42578125" style="1311" customWidth="1"/>
    <col min="5637" max="5637" width="0" style="1311" hidden="1" customWidth="1"/>
    <col min="5638" max="5638" width="10.140625" style="1311" customWidth="1"/>
    <col min="5639" max="5639" width="11.42578125" style="1311" customWidth="1"/>
    <col min="5640" max="5640" width="14" style="1311" customWidth="1"/>
    <col min="5641" max="5641" width="12.85546875" style="1311" customWidth="1"/>
    <col min="5642" max="5642" width="17.7109375" style="1311" customWidth="1"/>
    <col min="5643" max="5643" width="15.28515625" style="1311" customWidth="1"/>
    <col min="5644" max="5644" width="12.140625" style="1311" bestFit="1" customWidth="1"/>
    <col min="5645" max="5645" width="20.42578125" style="1311" bestFit="1" customWidth="1"/>
    <col min="5646" max="5646" width="31.5703125" style="1311" bestFit="1" customWidth="1"/>
    <col min="5647" max="5647" width="55.140625" style="1311" bestFit="1" customWidth="1"/>
    <col min="5648" max="5648" width="97.5703125" style="1311" bestFit="1" customWidth="1"/>
    <col min="5649" max="5649" width="176" style="1311" bestFit="1" customWidth="1"/>
    <col min="5650" max="5650" width="9.140625" style="1311"/>
    <col min="5651" max="5651" width="9.28515625" style="1311" bestFit="1" customWidth="1"/>
    <col min="5652" max="5889" width="9.140625" style="1311"/>
    <col min="5890" max="5890" width="6.28515625" style="1311" customWidth="1"/>
    <col min="5891" max="5891" width="46.42578125" style="1311" customWidth="1"/>
    <col min="5892" max="5892" width="6.42578125" style="1311" customWidth="1"/>
    <col min="5893" max="5893" width="0" style="1311" hidden="1" customWidth="1"/>
    <col min="5894" max="5894" width="10.140625" style="1311" customWidth="1"/>
    <col min="5895" max="5895" width="11.42578125" style="1311" customWidth="1"/>
    <col min="5896" max="5896" width="14" style="1311" customWidth="1"/>
    <col min="5897" max="5897" width="12.85546875" style="1311" customWidth="1"/>
    <col min="5898" max="5898" width="17.7109375" style="1311" customWidth="1"/>
    <col min="5899" max="5899" width="15.28515625" style="1311" customWidth="1"/>
    <col min="5900" max="5900" width="12.140625" style="1311" bestFit="1" customWidth="1"/>
    <col min="5901" max="5901" width="20.42578125" style="1311" bestFit="1" customWidth="1"/>
    <col min="5902" max="5902" width="31.5703125" style="1311" bestFit="1" customWidth="1"/>
    <col min="5903" max="5903" width="55.140625" style="1311" bestFit="1" customWidth="1"/>
    <col min="5904" max="5904" width="97.5703125" style="1311" bestFit="1" customWidth="1"/>
    <col min="5905" max="5905" width="176" style="1311" bestFit="1" customWidth="1"/>
    <col min="5906" max="5906" width="9.140625" style="1311"/>
    <col min="5907" max="5907" width="9.28515625" style="1311" bestFit="1" customWidth="1"/>
    <col min="5908" max="6145" width="9.140625" style="1311"/>
    <col min="6146" max="6146" width="6.28515625" style="1311" customWidth="1"/>
    <col min="6147" max="6147" width="46.42578125" style="1311" customWidth="1"/>
    <col min="6148" max="6148" width="6.42578125" style="1311" customWidth="1"/>
    <col min="6149" max="6149" width="0" style="1311" hidden="1" customWidth="1"/>
    <col min="6150" max="6150" width="10.140625" style="1311" customWidth="1"/>
    <col min="6151" max="6151" width="11.42578125" style="1311" customWidth="1"/>
    <col min="6152" max="6152" width="14" style="1311" customWidth="1"/>
    <col min="6153" max="6153" width="12.85546875" style="1311" customWidth="1"/>
    <col min="6154" max="6154" width="17.7109375" style="1311" customWidth="1"/>
    <col min="6155" max="6155" width="15.28515625" style="1311" customWidth="1"/>
    <col min="6156" max="6156" width="12.140625" style="1311" bestFit="1" customWidth="1"/>
    <col min="6157" max="6157" width="20.42578125" style="1311" bestFit="1" customWidth="1"/>
    <col min="6158" max="6158" width="31.5703125" style="1311" bestFit="1" customWidth="1"/>
    <col min="6159" max="6159" width="55.140625" style="1311" bestFit="1" customWidth="1"/>
    <col min="6160" max="6160" width="97.5703125" style="1311" bestFit="1" customWidth="1"/>
    <col min="6161" max="6161" width="176" style="1311" bestFit="1" customWidth="1"/>
    <col min="6162" max="6162" width="9.140625" style="1311"/>
    <col min="6163" max="6163" width="9.28515625" style="1311" bestFit="1" customWidth="1"/>
    <col min="6164" max="6401" width="9.140625" style="1311"/>
    <col min="6402" max="6402" width="6.28515625" style="1311" customWidth="1"/>
    <col min="6403" max="6403" width="46.42578125" style="1311" customWidth="1"/>
    <col min="6404" max="6404" width="6.42578125" style="1311" customWidth="1"/>
    <col min="6405" max="6405" width="0" style="1311" hidden="1" customWidth="1"/>
    <col min="6406" max="6406" width="10.140625" style="1311" customWidth="1"/>
    <col min="6407" max="6407" width="11.42578125" style="1311" customWidth="1"/>
    <col min="6408" max="6408" width="14" style="1311" customWidth="1"/>
    <col min="6409" max="6409" width="12.85546875" style="1311" customWidth="1"/>
    <col min="6410" max="6410" width="17.7109375" style="1311" customWidth="1"/>
    <col min="6411" max="6411" width="15.28515625" style="1311" customWidth="1"/>
    <col min="6412" max="6412" width="12.140625" style="1311" bestFit="1" customWidth="1"/>
    <col min="6413" max="6413" width="20.42578125" style="1311" bestFit="1" customWidth="1"/>
    <col min="6414" max="6414" width="31.5703125" style="1311" bestFit="1" customWidth="1"/>
    <col min="6415" max="6415" width="55.140625" style="1311" bestFit="1" customWidth="1"/>
    <col min="6416" max="6416" width="97.5703125" style="1311" bestFit="1" customWidth="1"/>
    <col min="6417" max="6417" width="176" style="1311" bestFit="1" customWidth="1"/>
    <col min="6418" max="6418" width="9.140625" style="1311"/>
    <col min="6419" max="6419" width="9.28515625" style="1311" bestFit="1" customWidth="1"/>
    <col min="6420" max="6657" width="9.140625" style="1311"/>
    <col min="6658" max="6658" width="6.28515625" style="1311" customWidth="1"/>
    <col min="6659" max="6659" width="46.42578125" style="1311" customWidth="1"/>
    <col min="6660" max="6660" width="6.42578125" style="1311" customWidth="1"/>
    <col min="6661" max="6661" width="0" style="1311" hidden="1" customWidth="1"/>
    <col min="6662" max="6662" width="10.140625" style="1311" customWidth="1"/>
    <col min="6663" max="6663" width="11.42578125" style="1311" customWidth="1"/>
    <col min="6664" max="6664" width="14" style="1311" customWidth="1"/>
    <col min="6665" max="6665" width="12.85546875" style="1311" customWidth="1"/>
    <col min="6666" max="6666" width="17.7109375" style="1311" customWidth="1"/>
    <col min="6667" max="6667" width="15.28515625" style="1311" customWidth="1"/>
    <col min="6668" max="6668" width="12.140625" style="1311" bestFit="1" customWidth="1"/>
    <col min="6669" max="6669" width="20.42578125" style="1311" bestFit="1" customWidth="1"/>
    <col min="6670" max="6670" width="31.5703125" style="1311" bestFit="1" customWidth="1"/>
    <col min="6671" max="6671" width="55.140625" style="1311" bestFit="1" customWidth="1"/>
    <col min="6672" max="6672" width="97.5703125" style="1311" bestFit="1" customWidth="1"/>
    <col min="6673" max="6673" width="176" style="1311" bestFit="1" customWidth="1"/>
    <col min="6674" max="6674" width="9.140625" style="1311"/>
    <col min="6675" max="6675" width="9.28515625" style="1311" bestFit="1" customWidth="1"/>
    <col min="6676" max="6913" width="9.140625" style="1311"/>
    <col min="6914" max="6914" width="6.28515625" style="1311" customWidth="1"/>
    <col min="6915" max="6915" width="46.42578125" style="1311" customWidth="1"/>
    <col min="6916" max="6916" width="6.42578125" style="1311" customWidth="1"/>
    <col min="6917" max="6917" width="0" style="1311" hidden="1" customWidth="1"/>
    <col min="6918" max="6918" width="10.140625" style="1311" customWidth="1"/>
    <col min="6919" max="6919" width="11.42578125" style="1311" customWidth="1"/>
    <col min="6920" max="6920" width="14" style="1311" customWidth="1"/>
    <col min="6921" max="6921" width="12.85546875" style="1311" customWidth="1"/>
    <col min="6922" max="6922" width="17.7109375" style="1311" customWidth="1"/>
    <col min="6923" max="6923" width="15.28515625" style="1311" customWidth="1"/>
    <col min="6924" max="6924" width="12.140625" style="1311" bestFit="1" customWidth="1"/>
    <col min="6925" max="6925" width="20.42578125" style="1311" bestFit="1" customWidth="1"/>
    <col min="6926" max="6926" width="31.5703125" style="1311" bestFit="1" customWidth="1"/>
    <col min="6927" max="6927" width="55.140625" style="1311" bestFit="1" customWidth="1"/>
    <col min="6928" max="6928" width="97.5703125" style="1311" bestFit="1" customWidth="1"/>
    <col min="6929" max="6929" width="176" style="1311" bestFit="1" customWidth="1"/>
    <col min="6930" max="6930" width="9.140625" style="1311"/>
    <col min="6931" max="6931" width="9.28515625" style="1311" bestFit="1" customWidth="1"/>
    <col min="6932" max="7169" width="9.140625" style="1311"/>
    <col min="7170" max="7170" width="6.28515625" style="1311" customWidth="1"/>
    <col min="7171" max="7171" width="46.42578125" style="1311" customWidth="1"/>
    <col min="7172" max="7172" width="6.42578125" style="1311" customWidth="1"/>
    <col min="7173" max="7173" width="0" style="1311" hidden="1" customWidth="1"/>
    <col min="7174" max="7174" width="10.140625" style="1311" customWidth="1"/>
    <col min="7175" max="7175" width="11.42578125" style="1311" customWidth="1"/>
    <col min="7176" max="7176" width="14" style="1311" customWidth="1"/>
    <col min="7177" max="7177" width="12.85546875" style="1311" customWidth="1"/>
    <col min="7178" max="7178" width="17.7109375" style="1311" customWidth="1"/>
    <col min="7179" max="7179" width="15.28515625" style="1311" customWidth="1"/>
    <col min="7180" max="7180" width="12.140625" style="1311" bestFit="1" customWidth="1"/>
    <col min="7181" max="7181" width="20.42578125" style="1311" bestFit="1" customWidth="1"/>
    <col min="7182" max="7182" width="31.5703125" style="1311" bestFit="1" customWidth="1"/>
    <col min="7183" max="7183" width="55.140625" style="1311" bestFit="1" customWidth="1"/>
    <col min="7184" max="7184" width="97.5703125" style="1311" bestFit="1" customWidth="1"/>
    <col min="7185" max="7185" width="176" style="1311" bestFit="1" customWidth="1"/>
    <col min="7186" max="7186" width="9.140625" style="1311"/>
    <col min="7187" max="7187" width="9.28515625" style="1311" bestFit="1" customWidth="1"/>
    <col min="7188" max="7425" width="9.140625" style="1311"/>
    <col min="7426" max="7426" width="6.28515625" style="1311" customWidth="1"/>
    <col min="7427" max="7427" width="46.42578125" style="1311" customWidth="1"/>
    <col min="7428" max="7428" width="6.42578125" style="1311" customWidth="1"/>
    <col min="7429" max="7429" width="0" style="1311" hidden="1" customWidth="1"/>
    <col min="7430" max="7430" width="10.140625" style="1311" customWidth="1"/>
    <col min="7431" max="7431" width="11.42578125" style="1311" customWidth="1"/>
    <col min="7432" max="7432" width="14" style="1311" customWidth="1"/>
    <col min="7433" max="7433" width="12.85546875" style="1311" customWidth="1"/>
    <col min="7434" max="7434" width="17.7109375" style="1311" customWidth="1"/>
    <col min="7435" max="7435" width="15.28515625" style="1311" customWidth="1"/>
    <col min="7436" max="7436" width="12.140625" style="1311" bestFit="1" customWidth="1"/>
    <col min="7437" max="7437" width="20.42578125" style="1311" bestFit="1" customWidth="1"/>
    <col min="7438" max="7438" width="31.5703125" style="1311" bestFit="1" customWidth="1"/>
    <col min="7439" max="7439" width="55.140625" style="1311" bestFit="1" customWidth="1"/>
    <col min="7440" max="7440" width="97.5703125" style="1311" bestFit="1" customWidth="1"/>
    <col min="7441" max="7441" width="176" style="1311" bestFit="1" customWidth="1"/>
    <col min="7442" max="7442" width="9.140625" style="1311"/>
    <col min="7443" max="7443" width="9.28515625" style="1311" bestFit="1" customWidth="1"/>
    <col min="7444" max="7681" width="9.140625" style="1311"/>
    <col min="7682" max="7682" width="6.28515625" style="1311" customWidth="1"/>
    <col min="7683" max="7683" width="46.42578125" style="1311" customWidth="1"/>
    <col min="7684" max="7684" width="6.42578125" style="1311" customWidth="1"/>
    <col min="7685" max="7685" width="0" style="1311" hidden="1" customWidth="1"/>
    <col min="7686" max="7686" width="10.140625" style="1311" customWidth="1"/>
    <col min="7687" max="7687" width="11.42578125" style="1311" customWidth="1"/>
    <col min="7688" max="7688" width="14" style="1311" customWidth="1"/>
    <col min="7689" max="7689" width="12.85546875" style="1311" customWidth="1"/>
    <col min="7690" max="7690" width="17.7109375" style="1311" customWidth="1"/>
    <col min="7691" max="7691" width="15.28515625" style="1311" customWidth="1"/>
    <col min="7692" max="7692" width="12.140625" style="1311" bestFit="1" customWidth="1"/>
    <col min="7693" max="7693" width="20.42578125" style="1311" bestFit="1" customWidth="1"/>
    <col min="7694" max="7694" width="31.5703125" style="1311" bestFit="1" customWidth="1"/>
    <col min="7695" max="7695" width="55.140625" style="1311" bestFit="1" customWidth="1"/>
    <col min="7696" max="7696" width="97.5703125" style="1311" bestFit="1" customWidth="1"/>
    <col min="7697" max="7697" width="176" style="1311" bestFit="1" customWidth="1"/>
    <col min="7698" max="7698" width="9.140625" style="1311"/>
    <col min="7699" max="7699" width="9.28515625" style="1311" bestFit="1" customWidth="1"/>
    <col min="7700" max="7937" width="9.140625" style="1311"/>
    <col min="7938" max="7938" width="6.28515625" style="1311" customWidth="1"/>
    <col min="7939" max="7939" width="46.42578125" style="1311" customWidth="1"/>
    <col min="7940" max="7940" width="6.42578125" style="1311" customWidth="1"/>
    <col min="7941" max="7941" width="0" style="1311" hidden="1" customWidth="1"/>
    <col min="7942" max="7942" width="10.140625" style="1311" customWidth="1"/>
    <col min="7943" max="7943" width="11.42578125" style="1311" customWidth="1"/>
    <col min="7944" max="7944" width="14" style="1311" customWidth="1"/>
    <col min="7945" max="7945" width="12.85546875" style="1311" customWidth="1"/>
    <col min="7946" max="7946" width="17.7109375" style="1311" customWidth="1"/>
    <col min="7947" max="7947" width="15.28515625" style="1311" customWidth="1"/>
    <col min="7948" max="7948" width="12.140625" style="1311" bestFit="1" customWidth="1"/>
    <col min="7949" max="7949" width="20.42578125" style="1311" bestFit="1" customWidth="1"/>
    <col min="7950" max="7950" width="31.5703125" style="1311" bestFit="1" customWidth="1"/>
    <col min="7951" max="7951" width="55.140625" style="1311" bestFit="1" customWidth="1"/>
    <col min="7952" max="7952" width="97.5703125" style="1311" bestFit="1" customWidth="1"/>
    <col min="7953" max="7953" width="176" style="1311" bestFit="1" customWidth="1"/>
    <col min="7954" max="7954" width="9.140625" style="1311"/>
    <col min="7955" max="7955" width="9.28515625" style="1311" bestFit="1" customWidth="1"/>
    <col min="7956" max="8193" width="9.140625" style="1311"/>
    <col min="8194" max="8194" width="6.28515625" style="1311" customWidth="1"/>
    <col min="8195" max="8195" width="46.42578125" style="1311" customWidth="1"/>
    <col min="8196" max="8196" width="6.42578125" style="1311" customWidth="1"/>
    <col min="8197" max="8197" width="0" style="1311" hidden="1" customWidth="1"/>
    <col min="8198" max="8198" width="10.140625" style="1311" customWidth="1"/>
    <col min="8199" max="8199" width="11.42578125" style="1311" customWidth="1"/>
    <col min="8200" max="8200" width="14" style="1311" customWidth="1"/>
    <col min="8201" max="8201" width="12.85546875" style="1311" customWidth="1"/>
    <col min="8202" max="8202" width="17.7109375" style="1311" customWidth="1"/>
    <col min="8203" max="8203" width="15.28515625" style="1311" customWidth="1"/>
    <col min="8204" max="8204" width="12.140625" style="1311" bestFit="1" customWidth="1"/>
    <col min="8205" max="8205" width="20.42578125" style="1311" bestFit="1" customWidth="1"/>
    <col min="8206" max="8206" width="31.5703125" style="1311" bestFit="1" customWidth="1"/>
    <col min="8207" max="8207" width="55.140625" style="1311" bestFit="1" customWidth="1"/>
    <col min="8208" max="8208" width="97.5703125" style="1311" bestFit="1" customWidth="1"/>
    <col min="8209" max="8209" width="176" style="1311" bestFit="1" customWidth="1"/>
    <col min="8210" max="8210" width="9.140625" style="1311"/>
    <col min="8211" max="8211" width="9.28515625" style="1311" bestFit="1" customWidth="1"/>
    <col min="8212" max="8449" width="9.140625" style="1311"/>
    <col min="8450" max="8450" width="6.28515625" style="1311" customWidth="1"/>
    <col min="8451" max="8451" width="46.42578125" style="1311" customWidth="1"/>
    <col min="8452" max="8452" width="6.42578125" style="1311" customWidth="1"/>
    <col min="8453" max="8453" width="0" style="1311" hidden="1" customWidth="1"/>
    <col min="8454" max="8454" width="10.140625" style="1311" customWidth="1"/>
    <col min="8455" max="8455" width="11.42578125" style="1311" customWidth="1"/>
    <col min="8456" max="8456" width="14" style="1311" customWidth="1"/>
    <col min="8457" max="8457" width="12.85546875" style="1311" customWidth="1"/>
    <col min="8458" max="8458" width="17.7109375" style="1311" customWidth="1"/>
    <col min="8459" max="8459" width="15.28515625" style="1311" customWidth="1"/>
    <col min="8460" max="8460" width="12.140625" style="1311" bestFit="1" customWidth="1"/>
    <col min="8461" max="8461" width="20.42578125" style="1311" bestFit="1" customWidth="1"/>
    <col min="8462" max="8462" width="31.5703125" style="1311" bestFit="1" customWidth="1"/>
    <col min="8463" max="8463" width="55.140625" style="1311" bestFit="1" customWidth="1"/>
    <col min="8464" max="8464" width="97.5703125" style="1311" bestFit="1" customWidth="1"/>
    <col min="8465" max="8465" width="176" style="1311" bestFit="1" customWidth="1"/>
    <col min="8466" max="8466" width="9.140625" style="1311"/>
    <col min="8467" max="8467" width="9.28515625" style="1311" bestFit="1" customWidth="1"/>
    <col min="8468" max="8705" width="9.140625" style="1311"/>
    <col min="8706" max="8706" width="6.28515625" style="1311" customWidth="1"/>
    <col min="8707" max="8707" width="46.42578125" style="1311" customWidth="1"/>
    <col min="8708" max="8708" width="6.42578125" style="1311" customWidth="1"/>
    <col min="8709" max="8709" width="0" style="1311" hidden="1" customWidth="1"/>
    <col min="8710" max="8710" width="10.140625" style="1311" customWidth="1"/>
    <col min="8711" max="8711" width="11.42578125" style="1311" customWidth="1"/>
    <col min="8712" max="8712" width="14" style="1311" customWidth="1"/>
    <col min="8713" max="8713" width="12.85546875" style="1311" customWidth="1"/>
    <col min="8714" max="8714" width="17.7109375" style="1311" customWidth="1"/>
    <col min="8715" max="8715" width="15.28515625" style="1311" customWidth="1"/>
    <col min="8716" max="8716" width="12.140625" style="1311" bestFit="1" customWidth="1"/>
    <col min="8717" max="8717" width="20.42578125" style="1311" bestFit="1" customWidth="1"/>
    <col min="8718" max="8718" width="31.5703125" style="1311" bestFit="1" customWidth="1"/>
    <col min="8719" max="8719" width="55.140625" style="1311" bestFit="1" customWidth="1"/>
    <col min="8720" max="8720" width="97.5703125" style="1311" bestFit="1" customWidth="1"/>
    <col min="8721" max="8721" width="176" style="1311" bestFit="1" customWidth="1"/>
    <col min="8722" max="8722" width="9.140625" style="1311"/>
    <col min="8723" max="8723" width="9.28515625" style="1311" bestFit="1" customWidth="1"/>
    <col min="8724" max="8961" width="9.140625" style="1311"/>
    <col min="8962" max="8962" width="6.28515625" style="1311" customWidth="1"/>
    <col min="8963" max="8963" width="46.42578125" style="1311" customWidth="1"/>
    <col min="8964" max="8964" width="6.42578125" style="1311" customWidth="1"/>
    <col min="8965" max="8965" width="0" style="1311" hidden="1" customWidth="1"/>
    <col min="8966" max="8966" width="10.140625" style="1311" customWidth="1"/>
    <col min="8967" max="8967" width="11.42578125" style="1311" customWidth="1"/>
    <col min="8968" max="8968" width="14" style="1311" customWidth="1"/>
    <col min="8969" max="8969" width="12.85546875" style="1311" customWidth="1"/>
    <col min="8970" max="8970" width="17.7109375" style="1311" customWidth="1"/>
    <col min="8971" max="8971" width="15.28515625" style="1311" customWidth="1"/>
    <col min="8972" max="8972" width="12.140625" style="1311" bestFit="1" customWidth="1"/>
    <col min="8973" max="8973" width="20.42578125" style="1311" bestFit="1" customWidth="1"/>
    <col min="8974" max="8974" width="31.5703125" style="1311" bestFit="1" customWidth="1"/>
    <col min="8975" max="8975" width="55.140625" style="1311" bestFit="1" customWidth="1"/>
    <col min="8976" max="8976" width="97.5703125" style="1311" bestFit="1" customWidth="1"/>
    <col min="8977" max="8977" width="176" style="1311" bestFit="1" customWidth="1"/>
    <col min="8978" max="8978" width="9.140625" style="1311"/>
    <col min="8979" max="8979" width="9.28515625" style="1311" bestFit="1" customWidth="1"/>
    <col min="8980" max="9217" width="9.140625" style="1311"/>
    <col min="9218" max="9218" width="6.28515625" style="1311" customWidth="1"/>
    <col min="9219" max="9219" width="46.42578125" style="1311" customWidth="1"/>
    <col min="9220" max="9220" width="6.42578125" style="1311" customWidth="1"/>
    <col min="9221" max="9221" width="0" style="1311" hidden="1" customWidth="1"/>
    <col min="9222" max="9222" width="10.140625" style="1311" customWidth="1"/>
    <col min="9223" max="9223" width="11.42578125" style="1311" customWidth="1"/>
    <col min="9224" max="9224" width="14" style="1311" customWidth="1"/>
    <col min="9225" max="9225" width="12.85546875" style="1311" customWidth="1"/>
    <col min="9226" max="9226" width="17.7109375" style="1311" customWidth="1"/>
    <col min="9227" max="9227" width="15.28515625" style="1311" customWidth="1"/>
    <col min="9228" max="9228" width="12.140625" style="1311" bestFit="1" customWidth="1"/>
    <col min="9229" max="9229" width="20.42578125" style="1311" bestFit="1" customWidth="1"/>
    <col min="9230" max="9230" width="31.5703125" style="1311" bestFit="1" customWidth="1"/>
    <col min="9231" max="9231" width="55.140625" style="1311" bestFit="1" customWidth="1"/>
    <col min="9232" max="9232" width="97.5703125" style="1311" bestFit="1" customWidth="1"/>
    <col min="9233" max="9233" width="176" style="1311" bestFit="1" customWidth="1"/>
    <col min="9234" max="9234" width="9.140625" style="1311"/>
    <col min="9235" max="9235" width="9.28515625" style="1311" bestFit="1" customWidth="1"/>
    <col min="9236" max="9473" width="9.140625" style="1311"/>
    <col min="9474" max="9474" width="6.28515625" style="1311" customWidth="1"/>
    <col min="9475" max="9475" width="46.42578125" style="1311" customWidth="1"/>
    <col min="9476" max="9476" width="6.42578125" style="1311" customWidth="1"/>
    <col min="9477" max="9477" width="0" style="1311" hidden="1" customWidth="1"/>
    <col min="9478" max="9478" width="10.140625" style="1311" customWidth="1"/>
    <col min="9479" max="9479" width="11.42578125" style="1311" customWidth="1"/>
    <col min="9480" max="9480" width="14" style="1311" customWidth="1"/>
    <col min="9481" max="9481" width="12.85546875" style="1311" customWidth="1"/>
    <col min="9482" max="9482" width="17.7109375" style="1311" customWidth="1"/>
    <col min="9483" max="9483" width="15.28515625" style="1311" customWidth="1"/>
    <col min="9484" max="9484" width="12.140625" style="1311" bestFit="1" customWidth="1"/>
    <col min="9485" max="9485" width="20.42578125" style="1311" bestFit="1" customWidth="1"/>
    <col min="9486" max="9486" width="31.5703125" style="1311" bestFit="1" customWidth="1"/>
    <col min="9487" max="9487" width="55.140625" style="1311" bestFit="1" customWidth="1"/>
    <col min="9488" max="9488" width="97.5703125" style="1311" bestFit="1" customWidth="1"/>
    <col min="9489" max="9489" width="176" style="1311" bestFit="1" customWidth="1"/>
    <col min="9490" max="9490" width="9.140625" style="1311"/>
    <col min="9491" max="9491" width="9.28515625" style="1311" bestFit="1" customWidth="1"/>
    <col min="9492" max="9729" width="9.140625" style="1311"/>
    <col min="9730" max="9730" width="6.28515625" style="1311" customWidth="1"/>
    <col min="9731" max="9731" width="46.42578125" style="1311" customWidth="1"/>
    <col min="9732" max="9732" width="6.42578125" style="1311" customWidth="1"/>
    <col min="9733" max="9733" width="0" style="1311" hidden="1" customWidth="1"/>
    <col min="9734" max="9734" width="10.140625" style="1311" customWidth="1"/>
    <col min="9735" max="9735" width="11.42578125" style="1311" customWidth="1"/>
    <col min="9736" max="9736" width="14" style="1311" customWidth="1"/>
    <col min="9737" max="9737" width="12.85546875" style="1311" customWidth="1"/>
    <col min="9738" max="9738" width="17.7109375" style="1311" customWidth="1"/>
    <col min="9739" max="9739" width="15.28515625" style="1311" customWidth="1"/>
    <col min="9740" max="9740" width="12.140625" style="1311" bestFit="1" customWidth="1"/>
    <col min="9741" max="9741" width="20.42578125" style="1311" bestFit="1" customWidth="1"/>
    <col min="9742" max="9742" width="31.5703125" style="1311" bestFit="1" customWidth="1"/>
    <col min="9743" max="9743" width="55.140625" style="1311" bestFit="1" customWidth="1"/>
    <col min="9744" max="9744" width="97.5703125" style="1311" bestFit="1" customWidth="1"/>
    <col min="9745" max="9745" width="176" style="1311" bestFit="1" customWidth="1"/>
    <col min="9746" max="9746" width="9.140625" style="1311"/>
    <col min="9747" max="9747" width="9.28515625" style="1311" bestFit="1" customWidth="1"/>
    <col min="9748" max="9985" width="9.140625" style="1311"/>
    <col min="9986" max="9986" width="6.28515625" style="1311" customWidth="1"/>
    <col min="9987" max="9987" width="46.42578125" style="1311" customWidth="1"/>
    <col min="9988" max="9988" width="6.42578125" style="1311" customWidth="1"/>
    <col min="9989" max="9989" width="0" style="1311" hidden="1" customWidth="1"/>
    <col min="9990" max="9990" width="10.140625" style="1311" customWidth="1"/>
    <col min="9991" max="9991" width="11.42578125" style="1311" customWidth="1"/>
    <col min="9992" max="9992" width="14" style="1311" customWidth="1"/>
    <col min="9993" max="9993" width="12.85546875" style="1311" customWidth="1"/>
    <col min="9994" max="9994" width="17.7109375" style="1311" customWidth="1"/>
    <col min="9995" max="9995" width="15.28515625" style="1311" customWidth="1"/>
    <col min="9996" max="9996" width="12.140625" style="1311" bestFit="1" customWidth="1"/>
    <col min="9997" max="9997" width="20.42578125" style="1311" bestFit="1" customWidth="1"/>
    <col min="9998" max="9998" width="31.5703125" style="1311" bestFit="1" customWidth="1"/>
    <col min="9999" max="9999" width="55.140625" style="1311" bestFit="1" customWidth="1"/>
    <col min="10000" max="10000" width="97.5703125" style="1311" bestFit="1" customWidth="1"/>
    <col min="10001" max="10001" width="176" style="1311" bestFit="1" customWidth="1"/>
    <col min="10002" max="10002" width="9.140625" style="1311"/>
    <col min="10003" max="10003" width="9.28515625" style="1311" bestFit="1" customWidth="1"/>
    <col min="10004" max="10241" width="9.140625" style="1311"/>
    <col min="10242" max="10242" width="6.28515625" style="1311" customWidth="1"/>
    <col min="10243" max="10243" width="46.42578125" style="1311" customWidth="1"/>
    <col min="10244" max="10244" width="6.42578125" style="1311" customWidth="1"/>
    <col min="10245" max="10245" width="0" style="1311" hidden="1" customWidth="1"/>
    <col min="10246" max="10246" width="10.140625" style="1311" customWidth="1"/>
    <col min="10247" max="10247" width="11.42578125" style="1311" customWidth="1"/>
    <col min="10248" max="10248" width="14" style="1311" customWidth="1"/>
    <col min="10249" max="10249" width="12.85546875" style="1311" customWidth="1"/>
    <col min="10250" max="10250" width="17.7109375" style="1311" customWidth="1"/>
    <col min="10251" max="10251" width="15.28515625" style="1311" customWidth="1"/>
    <col min="10252" max="10252" width="12.140625" style="1311" bestFit="1" customWidth="1"/>
    <col min="10253" max="10253" width="20.42578125" style="1311" bestFit="1" customWidth="1"/>
    <col min="10254" max="10254" width="31.5703125" style="1311" bestFit="1" customWidth="1"/>
    <col min="10255" max="10255" width="55.140625" style="1311" bestFit="1" customWidth="1"/>
    <col min="10256" max="10256" width="97.5703125" style="1311" bestFit="1" customWidth="1"/>
    <col min="10257" max="10257" width="176" style="1311" bestFit="1" customWidth="1"/>
    <col min="10258" max="10258" width="9.140625" style="1311"/>
    <col min="10259" max="10259" width="9.28515625" style="1311" bestFit="1" customWidth="1"/>
    <col min="10260" max="10497" width="9.140625" style="1311"/>
    <col min="10498" max="10498" width="6.28515625" style="1311" customWidth="1"/>
    <col min="10499" max="10499" width="46.42578125" style="1311" customWidth="1"/>
    <col min="10500" max="10500" width="6.42578125" style="1311" customWidth="1"/>
    <col min="10501" max="10501" width="0" style="1311" hidden="1" customWidth="1"/>
    <col min="10502" max="10502" width="10.140625" style="1311" customWidth="1"/>
    <col min="10503" max="10503" width="11.42578125" style="1311" customWidth="1"/>
    <col min="10504" max="10504" width="14" style="1311" customWidth="1"/>
    <col min="10505" max="10505" width="12.85546875" style="1311" customWidth="1"/>
    <col min="10506" max="10506" width="17.7109375" style="1311" customWidth="1"/>
    <col min="10507" max="10507" width="15.28515625" style="1311" customWidth="1"/>
    <col min="10508" max="10508" width="12.140625" style="1311" bestFit="1" customWidth="1"/>
    <col min="10509" max="10509" width="20.42578125" style="1311" bestFit="1" customWidth="1"/>
    <col min="10510" max="10510" width="31.5703125" style="1311" bestFit="1" customWidth="1"/>
    <col min="10511" max="10511" width="55.140625" style="1311" bestFit="1" customWidth="1"/>
    <col min="10512" max="10512" width="97.5703125" style="1311" bestFit="1" customWidth="1"/>
    <col min="10513" max="10513" width="176" style="1311" bestFit="1" customWidth="1"/>
    <col min="10514" max="10514" width="9.140625" style="1311"/>
    <col min="10515" max="10515" width="9.28515625" style="1311" bestFit="1" customWidth="1"/>
    <col min="10516" max="10753" width="9.140625" style="1311"/>
    <col min="10754" max="10754" width="6.28515625" style="1311" customWidth="1"/>
    <col min="10755" max="10755" width="46.42578125" style="1311" customWidth="1"/>
    <col min="10756" max="10756" width="6.42578125" style="1311" customWidth="1"/>
    <col min="10757" max="10757" width="0" style="1311" hidden="1" customWidth="1"/>
    <col min="10758" max="10758" width="10.140625" style="1311" customWidth="1"/>
    <col min="10759" max="10759" width="11.42578125" style="1311" customWidth="1"/>
    <col min="10760" max="10760" width="14" style="1311" customWidth="1"/>
    <col min="10761" max="10761" width="12.85546875" style="1311" customWidth="1"/>
    <col min="10762" max="10762" width="17.7109375" style="1311" customWidth="1"/>
    <col min="10763" max="10763" width="15.28515625" style="1311" customWidth="1"/>
    <col min="10764" max="10764" width="12.140625" style="1311" bestFit="1" customWidth="1"/>
    <col min="10765" max="10765" width="20.42578125" style="1311" bestFit="1" customWidth="1"/>
    <col min="10766" max="10766" width="31.5703125" style="1311" bestFit="1" customWidth="1"/>
    <col min="10767" max="10767" width="55.140625" style="1311" bestFit="1" customWidth="1"/>
    <col min="10768" max="10768" width="97.5703125" style="1311" bestFit="1" customWidth="1"/>
    <col min="10769" max="10769" width="176" style="1311" bestFit="1" customWidth="1"/>
    <col min="10770" max="10770" width="9.140625" style="1311"/>
    <col min="10771" max="10771" width="9.28515625" style="1311" bestFit="1" customWidth="1"/>
    <col min="10772" max="11009" width="9.140625" style="1311"/>
    <col min="11010" max="11010" width="6.28515625" style="1311" customWidth="1"/>
    <col min="11011" max="11011" width="46.42578125" style="1311" customWidth="1"/>
    <col min="11012" max="11012" width="6.42578125" style="1311" customWidth="1"/>
    <col min="11013" max="11013" width="0" style="1311" hidden="1" customWidth="1"/>
    <col min="11014" max="11014" width="10.140625" style="1311" customWidth="1"/>
    <col min="11015" max="11015" width="11.42578125" style="1311" customWidth="1"/>
    <col min="11016" max="11016" width="14" style="1311" customWidth="1"/>
    <col min="11017" max="11017" width="12.85546875" style="1311" customWidth="1"/>
    <col min="11018" max="11018" width="17.7109375" style="1311" customWidth="1"/>
    <col min="11019" max="11019" width="15.28515625" style="1311" customWidth="1"/>
    <col min="11020" max="11020" width="12.140625" style="1311" bestFit="1" customWidth="1"/>
    <col min="11021" max="11021" width="20.42578125" style="1311" bestFit="1" customWidth="1"/>
    <col min="11022" max="11022" width="31.5703125" style="1311" bestFit="1" customWidth="1"/>
    <col min="11023" max="11023" width="55.140625" style="1311" bestFit="1" customWidth="1"/>
    <col min="11024" max="11024" width="97.5703125" style="1311" bestFit="1" customWidth="1"/>
    <col min="11025" max="11025" width="176" style="1311" bestFit="1" customWidth="1"/>
    <col min="11026" max="11026" width="9.140625" style="1311"/>
    <col min="11027" max="11027" width="9.28515625" style="1311" bestFit="1" customWidth="1"/>
    <col min="11028" max="11265" width="9.140625" style="1311"/>
    <col min="11266" max="11266" width="6.28515625" style="1311" customWidth="1"/>
    <col min="11267" max="11267" width="46.42578125" style="1311" customWidth="1"/>
    <col min="11268" max="11268" width="6.42578125" style="1311" customWidth="1"/>
    <col min="11269" max="11269" width="0" style="1311" hidden="1" customWidth="1"/>
    <col min="11270" max="11270" width="10.140625" style="1311" customWidth="1"/>
    <col min="11271" max="11271" width="11.42578125" style="1311" customWidth="1"/>
    <col min="11272" max="11272" width="14" style="1311" customWidth="1"/>
    <col min="11273" max="11273" width="12.85546875" style="1311" customWidth="1"/>
    <col min="11274" max="11274" width="17.7109375" style="1311" customWidth="1"/>
    <col min="11275" max="11275" width="15.28515625" style="1311" customWidth="1"/>
    <col min="11276" max="11276" width="12.140625" style="1311" bestFit="1" customWidth="1"/>
    <col min="11277" max="11277" width="20.42578125" style="1311" bestFit="1" customWidth="1"/>
    <col min="11278" max="11278" width="31.5703125" style="1311" bestFit="1" customWidth="1"/>
    <col min="11279" max="11279" width="55.140625" style="1311" bestFit="1" customWidth="1"/>
    <col min="11280" max="11280" width="97.5703125" style="1311" bestFit="1" customWidth="1"/>
    <col min="11281" max="11281" width="176" style="1311" bestFit="1" customWidth="1"/>
    <col min="11282" max="11282" width="9.140625" style="1311"/>
    <col min="11283" max="11283" width="9.28515625" style="1311" bestFit="1" customWidth="1"/>
    <col min="11284" max="11521" width="9.140625" style="1311"/>
    <col min="11522" max="11522" width="6.28515625" style="1311" customWidth="1"/>
    <col min="11523" max="11523" width="46.42578125" style="1311" customWidth="1"/>
    <col min="11524" max="11524" width="6.42578125" style="1311" customWidth="1"/>
    <col min="11525" max="11525" width="0" style="1311" hidden="1" customWidth="1"/>
    <col min="11526" max="11526" width="10.140625" style="1311" customWidth="1"/>
    <col min="11527" max="11527" width="11.42578125" style="1311" customWidth="1"/>
    <col min="11528" max="11528" width="14" style="1311" customWidth="1"/>
    <col min="11529" max="11529" width="12.85546875" style="1311" customWidth="1"/>
    <col min="11530" max="11530" width="17.7109375" style="1311" customWidth="1"/>
    <col min="11531" max="11531" width="15.28515625" style="1311" customWidth="1"/>
    <col min="11532" max="11532" width="12.140625" style="1311" bestFit="1" customWidth="1"/>
    <col min="11533" max="11533" width="20.42578125" style="1311" bestFit="1" customWidth="1"/>
    <col min="11534" max="11534" width="31.5703125" style="1311" bestFit="1" customWidth="1"/>
    <col min="11535" max="11535" width="55.140625" style="1311" bestFit="1" customWidth="1"/>
    <col min="11536" max="11536" width="97.5703125" style="1311" bestFit="1" customWidth="1"/>
    <col min="11537" max="11537" width="176" style="1311" bestFit="1" customWidth="1"/>
    <col min="11538" max="11538" width="9.140625" style="1311"/>
    <col min="11539" max="11539" width="9.28515625" style="1311" bestFit="1" customWidth="1"/>
    <col min="11540" max="11777" width="9.140625" style="1311"/>
    <col min="11778" max="11778" width="6.28515625" style="1311" customWidth="1"/>
    <col min="11779" max="11779" width="46.42578125" style="1311" customWidth="1"/>
    <col min="11780" max="11780" width="6.42578125" style="1311" customWidth="1"/>
    <col min="11781" max="11781" width="0" style="1311" hidden="1" customWidth="1"/>
    <col min="11782" max="11782" width="10.140625" style="1311" customWidth="1"/>
    <col min="11783" max="11783" width="11.42578125" style="1311" customWidth="1"/>
    <col min="11784" max="11784" width="14" style="1311" customWidth="1"/>
    <col min="11785" max="11785" width="12.85546875" style="1311" customWidth="1"/>
    <col min="11786" max="11786" width="17.7109375" style="1311" customWidth="1"/>
    <col min="11787" max="11787" width="15.28515625" style="1311" customWidth="1"/>
    <col min="11788" max="11788" width="12.140625" style="1311" bestFit="1" customWidth="1"/>
    <col min="11789" max="11789" width="20.42578125" style="1311" bestFit="1" customWidth="1"/>
    <col min="11790" max="11790" width="31.5703125" style="1311" bestFit="1" customWidth="1"/>
    <col min="11791" max="11791" width="55.140625" style="1311" bestFit="1" customWidth="1"/>
    <col min="11792" max="11792" width="97.5703125" style="1311" bestFit="1" customWidth="1"/>
    <col min="11793" max="11793" width="176" style="1311" bestFit="1" customWidth="1"/>
    <col min="11794" max="11794" width="9.140625" style="1311"/>
    <col min="11795" max="11795" width="9.28515625" style="1311" bestFit="1" customWidth="1"/>
    <col min="11796" max="12033" width="9.140625" style="1311"/>
    <col min="12034" max="12034" width="6.28515625" style="1311" customWidth="1"/>
    <col min="12035" max="12035" width="46.42578125" style="1311" customWidth="1"/>
    <col min="12036" max="12036" width="6.42578125" style="1311" customWidth="1"/>
    <col min="12037" max="12037" width="0" style="1311" hidden="1" customWidth="1"/>
    <col min="12038" max="12038" width="10.140625" style="1311" customWidth="1"/>
    <col min="12039" max="12039" width="11.42578125" style="1311" customWidth="1"/>
    <col min="12040" max="12040" width="14" style="1311" customWidth="1"/>
    <col min="12041" max="12041" width="12.85546875" style="1311" customWidth="1"/>
    <col min="12042" max="12042" width="17.7109375" style="1311" customWidth="1"/>
    <col min="12043" max="12043" width="15.28515625" style="1311" customWidth="1"/>
    <col min="12044" max="12044" width="12.140625" style="1311" bestFit="1" customWidth="1"/>
    <col min="12045" max="12045" width="20.42578125" style="1311" bestFit="1" customWidth="1"/>
    <col min="12046" max="12046" width="31.5703125" style="1311" bestFit="1" customWidth="1"/>
    <col min="12047" max="12047" width="55.140625" style="1311" bestFit="1" customWidth="1"/>
    <col min="12048" max="12048" width="97.5703125" style="1311" bestFit="1" customWidth="1"/>
    <col min="12049" max="12049" width="176" style="1311" bestFit="1" customWidth="1"/>
    <col min="12050" max="12050" width="9.140625" style="1311"/>
    <col min="12051" max="12051" width="9.28515625" style="1311" bestFit="1" customWidth="1"/>
    <col min="12052" max="12289" width="9.140625" style="1311"/>
    <col min="12290" max="12290" width="6.28515625" style="1311" customWidth="1"/>
    <col min="12291" max="12291" width="46.42578125" style="1311" customWidth="1"/>
    <col min="12292" max="12292" width="6.42578125" style="1311" customWidth="1"/>
    <col min="12293" max="12293" width="0" style="1311" hidden="1" customWidth="1"/>
    <col min="12294" max="12294" width="10.140625" style="1311" customWidth="1"/>
    <col min="12295" max="12295" width="11.42578125" style="1311" customWidth="1"/>
    <col min="12296" max="12296" width="14" style="1311" customWidth="1"/>
    <col min="12297" max="12297" width="12.85546875" style="1311" customWidth="1"/>
    <col min="12298" max="12298" width="17.7109375" style="1311" customWidth="1"/>
    <col min="12299" max="12299" width="15.28515625" style="1311" customWidth="1"/>
    <col min="12300" max="12300" width="12.140625" style="1311" bestFit="1" customWidth="1"/>
    <col min="12301" max="12301" width="20.42578125" style="1311" bestFit="1" customWidth="1"/>
    <col min="12302" max="12302" width="31.5703125" style="1311" bestFit="1" customWidth="1"/>
    <col min="12303" max="12303" width="55.140625" style="1311" bestFit="1" customWidth="1"/>
    <col min="12304" max="12304" width="97.5703125" style="1311" bestFit="1" customWidth="1"/>
    <col min="12305" max="12305" width="176" style="1311" bestFit="1" customWidth="1"/>
    <col min="12306" max="12306" width="9.140625" style="1311"/>
    <col min="12307" max="12307" width="9.28515625" style="1311" bestFit="1" customWidth="1"/>
    <col min="12308" max="12545" width="9.140625" style="1311"/>
    <col min="12546" max="12546" width="6.28515625" style="1311" customWidth="1"/>
    <col min="12547" max="12547" width="46.42578125" style="1311" customWidth="1"/>
    <col min="12548" max="12548" width="6.42578125" style="1311" customWidth="1"/>
    <col min="12549" max="12549" width="0" style="1311" hidden="1" customWidth="1"/>
    <col min="12550" max="12550" width="10.140625" style="1311" customWidth="1"/>
    <col min="12551" max="12551" width="11.42578125" style="1311" customWidth="1"/>
    <col min="12552" max="12552" width="14" style="1311" customWidth="1"/>
    <col min="12553" max="12553" width="12.85546875" style="1311" customWidth="1"/>
    <col min="12554" max="12554" width="17.7109375" style="1311" customWidth="1"/>
    <col min="12555" max="12555" width="15.28515625" style="1311" customWidth="1"/>
    <col min="12556" max="12556" width="12.140625" style="1311" bestFit="1" customWidth="1"/>
    <col min="12557" max="12557" width="20.42578125" style="1311" bestFit="1" customWidth="1"/>
    <col min="12558" max="12558" width="31.5703125" style="1311" bestFit="1" customWidth="1"/>
    <col min="12559" max="12559" width="55.140625" style="1311" bestFit="1" customWidth="1"/>
    <col min="12560" max="12560" width="97.5703125" style="1311" bestFit="1" customWidth="1"/>
    <col min="12561" max="12561" width="176" style="1311" bestFit="1" customWidth="1"/>
    <col min="12562" max="12562" width="9.140625" style="1311"/>
    <col min="12563" max="12563" width="9.28515625" style="1311" bestFit="1" customWidth="1"/>
    <col min="12564" max="12801" width="9.140625" style="1311"/>
    <col min="12802" max="12802" width="6.28515625" style="1311" customWidth="1"/>
    <col min="12803" max="12803" width="46.42578125" style="1311" customWidth="1"/>
    <col min="12804" max="12804" width="6.42578125" style="1311" customWidth="1"/>
    <col min="12805" max="12805" width="0" style="1311" hidden="1" customWidth="1"/>
    <col min="12806" max="12806" width="10.140625" style="1311" customWidth="1"/>
    <col min="12807" max="12807" width="11.42578125" style="1311" customWidth="1"/>
    <col min="12808" max="12808" width="14" style="1311" customWidth="1"/>
    <col min="12809" max="12809" width="12.85546875" style="1311" customWidth="1"/>
    <col min="12810" max="12810" width="17.7109375" style="1311" customWidth="1"/>
    <col min="12811" max="12811" width="15.28515625" style="1311" customWidth="1"/>
    <col min="12812" max="12812" width="12.140625" style="1311" bestFit="1" customWidth="1"/>
    <col min="12813" max="12813" width="20.42578125" style="1311" bestFit="1" customWidth="1"/>
    <col min="12814" max="12814" width="31.5703125" style="1311" bestFit="1" customWidth="1"/>
    <col min="12815" max="12815" width="55.140625" style="1311" bestFit="1" customWidth="1"/>
    <col min="12816" max="12816" width="97.5703125" style="1311" bestFit="1" customWidth="1"/>
    <col min="12817" max="12817" width="176" style="1311" bestFit="1" customWidth="1"/>
    <col min="12818" max="12818" width="9.140625" style="1311"/>
    <col min="12819" max="12819" width="9.28515625" style="1311" bestFit="1" customWidth="1"/>
    <col min="12820" max="13057" width="9.140625" style="1311"/>
    <col min="13058" max="13058" width="6.28515625" style="1311" customWidth="1"/>
    <col min="13059" max="13059" width="46.42578125" style="1311" customWidth="1"/>
    <col min="13060" max="13060" width="6.42578125" style="1311" customWidth="1"/>
    <col min="13061" max="13061" width="0" style="1311" hidden="1" customWidth="1"/>
    <col min="13062" max="13062" width="10.140625" style="1311" customWidth="1"/>
    <col min="13063" max="13063" width="11.42578125" style="1311" customWidth="1"/>
    <col min="13064" max="13064" width="14" style="1311" customWidth="1"/>
    <col min="13065" max="13065" width="12.85546875" style="1311" customWidth="1"/>
    <col min="13066" max="13066" width="17.7109375" style="1311" customWidth="1"/>
    <col min="13067" max="13067" width="15.28515625" style="1311" customWidth="1"/>
    <col min="13068" max="13068" width="12.140625" style="1311" bestFit="1" customWidth="1"/>
    <col min="13069" max="13069" width="20.42578125" style="1311" bestFit="1" customWidth="1"/>
    <col min="13070" max="13070" width="31.5703125" style="1311" bestFit="1" customWidth="1"/>
    <col min="13071" max="13071" width="55.140625" style="1311" bestFit="1" customWidth="1"/>
    <col min="13072" max="13072" width="97.5703125" style="1311" bestFit="1" customWidth="1"/>
    <col min="13073" max="13073" width="176" style="1311" bestFit="1" customWidth="1"/>
    <col min="13074" max="13074" width="9.140625" style="1311"/>
    <col min="13075" max="13075" width="9.28515625" style="1311" bestFit="1" customWidth="1"/>
    <col min="13076" max="13313" width="9.140625" style="1311"/>
    <col min="13314" max="13314" width="6.28515625" style="1311" customWidth="1"/>
    <col min="13315" max="13315" width="46.42578125" style="1311" customWidth="1"/>
    <col min="13316" max="13316" width="6.42578125" style="1311" customWidth="1"/>
    <col min="13317" max="13317" width="0" style="1311" hidden="1" customWidth="1"/>
    <col min="13318" max="13318" width="10.140625" style="1311" customWidth="1"/>
    <col min="13319" max="13319" width="11.42578125" style="1311" customWidth="1"/>
    <col min="13320" max="13320" width="14" style="1311" customWidth="1"/>
    <col min="13321" max="13321" width="12.85546875" style="1311" customWidth="1"/>
    <col min="13322" max="13322" width="17.7109375" style="1311" customWidth="1"/>
    <col min="13323" max="13323" width="15.28515625" style="1311" customWidth="1"/>
    <col min="13324" max="13324" width="12.140625" style="1311" bestFit="1" customWidth="1"/>
    <col min="13325" max="13325" width="20.42578125" style="1311" bestFit="1" customWidth="1"/>
    <col min="13326" max="13326" width="31.5703125" style="1311" bestFit="1" customWidth="1"/>
    <col min="13327" max="13327" width="55.140625" style="1311" bestFit="1" customWidth="1"/>
    <col min="13328" max="13328" width="97.5703125" style="1311" bestFit="1" customWidth="1"/>
    <col min="13329" max="13329" width="176" style="1311" bestFit="1" customWidth="1"/>
    <col min="13330" max="13330" width="9.140625" style="1311"/>
    <col min="13331" max="13331" width="9.28515625" style="1311" bestFit="1" customWidth="1"/>
    <col min="13332" max="13569" width="9.140625" style="1311"/>
    <col min="13570" max="13570" width="6.28515625" style="1311" customWidth="1"/>
    <col min="13571" max="13571" width="46.42578125" style="1311" customWidth="1"/>
    <col min="13572" max="13572" width="6.42578125" style="1311" customWidth="1"/>
    <col min="13573" max="13573" width="0" style="1311" hidden="1" customWidth="1"/>
    <col min="13574" max="13574" width="10.140625" style="1311" customWidth="1"/>
    <col min="13575" max="13575" width="11.42578125" style="1311" customWidth="1"/>
    <col min="13576" max="13576" width="14" style="1311" customWidth="1"/>
    <col min="13577" max="13577" width="12.85546875" style="1311" customWidth="1"/>
    <col min="13578" max="13578" width="17.7109375" style="1311" customWidth="1"/>
    <col min="13579" max="13579" width="15.28515625" style="1311" customWidth="1"/>
    <col min="13580" max="13580" width="12.140625" style="1311" bestFit="1" customWidth="1"/>
    <col min="13581" max="13581" width="20.42578125" style="1311" bestFit="1" customWidth="1"/>
    <col min="13582" max="13582" width="31.5703125" style="1311" bestFit="1" customWidth="1"/>
    <col min="13583" max="13583" width="55.140625" style="1311" bestFit="1" customWidth="1"/>
    <col min="13584" max="13584" width="97.5703125" style="1311" bestFit="1" customWidth="1"/>
    <col min="13585" max="13585" width="176" style="1311" bestFit="1" customWidth="1"/>
    <col min="13586" max="13586" width="9.140625" style="1311"/>
    <col min="13587" max="13587" width="9.28515625" style="1311" bestFit="1" customWidth="1"/>
    <col min="13588" max="13825" width="9.140625" style="1311"/>
    <col min="13826" max="13826" width="6.28515625" style="1311" customWidth="1"/>
    <col min="13827" max="13827" width="46.42578125" style="1311" customWidth="1"/>
    <col min="13828" max="13828" width="6.42578125" style="1311" customWidth="1"/>
    <col min="13829" max="13829" width="0" style="1311" hidden="1" customWidth="1"/>
    <col min="13830" max="13830" width="10.140625" style="1311" customWidth="1"/>
    <col min="13831" max="13831" width="11.42578125" style="1311" customWidth="1"/>
    <col min="13832" max="13832" width="14" style="1311" customWidth="1"/>
    <col min="13833" max="13833" width="12.85546875" style="1311" customWidth="1"/>
    <col min="13834" max="13834" width="17.7109375" style="1311" customWidth="1"/>
    <col min="13835" max="13835" width="15.28515625" style="1311" customWidth="1"/>
    <col min="13836" max="13836" width="12.140625" style="1311" bestFit="1" customWidth="1"/>
    <col min="13837" max="13837" width="20.42578125" style="1311" bestFit="1" customWidth="1"/>
    <col min="13838" max="13838" width="31.5703125" style="1311" bestFit="1" customWidth="1"/>
    <col min="13839" max="13839" width="55.140625" style="1311" bestFit="1" customWidth="1"/>
    <col min="13840" max="13840" width="97.5703125" style="1311" bestFit="1" customWidth="1"/>
    <col min="13841" max="13841" width="176" style="1311" bestFit="1" customWidth="1"/>
    <col min="13842" max="13842" width="9.140625" style="1311"/>
    <col min="13843" max="13843" width="9.28515625" style="1311" bestFit="1" customWidth="1"/>
    <col min="13844" max="14081" width="9.140625" style="1311"/>
    <col min="14082" max="14082" width="6.28515625" style="1311" customWidth="1"/>
    <col min="14083" max="14083" width="46.42578125" style="1311" customWidth="1"/>
    <col min="14084" max="14084" width="6.42578125" style="1311" customWidth="1"/>
    <col min="14085" max="14085" width="0" style="1311" hidden="1" customWidth="1"/>
    <col min="14086" max="14086" width="10.140625" style="1311" customWidth="1"/>
    <col min="14087" max="14087" width="11.42578125" style="1311" customWidth="1"/>
    <col min="14088" max="14088" width="14" style="1311" customWidth="1"/>
    <col min="14089" max="14089" width="12.85546875" style="1311" customWidth="1"/>
    <col min="14090" max="14090" width="17.7109375" style="1311" customWidth="1"/>
    <col min="14091" max="14091" width="15.28515625" style="1311" customWidth="1"/>
    <col min="14092" max="14092" width="12.140625" style="1311" bestFit="1" customWidth="1"/>
    <col min="14093" max="14093" width="20.42578125" style="1311" bestFit="1" customWidth="1"/>
    <col min="14094" max="14094" width="31.5703125" style="1311" bestFit="1" customWidth="1"/>
    <col min="14095" max="14095" width="55.140625" style="1311" bestFit="1" customWidth="1"/>
    <col min="14096" max="14096" width="97.5703125" style="1311" bestFit="1" customWidth="1"/>
    <col min="14097" max="14097" width="176" style="1311" bestFit="1" customWidth="1"/>
    <col min="14098" max="14098" width="9.140625" style="1311"/>
    <col min="14099" max="14099" width="9.28515625" style="1311" bestFit="1" customWidth="1"/>
    <col min="14100" max="14337" width="9.140625" style="1311"/>
    <col min="14338" max="14338" width="6.28515625" style="1311" customWidth="1"/>
    <col min="14339" max="14339" width="46.42578125" style="1311" customWidth="1"/>
    <col min="14340" max="14340" width="6.42578125" style="1311" customWidth="1"/>
    <col min="14341" max="14341" width="0" style="1311" hidden="1" customWidth="1"/>
    <col min="14342" max="14342" width="10.140625" style="1311" customWidth="1"/>
    <col min="14343" max="14343" width="11.42578125" style="1311" customWidth="1"/>
    <col min="14344" max="14344" width="14" style="1311" customWidth="1"/>
    <col min="14345" max="14345" width="12.85546875" style="1311" customWidth="1"/>
    <col min="14346" max="14346" width="17.7109375" style="1311" customWidth="1"/>
    <col min="14347" max="14347" width="15.28515625" style="1311" customWidth="1"/>
    <col min="14348" max="14348" width="12.140625" style="1311" bestFit="1" customWidth="1"/>
    <col min="14349" max="14349" width="20.42578125" style="1311" bestFit="1" customWidth="1"/>
    <col min="14350" max="14350" width="31.5703125" style="1311" bestFit="1" customWidth="1"/>
    <col min="14351" max="14351" width="55.140625" style="1311" bestFit="1" customWidth="1"/>
    <col min="14352" max="14352" width="97.5703125" style="1311" bestFit="1" customWidth="1"/>
    <col min="14353" max="14353" width="176" style="1311" bestFit="1" customWidth="1"/>
    <col min="14354" max="14354" width="9.140625" style="1311"/>
    <col min="14355" max="14355" width="9.28515625" style="1311" bestFit="1" customWidth="1"/>
    <col min="14356" max="14593" width="9.140625" style="1311"/>
    <col min="14594" max="14594" width="6.28515625" style="1311" customWidth="1"/>
    <col min="14595" max="14595" width="46.42578125" style="1311" customWidth="1"/>
    <col min="14596" max="14596" width="6.42578125" style="1311" customWidth="1"/>
    <col min="14597" max="14597" width="0" style="1311" hidden="1" customWidth="1"/>
    <col min="14598" max="14598" width="10.140625" style="1311" customWidth="1"/>
    <col min="14599" max="14599" width="11.42578125" style="1311" customWidth="1"/>
    <col min="14600" max="14600" width="14" style="1311" customWidth="1"/>
    <col min="14601" max="14601" width="12.85546875" style="1311" customWidth="1"/>
    <col min="14602" max="14602" width="17.7109375" style="1311" customWidth="1"/>
    <col min="14603" max="14603" width="15.28515625" style="1311" customWidth="1"/>
    <col min="14604" max="14604" width="12.140625" style="1311" bestFit="1" customWidth="1"/>
    <col min="14605" max="14605" width="20.42578125" style="1311" bestFit="1" customWidth="1"/>
    <col min="14606" max="14606" width="31.5703125" style="1311" bestFit="1" customWidth="1"/>
    <col min="14607" max="14607" width="55.140625" style="1311" bestFit="1" customWidth="1"/>
    <col min="14608" max="14608" width="97.5703125" style="1311" bestFit="1" customWidth="1"/>
    <col min="14609" max="14609" width="176" style="1311" bestFit="1" customWidth="1"/>
    <col min="14610" max="14610" width="9.140625" style="1311"/>
    <col min="14611" max="14611" width="9.28515625" style="1311" bestFit="1" customWidth="1"/>
    <col min="14612" max="14849" width="9.140625" style="1311"/>
    <col min="14850" max="14850" width="6.28515625" style="1311" customWidth="1"/>
    <col min="14851" max="14851" width="46.42578125" style="1311" customWidth="1"/>
    <col min="14852" max="14852" width="6.42578125" style="1311" customWidth="1"/>
    <col min="14853" max="14853" width="0" style="1311" hidden="1" customWidth="1"/>
    <col min="14854" max="14854" width="10.140625" style="1311" customWidth="1"/>
    <col min="14855" max="14855" width="11.42578125" style="1311" customWidth="1"/>
    <col min="14856" max="14856" width="14" style="1311" customWidth="1"/>
    <col min="14857" max="14857" width="12.85546875" style="1311" customWidth="1"/>
    <col min="14858" max="14858" width="17.7109375" style="1311" customWidth="1"/>
    <col min="14859" max="14859" width="15.28515625" style="1311" customWidth="1"/>
    <col min="14860" max="14860" width="12.140625" style="1311" bestFit="1" customWidth="1"/>
    <col min="14861" max="14861" width="20.42578125" style="1311" bestFit="1" customWidth="1"/>
    <col min="14862" max="14862" width="31.5703125" style="1311" bestFit="1" customWidth="1"/>
    <col min="14863" max="14863" width="55.140625" style="1311" bestFit="1" customWidth="1"/>
    <col min="14864" max="14864" width="97.5703125" style="1311" bestFit="1" customWidth="1"/>
    <col min="14865" max="14865" width="176" style="1311" bestFit="1" customWidth="1"/>
    <col min="14866" max="14866" width="9.140625" style="1311"/>
    <col min="14867" max="14867" width="9.28515625" style="1311" bestFit="1" customWidth="1"/>
    <col min="14868" max="15105" width="9.140625" style="1311"/>
    <col min="15106" max="15106" width="6.28515625" style="1311" customWidth="1"/>
    <col min="15107" max="15107" width="46.42578125" style="1311" customWidth="1"/>
    <col min="15108" max="15108" width="6.42578125" style="1311" customWidth="1"/>
    <col min="15109" max="15109" width="0" style="1311" hidden="1" customWidth="1"/>
    <col min="15110" max="15110" width="10.140625" style="1311" customWidth="1"/>
    <col min="15111" max="15111" width="11.42578125" style="1311" customWidth="1"/>
    <col min="15112" max="15112" width="14" style="1311" customWidth="1"/>
    <col min="15113" max="15113" width="12.85546875" style="1311" customWidth="1"/>
    <col min="15114" max="15114" width="17.7109375" style="1311" customWidth="1"/>
    <col min="15115" max="15115" width="15.28515625" style="1311" customWidth="1"/>
    <col min="15116" max="15116" width="12.140625" style="1311" bestFit="1" customWidth="1"/>
    <col min="15117" max="15117" width="20.42578125" style="1311" bestFit="1" customWidth="1"/>
    <col min="15118" max="15118" width="31.5703125" style="1311" bestFit="1" customWidth="1"/>
    <col min="15119" max="15119" width="55.140625" style="1311" bestFit="1" customWidth="1"/>
    <col min="15120" max="15120" width="97.5703125" style="1311" bestFit="1" customWidth="1"/>
    <col min="15121" max="15121" width="176" style="1311" bestFit="1" customWidth="1"/>
    <col min="15122" max="15122" width="9.140625" style="1311"/>
    <col min="15123" max="15123" width="9.28515625" style="1311" bestFit="1" customWidth="1"/>
    <col min="15124" max="15361" width="9.140625" style="1311"/>
    <col min="15362" max="15362" width="6.28515625" style="1311" customWidth="1"/>
    <col min="15363" max="15363" width="46.42578125" style="1311" customWidth="1"/>
    <col min="15364" max="15364" width="6.42578125" style="1311" customWidth="1"/>
    <col min="15365" max="15365" width="0" style="1311" hidden="1" customWidth="1"/>
    <col min="15366" max="15366" width="10.140625" style="1311" customWidth="1"/>
    <col min="15367" max="15367" width="11.42578125" style="1311" customWidth="1"/>
    <col min="15368" max="15368" width="14" style="1311" customWidth="1"/>
    <col min="15369" max="15369" width="12.85546875" style="1311" customWidth="1"/>
    <col min="15370" max="15370" width="17.7109375" style="1311" customWidth="1"/>
    <col min="15371" max="15371" width="15.28515625" style="1311" customWidth="1"/>
    <col min="15372" max="15372" width="12.140625" style="1311" bestFit="1" customWidth="1"/>
    <col min="15373" max="15373" width="20.42578125" style="1311" bestFit="1" customWidth="1"/>
    <col min="15374" max="15374" width="31.5703125" style="1311" bestFit="1" customWidth="1"/>
    <col min="15375" max="15375" width="55.140625" style="1311" bestFit="1" customWidth="1"/>
    <col min="15376" max="15376" width="97.5703125" style="1311" bestFit="1" customWidth="1"/>
    <col min="15377" max="15377" width="176" style="1311" bestFit="1" customWidth="1"/>
    <col min="15378" max="15378" width="9.140625" style="1311"/>
    <col min="15379" max="15379" width="9.28515625" style="1311" bestFit="1" customWidth="1"/>
    <col min="15380" max="15617" width="9.140625" style="1311"/>
    <col min="15618" max="15618" width="6.28515625" style="1311" customWidth="1"/>
    <col min="15619" max="15619" width="46.42578125" style="1311" customWidth="1"/>
    <col min="15620" max="15620" width="6.42578125" style="1311" customWidth="1"/>
    <col min="15621" max="15621" width="0" style="1311" hidden="1" customWidth="1"/>
    <col min="15622" max="15622" width="10.140625" style="1311" customWidth="1"/>
    <col min="15623" max="15623" width="11.42578125" style="1311" customWidth="1"/>
    <col min="15624" max="15624" width="14" style="1311" customWidth="1"/>
    <col min="15625" max="15625" width="12.85546875" style="1311" customWidth="1"/>
    <col min="15626" max="15626" width="17.7109375" style="1311" customWidth="1"/>
    <col min="15627" max="15627" width="15.28515625" style="1311" customWidth="1"/>
    <col min="15628" max="15628" width="12.140625" style="1311" bestFit="1" customWidth="1"/>
    <col min="15629" max="15629" width="20.42578125" style="1311" bestFit="1" customWidth="1"/>
    <col min="15630" max="15630" width="31.5703125" style="1311" bestFit="1" customWidth="1"/>
    <col min="15631" max="15631" width="55.140625" style="1311" bestFit="1" customWidth="1"/>
    <col min="15632" max="15632" width="97.5703125" style="1311" bestFit="1" customWidth="1"/>
    <col min="15633" max="15633" width="176" style="1311" bestFit="1" customWidth="1"/>
    <col min="15634" max="15634" width="9.140625" style="1311"/>
    <col min="15635" max="15635" width="9.28515625" style="1311" bestFit="1" customWidth="1"/>
    <col min="15636" max="15873" width="9.140625" style="1311"/>
    <col min="15874" max="15874" width="6.28515625" style="1311" customWidth="1"/>
    <col min="15875" max="15875" width="46.42578125" style="1311" customWidth="1"/>
    <col min="15876" max="15876" width="6.42578125" style="1311" customWidth="1"/>
    <col min="15877" max="15877" width="0" style="1311" hidden="1" customWidth="1"/>
    <col min="15878" max="15878" width="10.140625" style="1311" customWidth="1"/>
    <col min="15879" max="15879" width="11.42578125" style="1311" customWidth="1"/>
    <col min="15880" max="15880" width="14" style="1311" customWidth="1"/>
    <col min="15881" max="15881" width="12.85546875" style="1311" customWidth="1"/>
    <col min="15882" max="15882" width="17.7109375" style="1311" customWidth="1"/>
    <col min="15883" max="15883" width="15.28515625" style="1311" customWidth="1"/>
    <col min="15884" max="15884" width="12.140625" style="1311" bestFit="1" customWidth="1"/>
    <col min="15885" max="15885" width="20.42578125" style="1311" bestFit="1" customWidth="1"/>
    <col min="15886" max="15886" width="31.5703125" style="1311" bestFit="1" customWidth="1"/>
    <col min="15887" max="15887" width="55.140625" style="1311" bestFit="1" customWidth="1"/>
    <col min="15888" max="15888" width="97.5703125" style="1311" bestFit="1" customWidth="1"/>
    <col min="15889" max="15889" width="176" style="1311" bestFit="1" customWidth="1"/>
    <col min="15890" max="15890" width="9.140625" style="1311"/>
    <col min="15891" max="15891" width="9.28515625" style="1311" bestFit="1" customWidth="1"/>
    <col min="15892" max="16129" width="9.140625" style="1311"/>
    <col min="16130" max="16130" width="6.28515625" style="1311" customWidth="1"/>
    <col min="16131" max="16131" width="46.42578125" style="1311" customWidth="1"/>
    <col min="16132" max="16132" width="6.42578125" style="1311" customWidth="1"/>
    <col min="16133" max="16133" width="0" style="1311" hidden="1" customWidth="1"/>
    <col min="16134" max="16134" width="10.140625" style="1311" customWidth="1"/>
    <col min="16135" max="16135" width="11.42578125" style="1311" customWidth="1"/>
    <col min="16136" max="16136" width="14" style="1311" customWidth="1"/>
    <col min="16137" max="16137" width="12.85546875" style="1311" customWidth="1"/>
    <col min="16138" max="16138" width="17.7109375" style="1311" customWidth="1"/>
    <col min="16139" max="16139" width="15.28515625" style="1311" customWidth="1"/>
    <col min="16140" max="16140" width="12.140625" style="1311" bestFit="1" customWidth="1"/>
    <col min="16141" max="16141" width="20.42578125" style="1311" bestFit="1" customWidth="1"/>
    <col min="16142" max="16142" width="31.5703125" style="1311" bestFit="1" customWidth="1"/>
    <col min="16143" max="16143" width="55.140625" style="1311" bestFit="1" customWidth="1"/>
    <col min="16144" max="16144" width="97.5703125" style="1311" bestFit="1" customWidth="1"/>
    <col min="16145" max="16145" width="176" style="1311" bestFit="1" customWidth="1"/>
    <col min="16146" max="16146" width="9.140625" style="1311"/>
    <col min="16147" max="16147" width="9.28515625" style="1311" bestFit="1" customWidth="1"/>
    <col min="16148" max="16384" width="9.140625" style="1311"/>
  </cols>
  <sheetData>
    <row r="1" spans="1:16" s="340" customFormat="1">
      <c r="B1" s="1286" t="s">
        <v>1257</v>
      </c>
      <c r="C1" s="1286"/>
      <c r="D1" s="1286"/>
      <c r="E1" s="1286"/>
      <c r="F1" s="1286"/>
      <c r="G1" s="1286"/>
      <c r="H1" s="2053"/>
      <c r="I1" s="2053"/>
      <c r="N1" s="341"/>
      <c r="O1" s="341"/>
    </row>
    <row r="2" spans="1:16" s="340" customFormat="1">
      <c r="B2" s="1286" t="s">
        <v>1208</v>
      </c>
      <c r="C2" s="1286"/>
      <c r="D2" s="1286"/>
      <c r="E2" s="1286"/>
      <c r="F2" s="1286"/>
      <c r="G2" s="1286"/>
      <c r="H2" s="821"/>
      <c r="I2" s="2063"/>
      <c r="J2" s="2063"/>
      <c r="N2" s="341"/>
      <c r="O2" s="341"/>
    </row>
    <row r="3" spans="1:16" s="340" customFormat="1">
      <c r="B3" s="1286" t="s">
        <v>1258</v>
      </c>
      <c r="C3" s="1286"/>
      <c r="D3" s="1286"/>
      <c r="E3" s="1286"/>
      <c r="F3" s="1286"/>
      <c r="G3" s="1286"/>
      <c r="H3" s="2054" t="s">
        <v>2338</v>
      </c>
      <c r="I3" s="2054"/>
      <c r="N3" s="1287"/>
      <c r="O3" s="1287"/>
    </row>
    <row r="4" spans="1:16" s="340" customFormat="1">
      <c r="B4" s="1286" t="s">
        <v>1209</v>
      </c>
      <c r="C4" s="1286"/>
      <c r="D4" s="1286"/>
      <c r="E4" s="1286"/>
      <c r="F4" s="1286"/>
      <c r="G4" s="1286"/>
      <c r="H4" s="1286"/>
      <c r="I4" s="1286"/>
      <c r="N4" s="341"/>
      <c r="O4" s="341"/>
      <c r="P4" s="341"/>
    </row>
    <row r="5" spans="1:16" s="340" customFormat="1">
      <c r="B5" s="1286"/>
      <c r="C5" s="1286"/>
      <c r="D5" s="1286"/>
      <c r="E5" s="1286"/>
      <c r="F5" s="1286"/>
      <c r="G5" s="1286"/>
      <c r="H5" s="1286"/>
      <c r="I5" s="1286"/>
      <c r="N5" s="341"/>
      <c r="O5" s="341"/>
      <c r="P5" s="341"/>
    </row>
    <row r="6" spans="1:16" ht="15.75" customHeight="1">
      <c r="B6" s="2055" t="s">
        <v>1492</v>
      </c>
      <c r="C6" s="2055" t="s">
        <v>0</v>
      </c>
      <c r="D6" s="2055" t="s">
        <v>1491</v>
      </c>
      <c r="E6" s="1418" t="s">
        <v>1490</v>
      </c>
      <c r="F6" s="2055" t="s">
        <v>1489</v>
      </c>
      <c r="G6" s="2055"/>
      <c r="H6" s="2055"/>
      <c r="I6" s="2057" t="s">
        <v>1494</v>
      </c>
      <c r="J6" s="2057"/>
    </row>
    <row r="7" spans="1:16" ht="15.75" customHeight="1">
      <c r="B7" s="2056"/>
      <c r="C7" s="2056"/>
      <c r="D7" s="2056"/>
      <c r="E7" s="1418"/>
      <c r="F7" s="1419" t="s">
        <v>1487</v>
      </c>
      <c r="G7" s="1420" t="s">
        <v>1488</v>
      </c>
      <c r="H7" s="1420" t="s">
        <v>1495</v>
      </c>
      <c r="I7" s="1420" t="s">
        <v>1487</v>
      </c>
      <c r="J7" s="1419" t="s">
        <v>1495</v>
      </c>
    </row>
    <row r="8" spans="1:16" ht="15.75" customHeight="1">
      <c r="A8" s="1317"/>
      <c r="B8" s="1412"/>
      <c r="C8" s="1413" t="s">
        <v>1485</v>
      </c>
      <c r="D8" s="1414"/>
      <c r="E8" s="1415"/>
      <c r="F8" s="1414"/>
      <c r="G8" s="1414"/>
      <c r="H8" s="1414"/>
      <c r="I8" s="1416"/>
      <c r="J8" s="1417"/>
    </row>
    <row r="9" spans="1:16" ht="15.75" customHeight="1">
      <c r="A9" s="1317"/>
      <c r="B9" s="1406"/>
      <c r="C9" s="1395" t="s">
        <v>1484</v>
      </c>
      <c r="D9" s="1392"/>
      <c r="E9" s="1393"/>
      <c r="F9" s="1392"/>
      <c r="G9" s="1392"/>
      <c r="H9" s="1392"/>
      <c r="I9" s="1394"/>
      <c r="J9" s="1407"/>
    </row>
    <row r="10" spans="1:16" ht="15.75" customHeight="1">
      <c r="A10" s="1317"/>
      <c r="B10" s="1408">
        <v>1.1000000000000001</v>
      </c>
      <c r="C10" s="1396" t="s">
        <v>1483</v>
      </c>
      <c r="D10" s="1394" t="s">
        <v>3201</v>
      </c>
      <c r="E10" s="1394">
        <v>485</v>
      </c>
      <c r="F10" s="1394">
        <v>485</v>
      </c>
      <c r="G10" s="1394">
        <v>8</v>
      </c>
      <c r="H10" s="1394">
        <f>F10*G10</f>
        <v>3880</v>
      </c>
      <c r="I10" s="1394">
        <f>'OPD TOS'!D12</f>
        <v>490.78</v>
      </c>
      <c r="J10" s="1409">
        <f t="shared" ref="J10:J16" si="0">G10*I10</f>
        <v>3926.24</v>
      </c>
    </row>
    <row r="11" spans="1:16" ht="15.75" customHeight="1">
      <c r="A11" s="1317"/>
      <c r="B11" s="1408">
        <v>1.2</v>
      </c>
      <c r="C11" s="1396" t="s">
        <v>1482</v>
      </c>
      <c r="D11" s="1394" t="s">
        <v>3200</v>
      </c>
      <c r="E11" s="1394">
        <v>106</v>
      </c>
      <c r="F11" s="1394">
        <v>591</v>
      </c>
      <c r="G11" s="1394">
        <v>70</v>
      </c>
      <c r="H11" s="1394">
        <f t="shared" ref="H11:H72" si="1">F11*G11</f>
        <v>41370</v>
      </c>
      <c r="I11" s="1394">
        <f>'OPD TOS'!D28</f>
        <v>80.839849999999984</v>
      </c>
      <c r="J11" s="1409">
        <f t="shared" si="0"/>
        <v>5658.789499999999</v>
      </c>
    </row>
    <row r="12" spans="1:16" ht="15.75" customHeight="1">
      <c r="A12" s="1317"/>
      <c r="B12" s="1408">
        <v>1.3</v>
      </c>
      <c r="C12" s="1396" t="s">
        <v>1496</v>
      </c>
      <c r="D12" s="1394" t="s">
        <v>3200</v>
      </c>
      <c r="E12" s="1394"/>
      <c r="F12" s="1394">
        <f>F11/3</f>
        <v>197</v>
      </c>
      <c r="G12" s="1394">
        <v>70</v>
      </c>
      <c r="H12" s="1394">
        <f t="shared" si="1"/>
        <v>13790</v>
      </c>
      <c r="I12" s="1394">
        <f>'OPD TOS'!D40</f>
        <v>171.69408000000001</v>
      </c>
      <c r="J12" s="1409">
        <f t="shared" si="0"/>
        <v>12018.5856</v>
      </c>
    </row>
    <row r="13" spans="1:16" ht="15.75" customHeight="1">
      <c r="A13" s="1317"/>
      <c r="B13" s="1408">
        <v>1.4</v>
      </c>
      <c r="C13" s="1396" t="s">
        <v>1480</v>
      </c>
      <c r="D13" s="1394" t="s">
        <v>3200</v>
      </c>
      <c r="E13" s="1394">
        <v>389</v>
      </c>
      <c r="F13" s="1394">
        <f>F12+F11</f>
        <v>788</v>
      </c>
      <c r="G13" s="1394">
        <v>150</v>
      </c>
      <c r="H13" s="1394">
        <f t="shared" si="1"/>
        <v>118200</v>
      </c>
      <c r="I13" s="1394">
        <f>'OPD TOS'!H16</f>
        <v>227.66543999999999</v>
      </c>
      <c r="J13" s="1409">
        <f t="shared" si="0"/>
        <v>34149.815999999999</v>
      </c>
    </row>
    <row r="14" spans="1:16" ht="15.75" customHeight="1">
      <c r="A14" s="1317"/>
      <c r="B14" s="1408">
        <v>1.5</v>
      </c>
      <c r="C14" s="1396" t="s">
        <v>1809</v>
      </c>
      <c r="D14" s="1394" t="s">
        <v>3200</v>
      </c>
      <c r="E14" s="1394"/>
      <c r="F14" s="1394"/>
      <c r="G14" s="1394">
        <v>56.66</v>
      </c>
      <c r="H14" s="1394">
        <f>F14*G14</f>
        <v>0</v>
      </c>
      <c r="I14" s="1394">
        <f>'OPD TOS'!D52</f>
        <v>50.388480000000008</v>
      </c>
      <c r="J14" s="1409">
        <f>G14*I14</f>
        <v>2855.0112768000004</v>
      </c>
    </row>
    <row r="15" spans="1:16" ht="15.75" customHeight="1">
      <c r="A15" s="1317"/>
      <c r="B15" s="1408">
        <v>1.6</v>
      </c>
      <c r="C15" s="1396" t="s">
        <v>1479</v>
      </c>
      <c r="D15" s="1394" t="s">
        <v>3200</v>
      </c>
      <c r="E15" s="1394">
        <v>389</v>
      </c>
      <c r="F15" s="1394">
        <f>F13+(F10*0.3)</f>
        <v>933.5</v>
      </c>
      <c r="G15" s="1394">
        <v>70</v>
      </c>
      <c r="H15" s="1394">
        <f t="shared" si="1"/>
        <v>65345</v>
      </c>
      <c r="I15" s="1394">
        <f>'OPD TOS'!H29</f>
        <v>349.37944999999996</v>
      </c>
      <c r="J15" s="1409">
        <f t="shared" si="0"/>
        <v>24456.561499999996</v>
      </c>
    </row>
    <row r="16" spans="1:16" ht="15.75" customHeight="1">
      <c r="A16" s="1317"/>
      <c r="B16" s="1421">
        <v>1.7</v>
      </c>
      <c r="C16" s="1422" t="s">
        <v>1497</v>
      </c>
      <c r="D16" s="1423" t="s">
        <v>3201</v>
      </c>
      <c r="E16" s="1423">
        <v>243</v>
      </c>
      <c r="F16" s="1423">
        <v>394</v>
      </c>
      <c r="G16" s="1423">
        <v>200</v>
      </c>
      <c r="H16" s="1423">
        <f t="shared" si="1"/>
        <v>78800</v>
      </c>
      <c r="I16" s="1423">
        <f>'OPD TOS'!H53</f>
        <v>399.55000000000007</v>
      </c>
      <c r="J16" s="1424">
        <f t="shared" si="0"/>
        <v>79910.000000000015</v>
      </c>
    </row>
    <row r="17" spans="1:11" s="1387" customFormat="1" ht="15.75" customHeight="1">
      <c r="A17" s="1390"/>
      <c r="B17" s="2088" t="s">
        <v>1330</v>
      </c>
      <c r="C17" s="2088"/>
      <c r="D17" s="2088"/>
      <c r="E17" s="2088"/>
      <c r="F17" s="2088"/>
      <c r="G17" s="2088"/>
      <c r="H17" s="1428">
        <f>SUM(H10:H16)</f>
        <v>321385</v>
      </c>
      <c r="I17" s="1428"/>
      <c r="J17" s="1428">
        <f>SUM(J10:J16)</f>
        <v>162975.00387680001</v>
      </c>
      <c r="K17" s="105"/>
    </row>
    <row r="18" spans="1:11" ht="15.75" customHeight="1">
      <c r="A18" s="1317"/>
      <c r="B18" s="1425"/>
      <c r="C18" s="1426" t="s">
        <v>1477</v>
      </c>
      <c r="D18" s="1416"/>
      <c r="E18" s="1416"/>
      <c r="F18" s="1416"/>
      <c r="G18" s="1416"/>
      <c r="H18" s="1416"/>
      <c r="I18" s="1416"/>
      <c r="J18" s="1427"/>
    </row>
    <row r="19" spans="1:11" ht="15.75" customHeight="1">
      <c r="A19" s="1317"/>
      <c r="B19" s="1408">
        <v>2.1</v>
      </c>
      <c r="C19" s="1396" t="s">
        <v>1476</v>
      </c>
      <c r="D19" s="1394" t="s">
        <v>3201</v>
      </c>
      <c r="E19" s="1394">
        <v>120</v>
      </c>
      <c r="F19" s="1394">
        <v>120</v>
      </c>
      <c r="G19" s="1394">
        <v>150</v>
      </c>
      <c r="H19" s="1394">
        <f t="shared" si="1"/>
        <v>18000</v>
      </c>
      <c r="I19" s="1394">
        <f>'OPD TOS'!D68</f>
        <v>86.944000000000003</v>
      </c>
      <c r="J19" s="1409">
        <f>G19*I19</f>
        <v>13041.6</v>
      </c>
    </row>
    <row r="20" spans="1:11" ht="15.75" customHeight="1">
      <c r="A20" s="1317"/>
      <c r="B20" s="1408">
        <v>2.2000000000000002</v>
      </c>
      <c r="C20" s="1396" t="s">
        <v>1475</v>
      </c>
      <c r="D20" s="1394" t="s">
        <v>3201</v>
      </c>
      <c r="E20" s="1394"/>
      <c r="F20" s="1394">
        <v>32</v>
      </c>
      <c r="G20" s="1394">
        <v>150</v>
      </c>
      <c r="H20" s="1394">
        <f t="shared" si="1"/>
        <v>4800</v>
      </c>
      <c r="I20" s="1394"/>
      <c r="J20" s="1409">
        <f>G20*I20</f>
        <v>0</v>
      </c>
    </row>
    <row r="21" spans="1:11" ht="15.75" customHeight="1">
      <c r="A21" s="1317"/>
      <c r="B21" s="1408">
        <v>2.2999999999999998</v>
      </c>
      <c r="C21" s="1396" t="s">
        <v>1474</v>
      </c>
      <c r="D21" s="1394" t="s">
        <v>3201</v>
      </c>
      <c r="E21" s="1394">
        <v>243</v>
      </c>
      <c r="F21" s="1394">
        <v>394</v>
      </c>
      <c r="G21" s="1394">
        <v>400</v>
      </c>
      <c r="H21" s="1394">
        <f t="shared" si="1"/>
        <v>157600</v>
      </c>
      <c r="I21" s="1394">
        <f>'OPD TOS'!D73</f>
        <v>399.55000000000007</v>
      </c>
      <c r="J21" s="1409">
        <f>G21*I21</f>
        <v>159820.00000000003</v>
      </c>
    </row>
    <row r="22" spans="1:11" ht="15.75" customHeight="1">
      <c r="A22" s="1317"/>
      <c r="B22" s="1408"/>
      <c r="C22" s="1396" t="s">
        <v>1460</v>
      </c>
      <c r="D22" s="1394"/>
      <c r="E22" s="1394"/>
      <c r="F22" s="1394"/>
      <c r="G22" s="1394"/>
      <c r="H22" s="1394"/>
      <c r="I22" s="1394"/>
      <c r="J22" s="1409"/>
    </row>
    <row r="23" spans="1:11" ht="15.75" customHeight="1">
      <c r="A23" s="1317"/>
      <c r="B23" s="1408">
        <v>2.4</v>
      </c>
      <c r="C23" s="1396" t="s">
        <v>1473</v>
      </c>
      <c r="D23" s="1394" t="s">
        <v>3200</v>
      </c>
      <c r="E23" s="1394">
        <v>24</v>
      </c>
      <c r="F23" s="1394">
        <v>24</v>
      </c>
      <c r="G23" s="1394">
        <v>3200</v>
      </c>
      <c r="H23" s="1394">
        <f t="shared" si="1"/>
        <v>76800</v>
      </c>
      <c r="I23" s="1394">
        <f>'OPD TOS'!D84</f>
        <v>22.216000000000001</v>
      </c>
      <c r="J23" s="1409">
        <f>G23*I23</f>
        <v>71091.199999999997</v>
      </c>
    </row>
    <row r="24" spans="1:11" ht="15.75" customHeight="1">
      <c r="A24" s="1317"/>
      <c r="B24" s="1408">
        <v>2.5</v>
      </c>
      <c r="C24" s="1396" t="s">
        <v>1471</v>
      </c>
      <c r="D24" s="1394" t="s">
        <v>3200</v>
      </c>
      <c r="E24" s="1394"/>
      <c r="F24" s="1394">
        <v>6.5</v>
      </c>
      <c r="G24" s="1394">
        <v>3200</v>
      </c>
      <c r="H24" s="1394">
        <f t="shared" si="1"/>
        <v>20800</v>
      </c>
      <c r="I24" s="1394"/>
      <c r="J24" s="1409">
        <f>G24*I24</f>
        <v>0</v>
      </c>
    </row>
    <row r="25" spans="1:11" ht="15.75" customHeight="1">
      <c r="A25" s="1317"/>
      <c r="B25" s="1408">
        <v>2.6</v>
      </c>
      <c r="C25" s="1396" t="s">
        <v>1470</v>
      </c>
      <c r="D25" s="1394" t="s">
        <v>3200</v>
      </c>
      <c r="E25" s="1394"/>
      <c r="F25" s="1394">
        <v>5</v>
      </c>
      <c r="G25" s="1394">
        <v>3200</v>
      </c>
      <c r="H25" s="1394">
        <f t="shared" si="1"/>
        <v>16000</v>
      </c>
      <c r="I25" s="1394"/>
      <c r="J25" s="1409">
        <f>G25*I25</f>
        <v>0</v>
      </c>
    </row>
    <row r="26" spans="1:11" ht="15.75" customHeight="1">
      <c r="A26" s="1317"/>
      <c r="B26" s="1408"/>
      <c r="C26" s="1396" t="s">
        <v>1457</v>
      </c>
      <c r="D26" s="1394"/>
      <c r="E26" s="1394"/>
      <c r="F26" s="1394"/>
      <c r="G26" s="1394"/>
      <c r="H26" s="1394"/>
      <c r="I26" s="1394"/>
      <c r="J26" s="1409"/>
    </row>
    <row r="27" spans="1:11" ht="15.75" customHeight="1">
      <c r="A27" s="1317"/>
      <c r="B27" s="1408">
        <v>2.7</v>
      </c>
      <c r="C27" s="1396" t="s">
        <v>1</v>
      </c>
      <c r="D27" s="1394" t="s">
        <v>3201</v>
      </c>
      <c r="E27" s="1394">
        <v>120</v>
      </c>
      <c r="F27" s="1394">
        <v>120</v>
      </c>
      <c r="G27" s="1394">
        <v>120</v>
      </c>
      <c r="H27" s="1394">
        <f t="shared" si="1"/>
        <v>14400</v>
      </c>
      <c r="I27" s="1394">
        <f>'OPD TOS'!D96</f>
        <v>173.328</v>
      </c>
      <c r="J27" s="1409">
        <f>G27*I27</f>
        <v>20799.36</v>
      </c>
    </row>
    <row r="28" spans="1:11" ht="15.75" customHeight="1">
      <c r="A28" s="1317"/>
      <c r="B28" s="1408">
        <v>2.8</v>
      </c>
      <c r="C28" s="1396" t="s">
        <v>1471</v>
      </c>
      <c r="D28" s="1394" t="s">
        <v>3201</v>
      </c>
      <c r="E28" s="1394"/>
      <c r="F28" s="1394">
        <v>26</v>
      </c>
      <c r="G28" s="1394">
        <v>120</v>
      </c>
      <c r="H28" s="1394">
        <f t="shared" si="1"/>
        <v>3120</v>
      </c>
      <c r="I28" s="1394"/>
      <c r="J28" s="1409">
        <f>G28*I28</f>
        <v>0</v>
      </c>
    </row>
    <row r="29" spans="1:11" ht="15.75" customHeight="1">
      <c r="A29" s="1317"/>
      <c r="B29" s="1408">
        <v>2.9</v>
      </c>
      <c r="C29" s="1396" t="s">
        <v>1470</v>
      </c>
      <c r="D29" s="1394" t="s">
        <v>3201</v>
      </c>
      <c r="E29" s="1394"/>
      <c r="F29" s="1394">
        <v>100</v>
      </c>
      <c r="G29" s="1394">
        <v>120</v>
      </c>
      <c r="H29" s="1394">
        <f t="shared" si="1"/>
        <v>12000</v>
      </c>
      <c r="I29" s="1394"/>
      <c r="J29" s="1409">
        <f>G29*I29</f>
        <v>0</v>
      </c>
    </row>
    <row r="30" spans="1:11" ht="15.75" customHeight="1">
      <c r="A30" s="1317"/>
      <c r="B30" s="1410">
        <v>2.1</v>
      </c>
      <c r="C30" s="1396" t="s">
        <v>2</v>
      </c>
      <c r="D30" s="1394" t="s">
        <v>3201</v>
      </c>
      <c r="E30" s="1394">
        <v>5</v>
      </c>
      <c r="F30" s="1394">
        <v>5</v>
      </c>
      <c r="G30" s="1394">
        <v>150</v>
      </c>
      <c r="H30" s="1394">
        <f t="shared" si="1"/>
        <v>750</v>
      </c>
      <c r="I30" s="1394"/>
      <c r="J30" s="1409"/>
    </row>
    <row r="31" spans="1:11" ht="15.75" customHeight="1">
      <c r="A31" s="1317"/>
      <c r="B31" s="1408"/>
      <c r="C31" s="1396" t="s">
        <v>1454</v>
      </c>
      <c r="D31" s="1394"/>
      <c r="E31" s="1394"/>
      <c r="F31" s="1394"/>
      <c r="G31" s="1394"/>
      <c r="H31" s="1394"/>
      <c r="I31" s="1394"/>
      <c r="J31" s="1409"/>
    </row>
    <row r="32" spans="1:11" ht="15.75" customHeight="1">
      <c r="A32" s="1317"/>
      <c r="B32" s="1410">
        <v>2.11</v>
      </c>
      <c r="C32" s="1396" t="s">
        <v>1468</v>
      </c>
      <c r="D32" s="1394" t="s">
        <v>1450</v>
      </c>
      <c r="E32" s="1394">
        <v>1243</v>
      </c>
      <c r="F32" s="1394">
        <v>1243</v>
      </c>
      <c r="G32" s="1394">
        <v>36</v>
      </c>
      <c r="H32" s="1394">
        <f t="shared" si="1"/>
        <v>44748</v>
      </c>
      <c r="I32" s="1394">
        <f>'OPD TOS'!D101</f>
        <v>1761.2759999999998</v>
      </c>
      <c r="J32" s="1409">
        <f>G32*I32</f>
        <v>63405.935999999994</v>
      </c>
    </row>
    <row r="33" spans="1:10" ht="15.75" customHeight="1">
      <c r="A33" s="1317"/>
      <c r="B33" s="1410">
        <v>2.12</v>
      </c>
      <c r="C33" s="1396" t="s">
        <v>1467</v>
      </c>
      <c r="D33" s="1394" t="s">
        <v>1450</v>
      </c>
      <c r="E33" s="1394"/>
      <c r="F33" s="1394">
        <v>950</v>
      </c>
      <c r="G33" s="1394">
        <v>36</v>
      </c>
      <c r="H33" s="1394">
        <f t="shared" si="1"/>
        <v>34200</v>
      </c>
      <c r="I33" s="1394"/>
      <c r="J33" s="1409">
        <f>G33*I33</f>
        <v>0</v>
      </c>
    </row>
    <row r="34" spans="1:10" ht="15.75" customHeight="1">
      <c r="A34" s="1317"/>
      <c r="B34" s="1410">
        <v>2.13</v>
      </c>
      <c r="C34" s="1396" t="s">
        <v>1451</v>
      </c>
      <c r="D34" s="1394" t="s">
        <v>1450</v>
      </c>
      <c r="E34" s="1394">
        <v>2111</v>
      </c>
      <c r="F34" s="1394">
        <v>2320</v>
      </c>
      <c r="G34" s="1394">
        <v>36</v>
      </c>
      <c r="H34" s="1394">
        <f t="shared" si="1"/>
        <v>83520</v>
      </c>
      <c r="I34" s="1394">
        <f>'OPD TOS'!D105</f>
        <v>1992.6051500000003</v>
      </c>
      <c r="J34" s="1409">
        <f>G34*I34</f>
        <v>71733.785400000008</v>
      </c>
    </row>
    <row r="35" spans="1:10" ht="15.75" customHeight="1">
      <c r="A35" s="1317"/>
      <c r="B35" s="1429">
        <v>2.14</v>
      </c>
      <c r="C35" s="1422" t="s">
        <v>1466</v>
      </c>
      <c r="D35" s="1423" t="s">
        <v>1406</v>
      </c>
      <c r="E35" s="1423">
        <v>329</v>
      </c>
      <c r="F35" s="1423">
        <v>329</v>
      </c>
      <c r="G35" s="1423">
        <v>30</v>
      </c>
      <c r="H35" s="1423">
        <f t="shared" si="1"/>
        <v>9870</v>
      </c>
      <c r="I35" s="1423">
        <f>'OPD TOS'!H67</f>
        <v>341.4</v>
      </c>
      <c r="J35" s="1424">
        <f>G35*I35</f>
        <v>10242</v>
      </c>
    </row>
    <row r="36" spans="1:10" ht="15.75" customHeight="1">
      <c r="A36" s="1317"/>
      <c r="B36" s="2088" t="s">
        <v>1330</v>
      </c>
      <c r="C36" s="2088"/>
      <c r="D36" s="2088"/>
      <c r="E36" s="1430"/>
      <c r="F36" s="1430"/>
      <c r="G36" s="1430"/>
      <c r="H36" s="1428">
        <f>SUM(H19:H35)</f>
        <v>496608</v>
      </c>
      <c r="I36" s="1428"/>
      <c r="J36" s="1428">
        <f>SUM(J19:J35)</f>
        <v>410133.88140000001</v>
      </c>
    </row>
    <row r="37" spans="1:10" ht="15.75" customHeight="1">
      <c r="A37" s="1317"/>
      <c r="B37" s="1425"/>
      <c r="C37" s="1426" t="s">
        <v>1465</v>
      </c>
      <c r="D37" s="1416"/>
      <c r="E37" s="1416"/>
      <c r="F37" s="1416"/>
      <c r="G37" s="1416"/>
      <c r="H37" s="1416"/>
      <c r="I37" s="1416"/>
      <c r="J37" s="1427"/>
    </row>
    <row r="38" spans="1:10" ht="15.75" customHeight="1">
      <c r="A38" s="1317"/>
      <c r="B38" s="1408">
        <v>3.1</v>
      </c>
      <c r="C38" s="1396" t="s">
        <v>1464</v>
      </c>
      <c r="D38" s="1394" t="s">
        <v>3200</v>
      </c>
      <c r="E38" s="1394">
        <v>120</v>
      </c>
      <c r="F38" s="1394">
        <v>120</v>
      </c>
      <c r="G38" s="1394">
        <v>1250</v>
      </c>
      <c r="H38" s="1394">
        <f t="shared" si="1"/>
        <v>150000</v>
      </c>
      <c r="I38" s="1394">
        <f>'OPD TOS'!H95</f>
        <v>67.633920000000003</v>
      </c>
      <c r="J38" s="1409">
        <f>G38*I38</f>
        <v>84542.400000000009</v>
      </c>
    </row>
    <row r="39" spans="1:10" ht="15.75" customHeight="1">
      <c r="A39" s="1317"/>
      <c r="B39" s="1408">
        <v>3.2</v>
      </c>
      <c r="C39" s="1396" t="s">
        <v>1463</v>
      </c>
      <c r="D39" s="1394" t="s">
        <v>3200</v>
      </c>
      <c r="E39" s="1394">
        <v>24</v>
      </c>
      <c r="F39" s="1394">
        <v>24</v>
      </c>
      <c r="G39" s="1394">
        <v>1450</v>
      </c>
      <c r="H39" s="1394">
        <f t="shared" si="1"/>
        <v>34800</v>
      </c>
      <c r="I39" s="1394">
        <f>'OPD TOS'!H93</f>
        <v>10.234560000000002</v>
      </c>
      <c r="J39" s="1409">
        <f>G39*I39</f>
        <v>14840.112000000003</v>
      </c>
    </row>
    <row r="40" spans="1:10" ht="15.75" customHeight="1">
      <c r="A40" s="1317"/>
      <c r="B40" s="1410"/>
      <c r="C40" s="1396" t="s">
        <v>1330</v>
      </c>
      <c r="D40" s="1394"/>
      <c r="E40" s="1394"/>
      <c r="F40" s="1394"/>
      <c r="G40" s="1394"/>
      <c r="H40" s="1391">
        <f>SUM(H38:H39)</f>
        <v>184800</v>
      </c>
      <c r="I40" s="1391"/>
      <c r="J40" s="1411">
        <f>SUM(J38:J39)</f>
        <v>99382.512000000017</v>
      </c>
    </row>
    <row r="41" spans="1:10" ht="15.75" customHeight="1">
      <c r="A41" s="1317"/>
      <c r="B41" s="1410"/>
      <c r="C41" s="1397" t="s">
        <v>1462</v>
      </c>
      <c r="D41" s="1394"/>
      <c r="E41" s="1394"/>
      <c r="F41" s="1394"/>
      <c r="G41" s="1394"/>
      <c r="H41" s="1394"/>
      <c r="I41" s="1394"/>
      <c r="J41" s="1409"/>
    </row>
    <row r="42" spans="1:10" ht="15.75" customHeight="1">
      <c r="A42" s="1317"/>
      <c r="B42" s="1410"/>
      <c r="C42" s="1397" t="s">
        <v>1461</v>
      </c>
      <c r="D42" s="1394"/>
      <c r="E42" s="1394"/>
      <c r="F42" s="1394"/>
      <c r="G42" s="1394"/>
      <c r="H42" s="1394"/>
      <c r="I42" s="1394"/>
      <c r="J42" s="1409"/>
    </row>
    <row r="43" spans="1:10" ht="15.75" customHeight="1">
      <c r="A43" s="1317"/>
      <c r="B43" s="1410"/>
      <c r="C43" s="1396" t="s">
        <v>1460</v>
      </c>
      <c r="D43" s="1394"/>
      <c r="E43" s="1394"/>
      <c r="F43" s="1394"/>
      <c r="G43" s="1394"/>
      <c r="H43" s="1394"/>
      <c r="I43" s="1394"/>
      <c r="J43" s="1409"/>
    </row>
    <row r="44" spans="1:10" ht="15.75" customHeight="1">
      <c r="A44" s="1317"/>
      <c r="B44" s="1408">
        <v>1.1000000000000001</v>
      </c>
      <c r="C44" s="1396" t="s">
        <v>1459</v>
      </c>
      <c r="D44" s="1394" t="s">
        <v>3200</v>
      </c>
      <c r="E44" s="1394">
        <v>4.3</v>
      </c>
      <c r="F44" s="1394">
        <v>4.5</v>
      </c>
      <c r="G44" s="1394">
        <v>3200</v>
      </c>
      <c r="H44" s="1394">
        <f t="shared" si="1"/>
        <v>14400</v>
      </c>
      <c r="I44" s="1394">
        <f>'OPD TOS'!D119</f>
        <v>3.4944000000000006</v>
      </c>
      <c r="J44" s="1409">
        <f>G44*I44</f>
        <v>11182.080000000002</v>
      </c>
    </row>
    <row r="45" spans="1:10" ht="15.75" customHeight="1">
      <c r="A45" s="1317"/>
      <c r="B45" s="1408">
        <v>1.2</v>
      </c>
      <c r="C45" s="1396" t="s">
        <v>1458</v>
      </c>
      <c r="D45" s="1394" t="s">
        <v>3200</v>
      </c>
      <c r="E45" s="1394">
        <v>14</v>
      </c>
      <c r="F45" s="1394">
        <v>14</v>
      </c>
      <c r="G45" s="1394">
        <v>3200</v>
      </c>
      <c r="H45" s="1394">
        <f t="shared" si="1"/>
        <v>44800</v>
      </c>
      <c r="I45" s="1394">
        <f>'OPD TOS'!D139</f>
        <v>13.4208</v>
      </c>
      <c r="J45" s="1409">
        <f>G45*I45</f>
        <v>42946.559999999998</v>
      </c>
    </row>
    <row r="46" spans="1:10" ht="18.75" customHeight="1">
      <c r="A46" s="1317"/>
      <c r="B46" s="1408">
        <v>1.3</v>
      </c>
      <c r="C46" s="1396" t="s">
        <v>3</v>
      </c>
      <c r="D46" s="1394" t="s">
        <v>3200</v>
      </c>
      <c r="E46" s="1394"/>
      <c r="F46" s="1394">
        <v>1.1000000000000001</v>
      </c>
      <c r="G46" s="1394">
        <v>3200</v>
      </c>
      <c r="H46" s="1394">
        <f t="shared" si="1"/>
        <v>3520.0000000000005</v>
      </c>
      <c r="I46" s="1394">
        <f>'OPD TOS'!D157</f>
        <v>0.33800000000000002</v>
      </c>
      <c r="J46" s="1409">
        <f>G46*I46</f>
        <v>1081.6000000000001</v>
      </c>
    </row>
    <row r="47" spans="1:10" ht="15.75" customHeight="1">
      <c r="A47" s="1317"/>
      <c r="B47" s="1408"/>
      <c r="C47" s="1396" t="s">
        <v>1457</v>
      </c>
      <c r="D47" s="1394"/>
      <c r="E47" s="1394"/>
      <c r="F47" s="1394"/>
      <c r="G47" s="1394"/>
      <c r="H47" s="1394"/>
      <c r="I47" s="1394"/>
      <c r="J47" s="1409"/>
    </row>
    <row r="48" spans="1:10" ht="15.75" customHeight="1">
      <c r="A48" s="1317"/>
      <c r="B48" s="1408">
        <v>1.4</v>
      </c>
      <c r="C48" s="1396" t="s">
        <v>1456</v>
      </c>
      <c r="D48" s="1394" t="s">
        <v>3201</v>
      </c>
      <c r="E48" s="1394">
        <v>29</v>
      </c>
      <c r="F48" s="1394">
        <v>29</v>
      </c>
      <c r="G48" s="1394">
        <v>130</v>
      </c>
      <c r="H48" s="1394">
        <f t="shared" si="1"/>
        <v>3770</v>
      </c>
      <c r="I48" s="1394">
        <f>'OPD TOS'!D164</f>
        <v>69.888000000000005</v>
      </c>
      <c r="J48" s="1409">
        <f>G48*I48</f>
        <v>9085.44</v>
      </c>
    </row>
    <row r="49" spans="1:10" ht="15.75" customHeight="1">
      <c r="A49" s="1317"/>
      <c r="B49" s="1408">
        <v>1.5</v>
      </c>
      <c r="C49" s="1396" t="s">
        <v>1455</v>
      </c>
      <c r="D49" s="1394" t="s">
        <v>3201</v>
      </c>
      <c r="E49" s="1394">
        <v>192</v>
      </c>
      <c r="F49" s="1394">
        <v>192</v>
      </c>
      <c r="G49" s="1394">
        <v>130</v>
      </c>
      <c r="H49" s="1394">
        <f t="shared" si="1"/>
        <v>24960</v>
      </c>
      <c r="I49" s="1394">
        <f>'OPD TOS'!H131</f>
        <v>175.26400000000001</v>
      </c>
      <c r="J49" s="1409">
        <f>G49*I49</f>
        <v>22784.32</v>
      </c>
    </row>
    <row r="50" spans="1:10" ht="15.75" customHeight="1">
      <c r="A50" s="1317"/>
      <c r="B50" s="1408">
        <v>1.6</v>
      </c>
      <c r="C50" s="1396" t="s">
        <v>3</v>
      </c>
      <c r="D50" s="1394" t="s">
        <v>3201</v>
      </c>
      <c r="E50" s="1394"/>
      <c r="F50" s="1394">
        <v>10.1</v>
      </c>
      <c r="G50" s="1394">
        <v>130</v>
      </c>
      <c r="H50" s="1394">
        <f t="shared" si="1"/>
        <v>1313</v>
      </c>
      <c r="I50" s="1394">
        <f>'OPD TOS'!H147</f>
        <v>7.8599999999999994</v>
      </c>
      <c r="J50" s="1409">
        <f>G50*I50</f>
        <v>1021.8</v>
      </c>
    </row>
    <row r="51" spans="1:10" ht="15.75" customHeight="1">
      <c r="A51" s="1317"/>
      <c r="B51" s="1408"/>
      <c r="C51" s="1396" t="s">
        <v>1454</v>
      </c>
      <c r="D51" s="1394"/>
      <c r="E51" s="1394"/>
      <c r="F51" s="1394"/>
      <c r="G51" s="1394"/>
      <c r="H51" s="1394"/>
      <c r="I51" s="1394"/>
      <c r="J51" s="1409"/>
    </row>
    <row r="52" spans="1:10" ht="15.75" customHeight="1">
      <c r="A52" s="1317"/>
      <c r="B52" s="1408"/>
      <c r="C52" s="1396" t="s">
        <v>1498</v>
      </c>
      <c r="D52" s="1394"/>
      <c r="E52" s="1394"/>
      <c r="F52" s="1394"/>
      <c r="G52" s="1394">
        <v>36</v>
      </c>
      <c r="H52" s="1394"/>
      <c r="I52" s="1394"/>
      <c r="J52" s="1409"/>
    </row>
    <row r="53" spans="1:10" ht="15.75" customHeight="1">
      <c r="A53" s="1317"/>
      <c r="B53" s="1408">
        <v>1.7</v>
      </c>
      <c r="C53" s="1396" t="s">
        <v>1453</v>
      </c>
      <c r="D53" s="1394" t="s">
        <v>1450</v>
      </c>
      <c r="E53" s="1394">
        <v>0</v>
      </c>
      <c r="F53" s="1394">
        <v>1900</v>
      </c>
      <c r="G53" s="1394">
        <v>36</v>
      </c>
      <c r="H53" s="1394">
        <f t="shared" si="1"/>
        <v>68400</v>
      </c>
      <c r="I53" s="1394"/>
      <c r="J53" s="1409"/>
    </row>
    <row r="54" spans="1:10" ht="15.75" customHeight="1">
      <c r="A54" s="1317"/>
      <c r="B54" s="1408">
        <v>1.8</v>
      </c>
      <c r="C54" s="1396" t="s">
        <v>1452</v>
      </c>
      <c r="D54" s="1394" t="s">
        <v>1450</v>
      </c>
      <c r="E54" s="1394">
        <v>1727</v>
      </c>
      <c r="F54" s="1394">
        <v>1727</v>
      </c>
      <c r="G54" s="1394">
        <v>36</v>
      </c>
      <c r="H54" s="1394">
        <f t="shared" si="1"/>
        <v>62172</v>
      </c>
      <c r="I54" s="1394">
        <f>'OPD TOS'!H151</f>
        <v>1767.5817599999998</v>
      </c>
      <c r="J54" s="1409">
        <f>G54*I54</f>
        <v>63632.94335999999</v>
      </c>
    </row>
    <row r="55" spans="1:10" ht="15.75" customHeight="1">
      <c r="A55" s="1317"/>
      <c r="B55" s="1408">
        <v>1.9</v>
      </c>
      <c r="C55" s="1396" t="s">
        <v>1451</v>
      </c>
      <c r="D55" s="1394" t="s">
        <v>1450</v>
      </c>
      <c r="E55" s="1394">
        <v>538</v>
      </c>
      <c r="F55" s="1394">
        <v>538</v>
      </c>
      <c r="G55" s="1394">
        <v>36</v>
      </c>
      <c r="H55" s="1394">
        <f t="shared" si="1"/>
        <v>19368</v>
      </c>
      <c r="I55" s="1394">
        <f>'OPD TOS'!H155</f>
        <v>544.23099999999999</v>
      </c>
      <c r="J55" s="1409">
        <f>G55*I55</f>
        <v>19592.315999999999</v>
      </c>
    </row>
    <row r="56" spans="1:10" ht="15.75" customHeight="1">
      <c r="A56" s="1317"/>
      <c r="B56" s="1429">
        <v>1.1000000000000001</v>
      </c>
      <c r="C56" s="1422" t="s">
        <v>1499</v>
      </c>
      <c r="D56" s="1423" t="s">
        <v>1450</v>
      </c>
      <c r="E56" s="1423">
        <v>0</v>
      </c>
      <c r="F56" s="1423">
        <f>0.7*E56</f>
        <v>0</v>
      </c>
      <c r="G56" s="1423">
        <v>36</v>
      </c>
      <c r="H56" s="1423">
        <f t="shared" si="1"/>
        <v>0</v>
      </c>
      <c r="I56" s="1423"/>
      <c r="J56" s="1424">
        <f>G56*I56</f>
        <v>0</v>
      </c>
    </row>
    <row r="57" spans="1:10" ht="15.75" customHeight="1">
      <c r="A57" s="1317"/>
      <c r="B57" s="2088" t="s">
        <v>1330</v>
      </c>
      <c r="C57" s="2088"/>
      <c r="D57" s="2088"/>
      <c r="E57" s="1432"/>
      <c r="F57" s="1430"/>
      <c r="G57" s="1430"/>
      <c r="H57" s="1428">
        <f>SUM(H44:H56)</f>
        <v>242703</v>
      </c>
      <c r="I57" s="1428"/>
      <c r="J57" s="1428">
        <f>SUM(J44:J56)</f>
        <v>171327.05935999998</v>
      </c>
    </row>
    <row r="58" spans="1:10" ht="15.75" customHeight="1">
      <c r="A58" s="1317"/>
      <c r="B58" s="1425"/>
      <c r="C58" s="1431" t="s">
        <v>1449</v>
      </c>
      <c r="D58" s="1416"/>
      <c r="E58" s="1416"/>
      <c r="F58" s="1416"/>
      <c r="G58" s="1416"/>
      <c r="H58" s="1416"/>
      <c r="I58" s="1416"/>
      <c r="J58" s="1427"/>
    </row>
    <row r="59" spans="1:10" ht="15.75" customHeight="1">
      <c r="A59" s="1317"/>
      <c r="B59" s="1408">
        <v>2.1</v>
      </c>
      <c r="C59" s="1396" t="s">
        <v>1447</v>
      </c>
      <c r="D59" s="1394" t="s">
        <v>3201</v>
      </c>
      <c r="E59" s="1394">
        <v>498</v>
      </c>
      <c r="F59" s="1394">
        <v>331</v>
      </c>
      <c r="G59" s="1394">
        <v>350</v>
      </c>
      <c r="H59" s="1394">
        <f t="shared" si="1"/>
        <v>115850</v>
      </c>
      <c r="I59" s="1394">
        <f>'OPD TOS'!H171</f>
        <v>336.45660000000004</v>
      </c>
      <c r="J59" s="1409">
        <f>G59*I59</f>
        <v>117759.81000000001</v>
      </c>
    </row>
    <row r="60" spans="1:10" ht="15.75" customHeight="1">
      <c r="A60" s="1317"/>
      <c r="B60" s="1421">
        <v>2.2000000000000002</v>
      </c>
      <c r="C60" s="1422" t="s">
        <v>1446</v>
      </c>
      <c r="D60" s="1423" t="s">
        <v>3201</v>
      </c>
      <c r="E60" s="1423">
        <v>0</v>
      </c>
      <c r="F60" s="1423">
        <v>167</v>
      </c>
      <c r="G60" s="1423">
        <v>320</v>
      </c>
      <c r="H60" s="1423">
        <f t="shared" si="1"/>
        <v>53440</v>
      </c>
      <c r="I60" s="1423">
        <f>'OPD TOS'!D232</f>
        <v>248.90339999999998</v>
      </c>
      <c r="J60" s="1424">
        <f>G60*I60</f>
        <v>79649.087999999989</v>
      </c>
    </row>
    <row r="61" spans="1:10" ht="15.75" customHeight="1">
      <c r="A61" s="1317"/>
      <c r="B61" s="2088" t="s">
        <v>1330</v>
      </c>
      <c r="C61" s="2088"/>
      <c r="D61" s="2088"/>
      <c r="E61" s="1432"/>
      <c r="F61" s="1430"/>
      <c r="G61" s="1430"/>
      <c r="H61" s="1428">
        <f>SUM(H59:H60)</f>
        <v>169290</v>
      </c>
      <c r="I61" s="1428"/>
      <c r="J61" s="1428">
        <f>SUM(J59:J60)</f>
        <v>197408.89799999999</v>
      </c>
    </row>
    <row r="62" spans="1:10" ht="15.75" customHeight="1">
      <c r="A62" s="1317"/>
      <c r="B62" s="1425"/>
      <c r="C62" s="1426" t="s">
        <v>1443</v>
      </c>
      <c r="D62" s="1416"/>
      <c r="E62" s="1416"/>
      <c r="F62" s="1416"/>
      <c r="G62" s="1416"/>
      <c r="H62" s="1416"/>
      <c r="I62" s="1416"/>
      <c r="J62" s="1427"/>
    </row>
    <row r="63" spans="1:10" ht="15.75" customHeight="1">
      <c r="A63" s="1317"/>
      <c r="B63" s="1408">
        <v>3.1</v>
      </c>
      <c r="C63" s="1396" t="s">
        <v>1442</v>
      </c>
      <c r="D63" s="1394" t="s">
        <v>3201</v>
      </c>
      <c r="E63" s="1394">
        <v>452.13</v>
      </c>
      <c r="F63" s="1394">
        <v>451</v>
      </c>
      <c r="G63" s="1394">
        <v>300</v>
      </c>
      <c r="H63" s="1394">
        <f t="shared" si="1"/>
        <v>135300</v>
      </c>
      <c r="I63" s="1394">
        <f>'OPD TOS'!D238</f>
        <v>500.94</v>
      </c>
      <c r="J63" s="1409">
        <f>G63*I63</f>
        <v>150282</v>
      </c>
    </row>
    <row r="64" spans="1:10" ht="15.75" customHeight="1">
      <c r="A64" s="1317"/>
      <c r="B64" s="1408">
        <v>3.2</v>
      </c>
      <c r="C64" s="1398" t="s">
        <v>1500</v>
      </c>
      <c r="D64" s="1394" t="s">
        <v>3201</v>
      </c>
      <c r="E64" s="1394">
        <v>56</v>
      </c>
      <c r="F64" s="1394">
        <f>0.7*E64</f>
        <v>39.199999999999996</v>
      </c>
      <c r="G64" s="1394">
        <v>160</v>
      </c>
      <c r="H64" s="1394">
        <f t="shared" si="1"/>
        <v>6271.9999999999991</v>
      </c>
      <c r="I64" s="1394">
        <f>'OPD TOS'!D247</f>
        <v>59.039999999999992</v>
      </c>
      <c r="J64" s="1409">
        <f>G64*I64</f>
        <v>9446.3999999999978</v>
      </c>
    </row>
    <row r="65" spans="1:10" ht="15.75" customHeight="1">
      <c r="A65" s="1317"/>
      <c r="B65" s="1408">
        <v>3.3</v>
      </c>
      <c r="C65" s="1396" t="s">
        <v>1440</v>
      </c>
      <c r="D65" s="1394" t="s">
        <v>1406</v>
      </c>
      <c r="E65" s="1394">
        <v>93</v>
      </c>
      <c r="F65" s="1394">
        <v>28</v>
      </c>
      <c r="G65" s="1394">
        <v>110</v>
      </c>
      <c r="H65" s="1394">
        <f t="shared" si="1"/>
        <v>3080</v>
      </c>
      <c r="I65" s="1394">
        <f>'OPD TOS'!D257</f>
        <v>51.199999999999996</v>
      </c>
      <c r="J65" s="1409">
        <f>G65*I65</f>
        <v>5631.9999999999991</v>
      </c>
    </row>
    <row r="66" spans="1:10" ht="17.25" customHeight="1">
      <c r="A66" s="1317"/>
      <c r="B66" s="1421">
        <v>3.4</v>
      </c>
      <c r="C66" s="1433" t="s">
        <v>1439</v>
      </c>
      <c r="D66" s="1423" t="s">
        <v>1406</v>
      </c>
      <c r="E66" s="1423">
        <v>70</v>
      </c>
      <c r="F66" s="1423">
        <v>72</v>
      </c>
      <c r="G66" s="1423">
        <v>120</v>
      </c>
      <c r="H66" s="1423">
        <f t="shared" si="1"/>
        <v>8640</v>
      </c>
      <c r="I66" s="1423">
        <f>'OPD TOS'!D264</f>
        <v>72.599999999999994</v>
      </c>
      <c r="J66" s="1424">
        <f>G66*I66</f>
        <v>8712</v>
      </c>
    </row>
    <row r="67" spans="1:10" ht="15.75" customHeight="1">
      <c r="A67" s="1317"/>
      <c r="B67" s="2088" t="s">
        <v>1330</v>
      </c>
      <c r="C67" s="2088"/>
      <c r="D67" s="2088"/>
      <c r="E67" s="1432"/>
      <c r="F67" s="1430"/>
      <c r="G67" s="1430"/>
      <c r="H67" s="1428">
        <f>SUM(H63:H66)</f>
        <v>153292</v>
      </c>
      <c r="I67" s="1428"/>
      <c r="J67" s="1428">
        <f>SUM(J63:J66)</f>
        <v>174072.4</v>
      </c>
    </row>
    <row r="68" spans="1:10" ht="15.75" customHeight="1">
      <c r="A68" s="1317"/>
      <c r="B68" s="1425"/>
      <c r="C68" s="1434" t="s">
        <v>1438</v>
      </c>
      <c r="D68" s="1416"/>
      <c r="E68" s="1416"/>
      <c r="F68" s="1416"/>
      <c r="G68" s="1416"/>
      <c r="H68" s="1435"/>
      <c r="I68" s="1435"/>
      <c r="J68" s="1427"/>
    </row>
    <row r="69" spans="1:10" ht="15.75" customHeight="1">
      <c r="A69" s="1317"/>
      <c r="B69" s="1408">
        <v>4.0999999999999996</v>
      </c>
      <c r="C69" s="1396" t="s">
        <v>1501</v>
      </c>
      <c r="D69" s="1394" t="s">
        <v>1406</v>
      </c>
      <c r="E69" s="1394">
        <v>529.79999999999995</v>
      </c>
      <c r="F69" s="1394">
        <v>529</v>
      </c>
      <c r="G69" s="1394">
        <v>23</v>
      </c>
      <c r="H69" s="1394">
        <f t="shared" si="1"/>
        <v>12167</v>
      </c>
      <c r="I69" s="1394">
        <f>'OPD TOS'!D273</f>
        <v>724.68000000000006</v>
      </c>
      <c r="J69" s="1409">
        <f>G69*I69</f>
        <v>16667.640000000003</v>
      </c>
    </row>
    <row r="70" spans="1:10" ht="15.75" customHeight="1">
      <c r="A70" s="1317"/>
      <c r="B70" s="1408">
        <v>4.2</v>
      </c>
      <c r="C70" s="1396" t="s">
        <v>1502</v>
      </c>
      <c r="D70" s="1394" t="s">
        <v>1406</v>
      </c>
      <c r="E70" s="1394">
        <v>376.8</v>
      </c>
      <c r="F70" s="1394">
        <v>376</v>
      </c>
      <c r="G70" s="1394">
        <v>16</v>
      </c>
      <c r="H70" s="1394">
        <f t="shared" si="1"/>
        <v>6016</v>
      </c>
      <c r="I70" s="1394">
        <f>'OPD TOS'!D282</f>
        <v>774.9</v>
      </c>
      <c r="J70" s="1409">
        <f>G70*I70</f>
        <v>12398.4</v>
      </c>
    </row>
    <row r="71" spans="1:10" ht="15.75" customHeight="1">
      <c r="A71" s="1317"/>
      <c r="B71" s="1408">
        <v>4.3</v>
      </c>
      <c r="C71" s="1396" t="s">
        <v>1435</v>
      </c>
      <c r="D71" s="1394" t="s">
        <v>1406</v>
      </c>
      <c r="E71" s="1394">
        <v>506.38</v>
      </c>
      <c r="F71" s="1394">
        <v>506.38</v>
      </c>
      <c r="G71" s="1394">
        <v>33</v>
      </c>
      <c r="H71" s="1394">
        <f t="shared" si="1"/>
        <v>16710.54</v>
      </c>
      <c r="I71" s="1394">
        <f>'OPD TOS'!H231</f>
        <v>714.6</v>
      </c>
      <c r="J71" s="1409">
        <f>G71*I71</f>
        <v>23581.8</v>
      </c>
    </row>
    <row r="72" spans="1:10" ht="15.75" customHeight="1">
      <c r="A72" s="1317"/>
      <c r="B72" s="1408">
        <v>4.4000000000000004</v>
      </c>
      <c r="C72" s="1396" t="s">
        <v>1434</v>
      </c>
      <c r="D72" s="1394" t="s">
        <v>1406</v>
      </c>
      <c r="E72" s="1394">
        <v>72.34</v>
      </c>
      <c r="F72" s="1394">
        <v>72.34</v>
      </c>
      <c r="G72" s="1394">
        <v>71</v>
      </c>
      <c r="H72" s="1394">
        <f t="shared" si="1"/>
        <v>5136.1400000000003</v>
      </c>
      <c r="I72" s="1394">
        <f>'OPD TOS'!H239</f>
        <v>98.16</v>
      </c>
      <c r="J72" s="1409">
        <f>G72*I72</f>
        <v>6969.36</v>
      </c>
    </row>
    <row r="73" spans="1:10" ht="15.75" customHeight="1">
      <c r="A73" s="1317"/>
      <c r="B73" s="1408"/>
      <c r="C73" s="1396" t="s">
        <v>1433</v>
      </c>
      <c r="D73" s="1394"/>
      <c r="E73" s="1394"/>
      <c r="F73" s="1394"/>
      <c r="G73" s="1394"/>
      <c r="H73" s="1394"/>
      <c r="I73" s="1394"/>
      <c r="J73" s="1409"/>
    </row>
    <row r="74" spans="1:10" ht="15.75" customHeight="1">
      <c r="A74" s="1317"/>
      <c r="B74" s="1408">
        <v>4.5</v>
      </c>
      <c r="C74" s="1396" t="s">
        <v>1432</v>
      </c>
      <c r="D74" s="1394" t="s">
        <v>1416</v>
      </c>
      <c r="E74" s="1394">
        <v>2</v>
      </c>
      <c r="F74" s="1394">
        <v>2</v>
      </c>
      <c r="G74" s="1394">
        <v>5187</v>
      </c>
      <c r="H74" s="1394">
        <f t="shared" ref="H74:H125" si="2">F74*G74</f>
        <v>10374</v>
      </c>
      <c r="I74" s="1394">
        <f>'OPD TOS'!H243</f>
        <v>1</v>
      </c>
      <c r="J74" s="1409">
        <f>G74*I74</f>
        <v>5187</v>
      </c>
    </row>
    <row r="75" spans="1:10" ht="15.75" customHeight="1">
      <c r="A75" s="1317"/>
      <c r="B75" s="1408">
        <v>4.5999999999999996</v>
      </c>
      <c r="C75" s="1396" t="s">
        <v>1431</v>
      </c>
      <c r="D75" s="1394" t="s">
        <v>1416</v>
      </c>
      <c r="E75" s="1394">
        <v>7</v>
      </c>
      <c r="F75" s="1394">
        <v>7</v>
      </c>
      <c r="G75" s="1394">
        <v>4149.6000000000004</v>
      </c>
      <c r="H75" s="1394">
        <f t="shared" si="2"/>
        <v>29047.200000000004</v>
      </c>
      <c r="I75" s="1394">
        <f>'OPD TOS'!H247</f>
        <v>2</v>
      </c>
      <c r="J75" s="1409">
        <f>G75*I75</f>
        <v>8299.2000000000007</v>
      </c>
    </row>
    <row r="76" spans="1:10" ht="15.75" customHeight="1">
      <c r="A76" s="1317"/>
      <c r="B76" s="1408">
        <v>4.7</v>
      </c>
      <c r="C76" s="1396" t="s">
        <v>1430</v>
      </c>
      <c r="D76" s="1394" t="s">
        <v>1416</v>
      </c>
      <c r="E76" s="1394">
        <v>6</v>
      </c>
      <c r="F76" s="1394">
        <v>6</v>
      </c>
      <c r="G76" s="1394">
        <v>3630.9</v>
      </c>
      <c r="H76" s="1394">
        <f t="shared" si="2"/>
        <v>21785.4</v>
      </c>
      <c r="I76" s="1394">
        <f>'OPD TOS'!H251</f>
        <v>5</v>
      </c>
      <c r="J76" s="1409">
        <f>G76*I76</f>
        <v>18154.5</v>
      </c>
    </row>
    <row r="77" spans="1:10" ht="15.75" customHeight="1">
      <c r="A77" s="1317"/>
      <c r="B77" s="1421">
        <v>4.8</v>
      </c>
      <c r="C77" s="1422" t="s">
        <v>1429</v>
      </c>
      <c r="D77" s="1423" t="s">
        <v>1416</v>
      </c>
      <c r="E77" s="1423">
        <v>10</v>
      </c>
      <c r="F77" s="1423">
        <v>10</v>
      </c>
      <c r="G77" s="1423">
        <v>4668.3</v>
      </c>
      <c r="H77" s="1423">
        <f t="shared" si="2"/>
        <v>46683</v>
      </c>
      <c r="I77" s="1423">
        <f>'OPD TOS'!H255</f>
        <v>15</v>
      </c>
      <c r="J77" s="1424">
        <f>G77*I77</f>
        <v>70024.5</v>
      </c>
    </row>
    <row r="78" spans="1:10" ht="15.75" customHeight="1">
      <c r="A78" s="1317"/>
      <c r="B78" s="2088" t="s">
        <v>1330</v>
      </c>
      <c r="C78" s="2088"/>
      <c r="D78" s="2088"/>
      <c r="E78" s="1432"/>
      <c r="F78" s="1430"/>
      <c r="G78" s="1430"/>
      <c r="H78" s="1428">
        <f>SUM(H69:H77)</f>
        <v>147919.28</v>
      </c>
      <c r="I78" s="1428"/>
      <c r="J78" s="1428">
        <f>SUM(J69:J77)</f>
        <v>161282.4</v>
      </c>
    </row>
    <row r="79" spans="1:10" ht="15.75" customHeight="1">
      <c r="A79" s="1317"/>
      <c r="B79" s="1425"/>
      <c r="C79" s="1426" t="s">
        <v>1428</v>
      </c>
      <c r="D79" s="1416"/>
      <c r="E79" s="1416"/>
      <c r="F79" s="1416"/>
      <c r="G79" s="1416"/>
      <c r="H79" s="1416"/>
      <c r="I79" s="1416"/>
      <c r="J79" s="1427"/>
    </row>
    <row r="80" spans="1:10" ht="15.75" customHeight="1">
      <c r="A80" s="1317"/>
      <c r="B80" s="1408"/>
      <c r="C80" s="1396" t="s">
        <v>1427</v>
      </c>
      <c r="D80" s="1394"/>
      <c r="E80" s="1394"/>
      <c r="F80" s="1394"/>
      <c r="G80" s="1394"/>
      <c r="H80" s="1394"/>
      <c r="I80" s="1394"/>
      <c r="J80" s="1409"/>
    </row>
    <row r="81" spans="1:19" ht="15.75" customHeight="1">
      <c r="A81" s="1317"/>
      <c r="B81" s="1408">
        <v>5.0999999999999996</v>
      </c>
      <c r="C81" s="1396" t="s">
        <v>1426</v>
      </c>
      <c r="D81" s="1394" t="s">
        <v>1416</v>
      </c>
      <c r="E81" s="1394">
        <v>16</v>
      </c>
      <c r="F81" s="1394">
        <v>6</v>
      </c>
      <c r="G81" s="1394">
        <v>3892.5</v>
      </c>
      <c r="H81" s="1394">
        <f t="shared" si="2"/>
        <v>23355</v>
      </c>
      <c r="I81" s="1394">
        <f>'OPD TOS'!H260</f>
        <v>14</v>
      </c>
      <c r="J81" s="1409">
        <f>G81*I81</f>
        <v>54495</v>
      </c>
    </row>
    <row r="82" spans="1:19" ht="15.75" customHeight="1">
      <c r="A82" s="1317"/>
      <c r="B82" s="1408">
        <v>5.2</v>
      </c>
      <c r="C82" s="1396" t="s">
        <v>1425</v>
      </c>
      <c r="D82" s="1394" t="s">
        <v>1416</v>
      </c>
      <c r="E82" s="1394">
        <v>1</v>
      </c>
      <c r="F82" s="1394">
        <v>16</v>
      </c>
      <c r="G82" s="1394">
        <v>3373.5</v>
      </c>
      <c r="H82" s="1394">
        <f t="shared" si="2"/>
        <v>53976</v>
      </c>
      <c r="I82" s="1394">
        <f>'OPD TOS'!H264</f>
        <v>5</v>
      </c>
      <c r="J82" s="1409">
        <f>G82*I82</f>
        <v>16867.5</v>
      </c>
    </row>
    <row r="83" spans="1:19" ht="15.75" customHeight="1">
      <c r="A83" s="1317"/>
      <c r="B83" s="1408">
        <v>5.3</v>
      </c>
      <c r="C83" s="1396" t="s">
        <v>1503</v>
      </c>
      <c r="D83" s="1394" t="s">
        <v>1416</v>
      </c>
      <c r="E83" s="1394">
        <v>2</v>
      </c>
      <c r="F83" s="1394">
        <v>1</v>
      </c>
      <c r="G83" s="1394">
        <v>1620</v>
      </c>
      <c r="H83" s="1394">
        <f t="shared" si="2"/>
        <v>1620</v>
      </c>
      <c r="I83" s="1394">
        <f>'OPD TOS'!H268</f>
        <v>1</v>
      </c>
      <c r="J83" s="1409">
        <f>G83*I83</f>
        <v>1620</v>
      </c>
    </row>
    <row r="84" spans="1:19" ht="15.75" customHeight="1">
      <c r="A84" s="1317"/>
      <c r="B84" s="1408">
        <v>5.4</v>
      </c>
      <c r="C84" s="1396" t="s">
        <v>1504</v>
      </c>
      <c r="D84" s="1394" t="s">
        <v>1416</v>
      </c>
      <c r="E84" s="1394">
        <v>8</v>
      </c>
      <c r="F84" s="1394">
        <v>2</v>
      </c>
      <c r="G84" s="1394">
        <v>900</v>
      </c>
      <c r="H84" s="1394">
        <f t="shared" si="2"/>
        <v>1800</v>
      </c>
      <c r="I84" s="1394"/>
      <c r="J84" s="1409">
        <f t="shared" ref="J84:J87" si="3">G84*I84</f>
        <v>0</v>
      </c>
      <c r="P84" s="1311" t="e">
        <f>#REF!*N84*O84</f>
        <v>#REF!</v>
      </c>
      <c r="Q84" s="1311" t="e">
        <f>N84*O84*P84</f>
        <v>#REF!</v>
      </c>
      <c r="R84" s="1311" t="e">
        <f>O84*P84*Q84</f>
        <v>#REF!</v>
      </c>
      <c r="S84" s="1311" t="e">
        <f>P84*Q84*R84</f>
        <v>#REF!</v>
      </c>
    </row>
    <row r="85" spans="1:19" ht="15.75" customHeight="1">
      <c r="A85" s="1317"/>
      <c r="B85" s="1408"/>
      <c r="C85" s="1396" t="s">
        <v>2536</v>
      </c>
      <c r="D85" s="1394" t="s">
        <v>1416</v>
      </c>
      <c r="E85" s="1394"/>
      <c r="F85" s="1394"/>
      <c r="G85" s="1394">
        <f>1500*1.3*0.6</f>
        <v>1170</v>
      </c>
      <c r="H85" s="1394">
        <v>2340</v>
      </c>
      <c r="I85" s="1394">
        <f>'OPD TOS'!H272</f>
        <v>2</v>
      </c>
      <c r="J85" s="1409">
        <f t="shared" si="3"/>
        <v>2340</v>
      </c>
    </row>
    <row r="86" spans="1:19" ht="15.75" customHeight="1">
      <c r="A86" s="1317"/>
      <c r="B86" s="1408"/>
      <c r="C86" s="1396" t="s">
        <v>1420</v>
      </c>
      <c r="D86" s="1394"/>
      <c r="E86" s="1394"/>
      <c r="F86" s="1394"/>
      <c r="G86" s="1394"/>
      <c r="H86" s="1394"/>
      <c r="I86" s="1394"/>
      <c r="J86" s="1409">
        <f t="shared" si="3"/>
        <v>0</v>
      </c>
    </row>
    <row r="87" spans="1:19" ht="15.75" customHeight="1">
      <c r="A87" s="1317"/>
      <c r="B87" s="1421">
        <v>5.6</v>
      </c>
      <c r="C87" s="1422" t="s">
        <v>1505</v>
      </c>
      <c r="D87" s="1423" t="s">
        <v>1416</v>
      </c>
      <c r="E87" s="1423">
        <v>3</v>
      </c>
      <c r="F87" s="1423">
        <v>3</v>
      </c>
      <c r="G87" s="1423">
        <v>5733</v>
      </c>
      <c r="H87" s="1423">
        <f t="shared" si="2"/>
        <v>17199</v>
      </c>
      <c r="I87" s="1423">
        <f>'OPD TOS'!H276</f>
        <v>2</v>
      </c>
      <c r="J87" s="1424">
        <f t="shared" si="3"/>
        <v>11466</v>
      </c>
    </row>
    <row r="88" spans="1:19" ht="15.75" customHeight="1">
      <c r="A88" s="1317"/>
      <c r="B88" s="2088" t="s">
        <v>1330</v>
      </c>
      <c r="C88" s="2088"/>
      <c r="D88" s="2088"/>
      <c r="E88" s="1432"/>
      <c r="F88" s="1430"/>
      <c r="G88" s="1430"/>
      <c r="H88" s="1428">
        <f>SUM(H81:H87)</f>
        <v>100290</v>
      </c>
      <c r="I88" s="1428"/>
      <c r="J88" s="1428">
        <f>SUM(J81:J87)</f>
        <v>86788.5</v>
      </c>
    </row>
    <row r="89" spans="1:19" ht="15.75" customHeight="1">
      <c r="A89" s="1317"/>
      <c r="B89" s="1425"/>
      <c r="C89" s="1426" t="s">
        <v>1415</v>
      </c>
      <c r="D89" s="1416"/>
      <c r="E89" s="1416"/>
      <c r="F89" s="1416"/>
      <c r="G89" s="1416"/>
      <c r="H89" s="1416"/>
      <c r="I89" s="1416"/>
      <c r="J89" s="1427"/>
    </row>
    <row r="90" spans="1:19" ht="15.75" customHeight="1">
      <c r="A90" s="1317"/>
      <c r="B90" s="1408">
        <v>6.1</v>
      </c>
      <c r="C90" s="1396" t="s">
        <v>1414</v>
      </c>
      <c r="D90" s="1394" t="s">
        <v>3201</v>
      </c>
      <c r="E90" s="1394"/>
      <c r="F90" s="1394">
        <v>208</v>
      </c>
      <c r="G90" s="1394">
        <v>140</v>
      </c>
      <c r="H90" s="1394">
        <f t="shared" si="2"/>
        <v>29120</v>
      </c>
      <c r="I90" s="1394">
        <f>'OPD TOS'!D314</f>
        <v>211.64959999999999</v>
      </c>
      <c r="J90" s="1409">
        <f t="shared" ref="J90:J100" si="4">G90*I90</f>
        <v>29630.944</v>
      </c>
    </row>
    <row r="91" spans="1:19" ht="15.75" customHeight="1">
      <c r="A91" s="1317"/>
      <c r="B91" s="1408">
        <v>6.2</v>
      </c>
      <c r="C91" s="1399" t="s">
        <v>1413</v>
      </c>
      <c r="D91" s="1394" t="s">
        <v>3201</v>
      </c>
      <c r="E91" s="1394"/>
      <c r="F91" s="1394">
        <v>789</v>
      </c>
      <c r="G91" s="1394">
        <v>150</v>
      </c>
      <c r="H91" s="1394">
        <f t="shared" si="2"/>
        <v>118350</v>
      </c>
      <c r="I91" s="1394">
        <f>'OPD TOS'!D444</f>
        <v>1103.5714000000003</v>
      </c>
      <c r="J91" s="1409">
        <f t="shared" si="4"/>
        <v>165535.71000000005</v>
      </c>
    </row>
    <row r="92" spans="1:19" ht="15.75" customHeight="1">
      <c r="A92" s="1317"/>
      <c r="B92" s="1408">
        <v>6.3</v>
      </c>
      <c r="C92" s="1396" t="s">
        <v>1506</v>
      </c>
      <c r="D92" s="1394" t="s">
        <v>3201</v>
      </c>
      <c r="E92" s="1394" t="e">
        <f>#REF!</f>
        <v>#REF!</v>
      </c>
      <c r="F92" s="1394">
        <v>394</v>
      </c>
      <c r="G92" s="1394">
        <v>310</v>
      </c>
      <c r="H92" s="1394">
        <f t="shared" si="2"/>
        <v>122140</v>
      </c>
      <c r="I92" s="1394">
        <f>'OPD TOS'!H448</f>
        <v>339.48749999999995</v>
      </c>
      <c r="J92" s="1409">
        <f t="shared" si="4"/>
        <v>105241.12499999999</v>
      </c>
    </row>
    <row r="93" spans="1:19" ht="18.75" customHeight="1">
      <c r="A93" s="1317"/>
      <c r="B93" s="1408">
        <v>6.4</v>
      </c>
      <c r="C93" s="1400" t="s">
        <v>1507</v>
      </c>
      <c r="D93" s="1394" t="s">
        <v>3201</v>
      </c>
      <c r="E93" s="1394">
        <v>0</v>
      </c>
      <c r="F93" s="1394">
        <v>65</v>
      </c>
      <c r="G93" s="1394">
        <v>370</v>
      </c>
      <c r="H93" s="1394">
        <f t="shared" si="2"/>
        <v>24050</v>
      </c>
      <c r="I93" s="1394">
        <f>'OPD TOS'!D478</f>
        <v>73.92</v>
      </c>
      <c r="J93" s="1409">
        <f t="shared" si="4"/>
        <v>27350.400000000001</v>
      </c>
    </row>
    <row r="94" spans="1:19" ht="18" customHeight="1">
      <c r="A94" s="1317"/>
      <c r="B94" s="1410">
        <v>6.5</v>
      </c>
      <c r="C94" s="1400" t="s">
        <v>1508</v>
      </c>
      <c r="D94" s="1394" t="s">
        <v>3201</v>
      </c>
      <c r="E94" s="1394">
        <v>329</v>
      </c>
      <c r="F94" s="1394">
        <v>394</v>
      </c>
      <c r="G94" s="1394">
        <v>300</v>
      </c>
      <c r="H94" s="1394">
        <f t="shared" si="2"/>
        <v>118200</v>
      </c>
      <c r="I94" s="1394">
        <f>'OPD TOS'!H510</f>
        <v>357.36550000000005</v>
      </c>
      <c r="J94" s="1409">
        <f t="shared" si="4"/>
        <v>107209.65000000002</v>
      </c>
    </row>
    <row r="95" spans="1:19" ht="15.75" customHeight="1">
      <c r="A95" s="1317"/>
      <c r="B95" s="1410">
        <v>6.6</v>
      </c>
      <c r="C95" s="1400" t="s">
        <v>1509</v>
      </c>
      <c r="D95" s="1394" t="s">
        <v>1402</v>
      </c>
      <c r="E95" s="1394"/>
      <c r="F95" s="1394">
        <v>329</v>
      </c>
      <c r="G95" s="1394">
        <v>100</v>
      </c>
      <c r="H95" s="1394">
        <f t="shared" si="2"/>
        <v>32900</v>
      </c>
      <c r="I95" s="1394">
        <f>'OPD TOS'!D573</f>
        <v>305.58</v>
      </c>
      <c r="J95" s="1409">
        <f t="shared" si="4"/>
        <v>30558</v>
      </c>
    </row>
    <row r="96" spans="1:19" ht="19.5" customHeight="1">
      <c r="A96" s="1317"/>
      <c r="B96" s="1410">
        <v>6.7</v>
      </c>
      <c r="C96" s="1400" t="s">
        <v>1510</v>
      </c>
      <c r="D96" s="1394" t="s">
        <v>1406</v>
      </c>
      <c r="E96" s="1394">
        <v>43</v>
      </c>
      <c r="F96" s="1394">
        <v>43</v>
      </c>
      <c r="G96" s="1394">
        <v>150</v>
      </c>
      <c r="H96" s="1394">
        <f t="shared" si="2"/>
        <v>6450</v>
      </c>
      <c r="I96" s="1394">
        <f>'OPD TOS'!H528</f>
        <v>29.5</v>
      </c>
      <c r="J96" s="1409">
        <f t="shared" si="4"/>
        <v>4425</v>
      </c>
    </row>
    <row r="97" spans="1:10" ht="15.75" customHeight="1">
      <c r="A97" s="1317"/>
      <c r="B97" s="1410">
        <v>6.8</v>
      </c>
      <c r="C97" s="1396" t="s">
        <v>1407</v>
      </c>
      <c r="D97" s="1394" t="s">
        <v>1406</v>
      </c>
      <c r="E97" s="1394">
        <v>72</v>
      </c>
      <c r="F97" s="1394">
        <v>72</v>
      </c>
      <c r="G97" s="1394">
        <v>70</v>
      </c>
      <c r="H97" s="1394">
        <f t="shared" si="2"/>
        <v>5040</v>
      </c>
      <c r="I97" s="1394"/>
      <c r="J97" s="1409">
        <f t="shared" si="4"/>
        <v>0</v>
      </c>
    </row>
    <row r="98" spans="1:10" ht="19.5" customHeight="1">
      <c r="A98" s="1317"/>
      <c r="B98" s="1410">
        <v>6.9</v>
      </c>
      <c r="C98" s="1400" t="s">
        <v>1511</v>
      </c>
      <c r="D98" s="1394" t="s">
        <v>3201</v>
      </c>
      <c r="E98" s="1394"/>
      <c r="F98" s="1394">
        <v>177</v>
      </c>
      <c r="G98" s="1394">
        <v>550</v>
      </c>
      <c r="H98" s="1394">
        <f t="shared" si="2"/>
        <v>97350</v>
      </c>
      <c r="I98" s="1394">
        <f>'OPD TOS'!H537</f>
        <v>116.904</v>
      </c>
      <c r="J98" s="1409">
        <f t="shared" si="4"/>
        <v>64297.2</v>
      </c>
    </row>
    <row r="99" spans="1:10" ht="21" customHeight="1">
      <c r="A99" s="1317"/>
      <c r="B99" s="1410">
        <v>6.1</v>
      </c>
      <c r="C99" s="1401" t="s">
        <v>1512</v>
      </c>
      <c r="D99" s="1394" t="s">
        <v>1402</v>
      </c>
      <c r="E99" s="1394"/>
      <c r="F99" s="1394">
        <v>155</v>
      </c>
      <c r="G99" s="1394">
        <v>265</v>
      </c>
      <c r="H99" s="1394">
        <f t="shared" si="2"/>
        <v>41075</v>
      </c>
      <c r="I99" s="1394">
        <f>'OPD TOS'!H549</f>
        <v>104.42</v>
      </c>
      <c r="J99" s="1409">
        <f t="shared" si="4"/>
        <v>27671.3</v>
      </c>
    </row>
    <row r="100" spans="1:10" ht="18" customHeight="1">
      <c r="A100" s="1317"/>
      <c r="B100" s="1429">
        <v>6.11</v>
      </c>
      <c r="C100" s="1436" t="s">
        <v>1403</v>
      </c>
      <c r="D100" s="1423" t="s">
        <v>1402</v>
      </c>
      <c r="E100" s="1423"/>
      <c r="F100" s="1423">
        <v>155</v>
      </c>
      <c r="G100" s="1423">
        <v>210</v>
      </c>
      <c r="H100" s="1423">
        <f t="shared" si="2"/>
        <v>32550</v>
      </c>
      <c r="I100" s="1423">
        <f>'OPD TOS'!H561</f>
        <v>105.02000000000001</v>
      </c>
      <c r="J100" s="1424">
        <f t="shared" si="4"/>
        <v>22054.2</v>
      </c>
    </row>
    <row r="101" spans="1:10" ht="15.75" customHeight="1">
      <c r="A101" s="1317"/>
      <c r="B101" s="2088" t="s">
        <v>1330</v>
      </c>
      <c r="C101" s="2088"/>
      <c r="D101" s="2088"/>
      <c r="E101" s="1432"/>
      <c r="F101" s="1430"/>
      <c r="G101" s="1430"/>
      <c r="H101" s="1428">
        <f>SUM(H90:H100)</f>
        <v>627225</v>
      </c>
      <c r="I101" s="1428"/>
      <c r="J101" s="1428">
        <f>SUM(J90:J100)</f>
        <v>583973.5290000001</v>
      </c>
    </row>
    <row r="102" spans="1:10" ht="15.75" customHeight="1">
      <c r="A102" s="1317"/>
      <c r="B102" s="1425"/>
      <c r="C102" s="1426" t="s">
        <v>1401</v>
      </c>
      <c r="D102" s="1416"/>
      <c r="E102" s="1416"/>
      <c r="F102" s="1416"/>
      <c r="G102" s="1416"/>
      <c r="H102" s="1416"/>
      <c r="I102" s="1416"/>
      <c r="J102" s="1427"/>
    </row>
    <row r="103" spans="1:10" ht="15.75" customHeight="1">
      <c r="A103" s="1317"/>
      <c r="B103" s="1408">
        <v>7.1</v>
      </c>
      <c r="C103" s="1396" t="s">
        <v>1400</v>
      </c>
      <c r="D103" s="1394" t="s">
        <v>3201</v>
      </c>
      <c r="E103" s="1394">
        <f>E21</f>
        <v>243</v>
      </c>
      <c r="F103" s="1394">
        <v>789</v>
      </c>
      <c r="G103" s="1394">
        <v>28</v>
      </c>
      <c r="H103" s="1394">
        <f t="shared" si="2"/>
        <v>22092</v>
      </c>
      <c r="I103" s="1394">
        <f>'OPD TOS'!H566</f>
        <v>1103.5714000000003</v>
      </c>
      <c r="J103" s="1409">
        <f>G103*I103</f>
        <v>30899.999200000006</v>
      </c>
    </row>
    <row r="104" spans="1:10" ht="15.75" customHeight="1">
      <c r="A104" s="1317"/>
      <c r="B104" s="1408">
        <v>7.2</v>
      </c>
      <c r="C104" s="1396" t="s">
        <v>1399</v>
      </c>
      <c r="D104" s="1394" t="s">
        <v>3201</v>
      </c>
      <c r="E104" s="1394">
        <v>208</v>
      </c>
      <c r="F104" s="1394">
        <v>450</v>
      </c>
      <c r="G104" s="1394">
        <v>28</v>
      </c>
      <c r="H104" s="1394">
        <f t="shared" si="2"/>
        <v>12600</v>
      </c>
      <c r="I104" s="1394">
        <f>'OPD TOS'!H569</f>
        <v>339.48749999999995</v>
      </c>
      <c r="J104" s="1409">
        <f>G104*I104</f>
        <v>9505.6499999999978</v>
      </c>
    </row>
    <row r="105" spans="1:10" ht="16.5" customHeight="1">
      <c r="A105" s="1317"/>
      <c r="B105" s="1421">
        <v>7.3</v>
      </c>
      <c r="C105" s="1422" t="s">
        <v>1398</v>
      </c>
      <c r="D105" s="1423" t="s">
        <v>3201</v>
      </c>
      <c r="E105" s="1423"/>
      <c r="F105" s="1423">
        <v>208</v>
      </c>
      <c r="G105" s="1423">
        <v>28</v>
      </c>
      <c r="H105" s="1423">
        <f t="shared" si="2"/>
        <v>5824</v>
      </c>
      <c r="I105" s="1423">
        <f>'OPD TOS'!H572</f>
        <v>211.64959999999999</v>
      </c>
      <c r="J105" s="1424">
        <f>G105*I105</f>
        <v>5926.1887999999999</v>
      </c>
    </row>
    <row r="106" spans="1:10" ht="15.75" customHeight="1">
      <c r="A106" s="1317"/>
      <c r="B106" s="2088" t="s">
        <v>1330</v>
      </c>
      <c r="C106" s="2088"/>
      <c r="D106" s="2088"/>
      <c r="E106" s="1432"/>
      <c r="F106" s="1430"/>
      <c r="G106" s="1430"/>
      <c r="H106" s="1428">
        <f>SUM(H103:H105)</f>
        <v>40516</v>
      </c>
      <c r="I106" s="1428"/>
      <c r="J106" s="1428">
        <f>SUM(J103:J105)</f>
        <v>46331.838000000003</v>
      </c>
    </row>
    <row r="107" spans="1:10" ht="15.75" customHeight="1">
      <c r="A107" s="1317"/>
      <c r="B107" s="1425"/>
      <c r="C107" s="1426" t="s">
        <v>1395</v>
      </c>
      <c r="D107" s="1416"/>
      <c r="E107" s="1416"/>
      <c r="F107" s="1416"/>
      <c r="G107" s="1416"/>
      <c r="H107" s="1416"/>
      <c r="I107" s="1416"/>
      <c r="J107" s="1427"/>
    </row>
    <row r="108" spans="1:10" ht="15.75" customHeight="1">
      <c r="A108" s="1317"/>
      <c r="B108" s="1408">
        <v>9.1</v>
      </c>
      <c r="C108" s="1396" t="s">
        <v>1394</v>
      </c>
      <c r="D108" s="1394"/>
      <c r="E108" s="1394"/>
      <c r="F108" s="1394"/>
      <c r="G108" s="1394"/>
      <c r="H108" s="1394"/>
      <c r="I108" s="1394"/>
      <c r="J108" s="1409"/>
    </row>
    <row r="109" spans="1:10" ht="15.75" customHeight="1">
      <c r="A109" s="1317"/>
      <c r="B109" s="1408"/>
      <c r="C109" s="1396" t="s">
        <v>1391</v>
      </c>
      <c r="D109" s="1394" t="s">
        <v>1370</v>
      </c>
      <c r="E109" s="1394">
        <v>20</v>
      </c>
      <c r="F109" s="1394">
        <v>70</v>
      </c>
      <c r="G109" s="1394">
        <v>30</v>
      </c>
      <c r="H109" s="1394">
        <f t="shared" si="2"/>
        <v>2100</v>
      </c>
      <c r="I109" s="1394">
        <f>'OPD TOS'!D579</f>
        <v>9.65</v>
      </c>
      <c r="J109" s="1409">
        <f t="shared" ref="J109:J115" si="5">G109*I109</f>
        <v>289.5</v>
      </c>
    </row>
    <row r="110" spans="1:10" ht="15.75" customHeight="1">
      <c r="A110" s="1317"/>
      <c r="B110" s="1408"/>
      <c r="C110" s="1396" t="s">
        <v>1390</v>
      </c>
      <c r="D110" s="1394" t="s">
        <v>1370</v>
      </c>
      <c r="E110" s="1394">
        <v>14</v>
      </c>
      <c r="F110" s="1394">
        <v>80</v>
      </c>
      <c r="G110" s="1394">
        <v>35</v>
      </c>
      <c r="H110" s="1394">
        <f t="shared" si="2"/>
        <v>2800</v>
      </c>
      <c r="I110" s="1394"/>
      <c r="J110" s="1409">
        <f t="shared" si="5"/>
        <v>0</v>
      </c>
    </row>
    <row r="111" spans="1:10" ht="15.75" customHeight="1">
      <c r="A111" s="1317"/>
      <c r="B111" s="1408"/>
      <c r="C111" s="1396" t="s">
        <v>1389</v>
      </c>
      <c r="D111" s="1394" t="s">
        <v>1370</v>
      </c>
      <c r="E111" s="1394">
        <v>0</v>
      </c>
      <c r="F111" s="1394">
        <v>95</v>
      </c>
      <c r="G111" s="1394">
        <v>40</v>
      </c>
      <c r="H111" s="1394">
        <v>40</v>
      </c>
      <c r="I111" s="1394">
        <f>'OPD TOS'!D583</f>
        <v>3.8</v>
      </c>
      <c r="J111" s="1409">
        <f t="shared" si="5"/>
        <v>152</v>
      </c>
    </row>
    <row r="112" spans="1:10" ht="15.75" customHeight="1">
      <c r="A112" s="1317"/>
      <c r="B112" s="1408"/>
      <c r="C112" s="1396" t="s">
        <v>1388</v>
      </c>
      <c r="D112" s="1394" t="s">
        <v>1370</v>
      </c>
      <c r="E112" s="1394">
        <v>37</v>
      </c>
      <c r="F112" s="1394">
        <v>125</v>
      </c>
      <c r="G112" s="1394">
        <v>50</v>
      </c>
      <c r="H112" s="1394">
        <f t="shared" si="2"/>
        <v>6250</v>
      </c>
      <c r="I112" s="1394">
        <f>'OPD TOS'!D587</f>
        <v>8</v>
      </c>
      <c r="J112" s="1409">
        <f t="shared" si="5"/>
        <v>400</v>
      </c>
    </row>
    <row r="113" spans="1:10" ht="15.75" customHeight="1">
      <c r="A113" s="1317"/>
      <c r="B113" s="1408"/>
      <c r="C113" s="1396" t="s">
        <v>1513</v>
      </c>
      <c r="D113" s="1394" t="s">
        <v>1370</v>
      </c>
      <c r="E113" s="1394">
        <v>0</v>
      </c>
      <c r="F113" s="1394">
        <f>0.7*E113</f>
        <v>0</v>
      </c>
      <c r="G113" s="1394">
        <v>50</v>
      </c>
      <c r="H113" s="1394"/>
      <c r="I113" s="1394">
        <f>'OPD TOS'!D591</f>
        <v>6.55</v>
      </c>
      <c r="J113" s="1409">
        <f t="shared" si="5"/>
        <v>327.5</v>
      </c>
    </row>
    <row r="114" spans="1:10" ht="15.75" customHeight="1">
      <c r="A114" s="1317"/>
      <c r="B114" s="1408">
        <v>9.1999999999999993</v>
      </c>
      <c r="C114" s="1396" t="s">
        <v>1387</v>
      </c>
      <c r="D114" s="1394"/>
      <c r="E114" s="1394"/>
      <c r="F114" s="1394"/>
      <c r="G114" s="1394"/>
      <c r="H114" s="1394"/>
      <c r="I114" s="1394"/>
      <c r="J114" s="1409">
        <f t="shared" si="5"/>
        <v>0</v>
      </c>
    </row>
    <row r="115" spans="1:10" ht="15.75" customHeight="1">
      <c r="A115" s="1317"/>
      <c r="B115" s="1408"/>
      <c r="C115" s="1396" t="s">
        <v>1384</v>
      </c>
      <c r="D115" s="1394" t="s">
        <v>4</v>
      </c>
      <c r="E115" s="1394">
        <v>14</v>
      </c>
      <c r="F115" s="1394">
        <v>14</v>
      </c>
      <c r="G115" s="1394">
        <v>105</v>
      </c>
      <c r="H115" s="1394">
        <f t="shared" si="2"/>
        <v>1470</v>
      </c>
      <c r="I115" s="1394"/>
      <c r="J115" s="1409">
        <f t="shared" si="5"/>
        <v>0</v>
      </c>
    </row>
    <row r="116" spans="1:10" ht="15.75" customHeight="1">
      <c r="A116" s="1317"/>
      <c r="B116" s="1408">
        <v>9.3000000000000007</v>
      </c>
      <c r="C116" s="1396" t="s">
        <v>1386</v>
      </c>
      <c r="D116" s="1394"/>
      <c r="E116" s="1394"/>
      <c r="F116" s="1394"/>
      <c r="G116" s="1394"/>
      <c r="H116" s="1394"/>
      <c r="I116" s="1394"/>
      <c r="J116" s="1409"/>
    </row>
    <row r="117" spans="1:10" ht="15.75" customHeight="1">
      <c r="A117" s="1317"/>
      <c r="B117" s="1408"/>
      <c r="C117" s="1396" t="s">
        <v>1384</v>
      </c>
      <c r="D117" s="1394" t="s">
        <v>4</v>
      </c>
      <c r="E117" s="1394">
        <v>12</v>
      </c>
      <c r="F117" s="1394">
        <v>12</v>
      </c>
      <c r="G117" s="1394">
        <v>0</v>
      </c>
      <c r="H117" s="1394">
        <f t="shared" si="2"/>
        <v>0</v>
      </c>
      <c r="I117" s="1394"/>
      <c r="J117" s="1409">
        <f t="shared" ref="J117:J125" si="6">G117*I117</f>
        <v>0</v>
      </c>
    </row>
    <row r="118" spans="1:10" ht="15.75" customHeight="1">
      <c r="A118" s="1317"/>
      <c r="B118" s="1408"/>
      <c r="C118" s="1396" t="s">
        <v>1383</v>
      </c>
      <c r="D118" s="1394" t="s">
        <v>4</v>
      </c>
      <c r="E118" s="1394">
        <v>0</v>
      </c>
      <c r="F118" s="1394">
        <f>0.7*E118</f>
        <v>0</v>
      </c>
      <c r="G118" s="1394">
        <v>0</v>
      </c>
      <c r="H118" s="1394">
        <v>70</v>
      </c>
      <c r="I118" s="1394"/>
      <c r="J118" s="1409">
        <f t="shared" si="6"/>
        <v>0</v>
      </c>
    </row>
    <row r="119" spans="1:10" ht="15.75" customHeight="1">
      <c r="A119" s="1317"/>
      <c r="B119" s="1408">
        <v>9.5</v>
      </c>
      <c r="C119" s="1396" t="s">
        <v>1380</v>
      </c>
      <c r="D119" s="1394"/>
      <c r="E119" s="1394"/>
      <c r="F119" s="1394"/>
      <c r="G119" s="1394"/>
      <c r="H119" s="1394"/>
      <c r="I119" s="1394"/>
      <c r="J119" s="1409">
        <f t="shared" si="6"/>
        <v>0</v>
      </c>
    </row>
    <row r="120" spans="1:10" ht="15.75" customHeight="1">
      <c r="A120" s="1317"/>
      <c r="B120" s="1408"/>
      <c r="C120" s="1396" t="s">
        <v>1379</v>
      </c>
      <c r="D120" s="1394" t="s">
        <v>1370</v>
      </c>
      <c r="E120" s="1394">
        <v>5</v>
      </c>
      <c r="F120" s="1394">
        <v>5</v>
      </c>
      <c r="G120" s="1394">
        <v>65</v>
      </c>
      <c r="H120" s="1394">
        <f t="shared" si="2"/>
        <v>325</v>
      </c>
      <c r="I120" s="1394">
        <f>'OPD TOS'!D596</f>
        <v>22.31</v>
      </c>
      <c r="J120" s="1409">
        <f t="shared" si="6"/>
        <v>1450.1499999999999</v>
      </c>
    </row>
    <row r="121" spans="1:10" ht="15.75" customHeight="1">
      <c r="A121" s="1317"/>
      <c r="B121" s="1408"/>
      <c r="C121" s="1396" t="s">
        <v>1378</v>
      </c>
      <c r="D121" s="1394" t="s">
        <v>1370</v>
      </c>
      <c r="E121" s="1394">
        <v>8</v>
      </c>
      <c r="F121" s="1394">
        <v>8</v>
      </c>
      <c r="G121" s="1394">
        <v>95</v>
      </c>
      <c r="H121" s="1394">
        <f t="shared" si="2"/>
        <v>760</v>
      </c>
      <c r="I121" s="1394">
        <f>'OPD TOS'!D600</f>
        <v>7.9</v>
      </c>
      <c r="J121" s="1409">
        <f t="shared" si="6"/>
        <v>750.5</v>
      </c>
    </row>
    <row r="122" spans="1:10" ht="15.75" customHeight="1">
      <c r="A122" s="1317"/>
      <c r="B122" s="1408"/>
      <c r="C122" s="1396" t="s">
        <v>1377</v>
      </c>
      <c r="D122" s="1394" t="s">
        <v>1370</v>
      </c>
      <c r="E122" s="1394">
        <v>20</v>
      </c>
      <c r="F122" s="1394">
        <v>20</v>
      </c>
      <c r="G122" s="1394">
        <v>125</v>
      </c>
      <c r="H122" s="1394">
        <f t="shared" si="2"/>
        <v>2500</v>
      </c>
      <c r="I122" s="1394">
        <f>'OPD TOS'!D604</f>
        <v>11.6</v>
      </c>
      <c r="J122" s="1409">
        <f t="shared" si="6"/>
        <v>1450</v>
      </c>
    </row>
    <row r="123" spans="1:10" ht="15.75" customHeight="1">
      <c r="A123" s="1317"/>
      <c r="B123" s="1408">
        <v>9.6</v>
      </c>
      <c r="C123" s="1396" t="s">
        <v>1375</v>
      </c>
      <c r="D123" s="1394" t="s">
        <v>4</v>
      </c>
      <c r="E123" s="1394">
        <v>7</v>
      </c>
      <c r="F123" s="1394">
        <v>7</v>
      </c>
      <c r="G123" s="1394">
        <v>800</v>
      </c>
      <c r="H123" s="1394">
        <f t="shared" si="2"/>
        <v>5600</v>
      </c>
      <c r="I123" s="1394"/>
      <c r="J123" s="1409">
        <f t="shared" si="6"/>
        <v>0</v>
      </c>
    </row>
    <row r="124" spans="1:10" ht="15.75" customHeight="1">
      <c r="A124" s="1317"/>
      <c r="B124" s="1408">
        <v>9.6999999999999993</v>
      </c>
      <c r="C124" s="1396" t="s">
        <v>1514</v>
      </c>
      <c r="D124" s="1394" t="s">
        <v>4</v>
      </c>
      <c r="E124" s="1394">
        <v>5</v>
      </c>
      <c r="F124" s="1394">
        <v>6</v>
      </c>
      <c r="G124" s="1394">
        <v>1300</v>
      </c>
      <c r="H124" s="1394">
        <f t="shared" si="2"/>
        <v>7800</v>
      </c>
      <c r="I124" s="1394"/>
      <c r="J124" s="1409">
        <f t="shared" si="6"/>
        <v>0</v>
      </c>
    </row>
    <row r="125" spans="1:10" ht="15.75" customHeight="1">
      <c r="A125" s="1317"/>
      <c r="B125" s="1421">
        <v>9.9</v>
      </c>
      <c r="C125" s="1422" t="s">
        <v>1373</v>
      </c>
      <c r="D125" s="1423" t="s">
        <v>4</v>
      </c>
      <c r="E125" s="1423">
        <v>5</v>
      </c>
      <c r="F125" s="1423">
        <v>6</v>
      </c>
      <c r="G125" s="1423">
        <v>95</v>
      </c>
      <c r="H125" s="1423">
        <f t="shared" si="2"/>
        <v>570</v>
      </c>
      <c r="I125" s="1423">
        <f>'OPD TOS'!D608</f>
        <v>2</v>
      </c>
      <c r="J125" s="1424">
        <f t="shared" si="6"/>
        <v>190</v>
      </c>
    </row>
    <row r="126" spans="1:10" ht="15.75" customHeight="1">
      <c r="A126" s="1317"/>
      <c r="B126" s="2088" t="s">
        <v>1330</v>
      </c>
      <c r="C126" s="2088"/>
      <c r="D126" s="2088"/>
      <c r="E126" s="1432"/>
      <c r="F126" s="1430"/>
      <c r="G126" s="1430"/>
      <c r="H126" s="1428">
        <f>SUM(H109:H125)</f>
        <v>30285</v>
      </c>
      <c r="I126" s="1428"/>
      <c r="J126" s="1428">
        <f>SUM(J109:J125)</f>
        <v>5009.6499999999996</v>
      </c>
    </row>
    <row r="127" spans="1:10" ht="15.75" customHeight="1">
      <c r="A127" s="1317"/>
      <c r="B127" s="1425"/>
      <c r="C127" s="1426" t="s">
        <v>1368</v>
      </c>
      <c r="D127" s="1437"/>
      <c r="E127" s="1437"/>
      <c r="F127" s="1437"/>
      <c r="G127" s="1416"/>
      <c r="H127" s="1416"/>
      <c r="I127" s="1416"/>
      <c r="J127" s="1427"/>
    </row>
    <row r="128" spans="1:10" ht="15.75" customHeight="1">
      <c r="A128" s="1317"/>
      <c r="B128" s="1410">
        <v>2</v>
      </c>
      <c r="C128" s="1403" t="s">
        <v>1366</v>
      </c>
      <c r="D128" s="1402"/>
      <c r="E128" s="1402"/>
      <c r="F128" s="1402"/>
      <c r="G128" s="1394"/>
      <c r="H128" s="1394"/>
      <c r="I128" s="1394"/>
      <c r="J128" s="1409"/>
    </row>
    <row r="129" spans="1:10" ht="15.75" customHeight="1">
      <c r="A129" s="1317"/>
      <c r="B129" s="1410">
        <v>2.0099999999999998</v>
      </c>
      <c r="C129" s="1403" t="s">
        <v>3202</v>
      </c>
      <c r="D129" s="1402" t="s">
        <v>1332</v>
      </c>
      <c r="E129" s="1402">
        <v>58</v>
      </c>
      <c r="F129" s="1402">
        <v>58</v>
      </c>
      <c r="G129" s="1394">
        <v>200</v>
      </c>
      <c r="H129" s="1394">
        <f t="shared" ref="H129:H155" si="7">F129*G129</f>
        <v>11600</v>
      </c>
      <c r="I129" s="1394">
        <f>'OPD TOS'!D614</f>
        <v>60</v>
      </c>
      <c r="J129" s="1409">
        <f>G129*I129</f>
        <v>12000</v>
      </c>
    </row>
    <row r="130" spans="1:10" ht="15.75" customHeight="1">
      <c r="A130" s="1317"/>
      <c r="B130" s="1410">
        <v>3</v>
      </c>
      <c r="C130" s="1403" t="s">
        <v>1365</v>
      </c>
      <c r="D130" s="1402"/>
      <c r="E130" s="1402"/>
      <c r="F130" s="1402"/>
      <c r="G130" s="1394"/>
      <c r="H130" s="1394"/>
      <c r="I130" s="1394"/>
      <c r="J130" s="1409"/>
    </row>
    <row r="131" spans="1:10" ht="15.75" customHeight="1">
      <c r="A131" s="1317"/>
      <c r="B131" s="1410">
        <v>3.01</v>
      </c>
      <c r="C131" s="1403" t="s">
        <v>1364</v>
      </c>
      <c r="D131" s="1402" t="s">
        <v>1332</v>
      </c>
      <c r="E131" s="1402">
        <v>9</v>
      </c>
      <c r="F131" s="1402">
        <v>9</v>
      </c>
      <c r="G131" s="1394">
        <v>81.25</v>
      </c>
      <c r="H131" s="1394">
        <f t="shared" si="7"/>
        <v>731.25</v>
      </c>
      <c r="I131" s="1394">
        <f>'OPD TOS'!D619</f>
        <v>15</v>
      </c>
      <c r="J131" s="1409">
        <f>G131*I131</f>
        <v>1218.75</v>
      </c>
    </row>
    <row r="132" spans="1:10" ht="15.75" customHeight="1">
      <c r="A132" s="1317"/>
      <c r="B132" s="1410">
        <v>3.02</v>
      </c>
      <c r="C132" s="1403" t="s">
        <v>1363</v>
      </c>
      <c r="D132" s="1402" t="s">
        <v>1360</v>
      </c>
      <c r="E132" s="1402">
        <v>16</v>
      </c>
      <c r="F132" s="1402">
        <v>16</v>
      </c>
      <c r="G132" s="1394">
        <v>131.25</v>
      </c>
      <c r="H132" s="1394">
        <f t="shared" si="7"/>
        <v>2100</v>
      </c>
      <c r="I132" s="1394">
        <f>'OPD TOS'!D623</f>
        <v>19</v>
      </c>
      <c r="J132" s="1409">
        <f>G132*I132</f>
        <v>2493.75</v>
      </c>
    </row>
    <row r="133" spans="1:10" ht="15.75" customHeight="1">
      <c r="A133" s="1317"/>
      <c r="B133" s="1410">
        <v>3.03</v>
      </c>
      <c r="C133" s="1403" t="s">
        <v>1362</v>
      </c>
      <c r="D133" s="1402" t="s">
        <v>1360</v>
      </c>
      <c r="E133" s="1402">
        <v>4</v>
      </c>
      <c r="F133" s="1402">
        <v>4</v>
      </c>
      <c r="G133" s="1394">
        <v>80</v>
      </c>
      <c r="H133" s="1394">
        <f t="shared" si="7"/>
        <v>320</v>
      </c>
      <c r="I133" s="1394">
        <f>'OPD TOS'!D627</f>
        <v>4</v>
      </c>
      <c r="J133" s="1409">
        <f>G133*I133</f>
        <v>320</v>
      </c>
    </row>
    <row r="134" spans="1:10" ht="15.75" customHeight="1">
      <c r="A134" s="1317"/>
      <c r="B134" s="1410">
        <v>4</v>
      </c>
      <c r="C134" s="1403" t="s">
        <v>1359</v>
      </c>
      <c r="D134" s="1402"/>
      <c r="E134" s="1402"/>
      <c r="F134" s="1402"/>
      <c r="G134" s="1394"/>
      <c r="H134" s="1394"/>
      <c r="I134" s="1394"/>
      <c r="J134" s="1409"/>
    </row>
    <row r="135" spans="1:10" ht="15.75" customHeight="1">
      <c r="A135" s="1317"/>
      <c r="B135" s="1410">
        <v>4.01</v>
      </c>
      <c r="C135" s="1403" t="s">
        <v>1358</v>
      </c>
      <c r="D135" s="1402" t="s">
        <v>1332</v>
      </c>
      <c r="E135" s="1402">
        <v>30</v>
      </c>
      <c r="F135" s="1402">
        <v>30</v>
      </c>
      <c r="G135" s="1394">
        <v>200</v>
      </c>
      <c r="H135" s="1394">
        <f t="shared" si="7"/>
        <v>6000</v>
      </c>
      <c r="I135" s="1394">
        <f>'OPD TOS'!H578</f>
        <v>32</v>
      </c>
      <c r="J135" s="1409">
        <f>G135*I135</f>
        <v>6400</v>
      </c>
    </row>
    <row r="136" spans="1:10" ht="15.75" customHeight="1">
      <c r="A136" s="1317"/>
      <c r="B136" s="1406">
        <v>5</v>
      </c>
      <c r="C136" s="1404" t="s">
        <v>1356</v>
      </c>
      <c r="D136" s="944"/>
      <c r="E136" s="1405"/>
      <c r="F136" s="944"/>
      <c r="G136" s="1394"/>
      <c r="H136" s="1394"/>
      <c r="I136" s="1394"/>
      <c r="J136" s="1409"/>
    </row>
    <row r="137" spans="1:10" ht="15.75" customHeight="1">
      <c r="A137" s="1317"/>
      <c r="B137" s="1406">
        <v>5.01</v>
      </c>
      <c r="C137" s="1404" t="s">
        <v>1355</v>
      </c>
      <c r="D137" s="1402" t="s">
        <v>1332</v>
      </c>
      <c r="E137" s="1405"/>
      <c r="F137" s="944"/>
      <c r="G137" s="1394">
        <v>90</v>
      </c>
      <c r="H137" s="1394"/>
      <c r="I137" s="1394">
        <f>'OPD TOS'!H583</f>
        <v>32</v>
      </c>
      <c r="J137" s="1409">
        <f>G137*I137</f>
        <v>2880</v>
      </c>
    </row>
    <row r="138" spans="1:10" ht="15.75" customHeight="1">
      <c r="A138" s="1317"/>
      <c r="B138" s="1406">
        <v>6</v>
      </c>
      <c r="C138" s="1404" t="s">
        <v>1353</v>
      </c>
      <c r="D138" s="944"/>
      <c r="E138" s="1405"/>
      <c r="F138" s="944"/>
      <c r="G138" s="1394"/>
      <c r="H138" s="1394"/>
      <c r="I138" s="1394"/>
      <c r="J138" s="1409"/>
    </row>
    <row r="139" spans="1:10" ht="15.75" customHeight="1">
      <c r="A139" s="1317"/>
      <c r="B139" s="1406">
        <v>6.01</v>
      </c>
      <c r="C139" s="1404" t="s">
        <v>1352</v>
      </c>
      <c r="D139" s="944" t="s">
        <v>1332</v>
      </c>
      <c r="E139" s="1405">
        <v>14</v>
      </c>
      <c r="F139" s="944">
        <v>14</v>
      </c>
      <c r="G139" s="1394">
        <v>130</v>
      </c>
      <c r="H139" s="1394">
        <f t="shared" si="7"/>
        <v>1820</v>
      </c>
      <c r="I139" s="1394">
        <f>'OPD TOS'!H588</f>
        <v>14</v>
      </c>
      <c r="J139" s="1409">
        <f>G139*I139</f>
        <v>1820</v>
      </c>
    </row>
    <row r="140" spans="1:10" ht="15.75" customHeight="1">
      <c r="A140" s="1317"/>
      <c r="B140" s="1406">
        <v>6.03</v>
      </c>
      <c r="C140" s="1404" t="s">
        <v>1351</v>
      </c>
      <c r="D140" s="944" t="s">
        <v>1332</v>
      </c>
      <c r="E140" s="1405">
        <v>14</v>
      </c>
      <c r="F140" s="944">
        <v>14</v>
      </c>
      <c r="G140" s="1392">
        <v>70</v>
      </c>
      <c r="H140" s="1394">
        <f t="shared" si="7"/>
        <v>980</v>
      </c>
      <c r="I140" s="1394"/>
      <c r="J140" s="1409">
        <f>G140*I140</f>
        <v>0</v>
      </c>
    </row>
    <row r="141" spans="1:10" ht="15.75" customHeight="1">
      <c r="A141" s="1317"/>
      <c r="B141" s="1406">
        <v>7</v>
      </c>
      <c r="C141" s="1404" t="s">
        <v>1350</v>
      </c>
      <c r="D141" s="1392"/>
      <c r="E141" s="1392"/>
      <c r="F141" s="1392"/>
      <c r="G141" s="1392"/>
      <c r="H141" s="1394"/>
      <c r="I141" s="1394"/>
      <c r="J141" s="1409"/>
    </row>
    <row r="142" spans="1:10" ht="15.75" customHeight="1">
      <c r="A142" s="1317"/>
      <c r="B142" s="1406">
        <v>7.01</v>
      </c>
      <c r="C142" s="1404" t="s">
        <v>1349</v>
      </c>
      <c r="D142" s="944" t="s">
        <v>1332</v>
      </c>
      <c r="E142" s="1405">
        <v>18</v>
      </c>
      <c r="F142" s="944">
        <v>18</v>
      </c>
      <c r="G142" s="1392">
        <v>1500</v>
      </c>
      <c r="H142" s="1394">
        <f t="shared" si="7"/>
        <v>27000</v>
      </c>
      <c r="I142" s="1394">
        <f>'OPD TOS'!H593</f>
        <v>30</v>
      </c>
      <c r="J142" s="1409">
        <f>G142*I142</f>
        <v>45000</v>
      </c>
    </row>
    <row r="143" spans="1:10" ht="15.75" customHeight="1">
      <c r="A143" s="1317"/>
      <c r="B143" s="1406">
        <v>7.02</v>
      </c>
      <c r="C143" s="1404" t="s">
        <v>1348</v>
      </c>
      <c r="D143" s="944" t="s">
        <v>1332</v>
      </c>
      <c r="E143" s="1405">
        <v>30</v>
      </c>
      <c r="F143" s="944">
        <v>30</v>
      </c>
      <c r="G143" s="1392">
        <v>1200</v>
      </c>
      <c r="H143" s="1394">
        <f t="shared" si="7"/>
        <v>36000</v>
      </c>
      <c r="I143" s="1394">
        <f>'OPD TOS'!H597</f>
        <v>20</v>
      </c>
      <c r="J143" s="1409">
        <f>G143*I143</f>
        <v>24000</v>
      </c>
    </row>
    <row r="144" spans="1:10" ht="15.75" customHeight="1">
      <c r="A144" s="1317"/>
      <c r="B144" s="1406">
        <v>7.03</v>
      </c>
      <c r="C144" s="1404" t="s">
        <v>1347</v>
      </c>
      <c r="D144" s="944" t="s">
        <v>1332</v>
      </c>
      <c r="E144" s="1405">
        <v>5</v>
      </c>
      <c r="F144" s="944">
        <v>5</v>
      </c>
      <c r="G144" s="1392">
        <v>406.25</v>
      </c>
      <c r="H144" s="1394">
        <f t="shared" si="7"/>
        <v>2031.25</v>
      </c>
      <c r="I144" s="1394">
        <f>'OPD TOS'!H601</f>
        <v>7</v>
      </c>
      <c r="J144" s="1409">
        <f>G144*I144</f>
        <v>2843.75</v>
      </c>
    </row>
    <row r="145" spans="1:10" ht="15.75" customHeight="1">
      <c r="A145" s="1317"/>
      <c r="B145" s="1406">
        <v>7.04</v>
      </c>
      <c r="C145" s="1404" t="s">
        <v>1346</v>
      </c>
      <c r="D145" s="944" t="s">
        <v>1332</v>
      </c>
      <c r="E145" s="1405">
        <v>5</v>
      </c>
      <c r="F145" s="944">
        <v>5</v>
      </c>
      <c r="G145" s="1392">
        <v>406.25</v>
      </c>
      <c r="H145" s="1394">
        <f t="shared" si="7"/>
        <v>2031.25</v>
      </c>
      <c r="I145" s="1394">
        <f>'OPD TOS'!H605</f>
        <v>5</v>
      </c>
      <c r="J145" s="1409">
        <f>G145*I145</f>
        <v>2031.25</v>
      </c>
    </row>
    <row r="146" spans="1:10" ht="15.75" customHeight="1">
      <c r="A146" s="1317"/>
      <c r="B146" s="1406">
        <v>8</v>
      </c>
      <c r="C146" s="1404" t="s">
        <v>1344</v>
      </c>
      <c r="D146" s="944"/>
      <c r="E146" s="1405"/>
      <c r="F146" s="944"/>
      <c r="G146" s="1392"/>
      <c r="H146" s="1394"/>
      <c r="I146" s="1394"/>
      <c r="J146" s="1409"/>
    </row>
    <row r="147" spans="1:10" ht="15.75" customHeight="1">
      <c r="A147" s="1317"/>
      <c r="B147" s="1406">
        <v>8.01</v>
      </c>
      <c r="C147" s="1404" t="s">
        <v>1343</v>
      </c>
      <c r="D147" s="944" t="s">
        <v>1332</v>
      </c>
      <c r="E147" s="1405">
        <v>1</v>
      </c>
      <c r="F147" s="944">
        <v>1</v>
      </c>
      <c r="G147" s="1392">
        <v>266.25</v>
      </c>
      <c r="H147" s="1394">
        <f t="shared" si="7"/>
        <v>266.25</v>
      </c>
      <c r="I147" s="1394">
        <f>'OPD TOS'!H610</f>
        <v>1</v>
      </c>
      <c r="J147" s="1409">
        <f t="shared" ref="J147:J155" si="8">G147*I147</f>
        <v>266.25</v>
      </c>
    </row>
    <row r="148" spans="1:10" ht="15.75" customHeight="1">
      <c r="A148" s="1317"/>
      <c r="B148" s="1406">
        <v>8.02</v>
      </c>
      <c r="C148" s="1404" t="s">
        <v>1342</v>
      </c>
      <c r="D148" s="944" t="s">
        <v>1332</v>
      </c>
      <c r="E148" s="1405">
        <v>1</v>
      </c>
      <c r="F148" s="944">
        <v>1</v>
      </c>
      <c r="G148" s="1392">
        <v>120</v>
      </c>
      <c r="H148" s="1394">
        <f t="shared" si="7"/>
        <v>120</v>
      </c>
      <c r="I148" s="1394"/>
      <c r="J148" s="1409">
        <f t="shared" si="8"/>
        <v>0</v>
      </c>
    </row>
    <row r="149" spans="1:10" ht="15.75" customHeight="1">
      <c r="A149" s="1317"/>
      <c r="B149" s="1406">
        <v>9</v>
      </c>
      <c r="C149" s="1404" t="s">
        <v>1341</v>
      </c>
      <c r="D149" s="1392"/>
      <c r="E149" s="1392"/>
      <c r="F149" s="1392"/>
      <c r="G149" s="1392"/>
      <c r="H149" s="1394">
        <f t="shared" si="7"/>
        <v>0</v>
      </c>
      <c r="I149" s="1394"/>
      <c r="J149" s="1409">
        <f t="shared" si="8"/>
        <v>0</v>
      </c>
    </row>
    <row r="150" spans="1:10" ht="15.75" customHeight="1">
      <c r="A150" s="1317"/>
      <c r="B150" s="1406">
        <v>9.01</v>
      </c>
      <c r="C150" s="1404" t="s">
        <v>1515</v>
      </c>
      <c r="D150" s="944" t="s">
        <v>313</v>
      </c>
      <c r="E150" s="1405">
        <v>20</v>
      </c>
      <c r="F150" s="944">
        <v>20</v>
      </c>
      <c r="G150" s="1392">
        <v>220</v>
      </c>
      <c r="H150" s="1394">
        <f t="shared" si="7"/>
        <v>4400</v>
      </c>
      <c r="I150" s="1394"/>
      <c r="J150" s="1409">
        <f t="shared" si="8"/>
        <v>0</v>
      </c>
    </row>
    <row r="151" spans="1:10" ht="15.75" customHeight="1">
      <c r="A151" s="1317"/>
      <c r="B151" s="1406">
        <v>9.02</v>
      </c>
      <c r="C151" s="1404" t="s">
        <v>1516</v>
      </c>
      <c r="D151" s="944" t="s">
        <v>313</v>
      </c>
      <c r="E151" s="1405">
        <v>26</v>
      </c>
      <c r="F151" s="944">
        <v>26</v>
      </c>
      <c r="G151" s="1392">
        <v>90</v>
      </c>
      <c r="H151" s="1394">
        <f t="shared" si="7"/>
        <v>2340</v>
      </c>
      <c r="I151" s="1394"/>
      <c r="J151" s="1409">
        <f t="shared" si="8"/>
        <v>0</v>
      </c>
    </row>
    <row r="152" spans="1:10" ht="15.75" customHeight="1">
      <c r="A152" s="1317"/>
      <c r="B152" s="1406">
        <v>10</v>
      </c>
      <c r="C152" s="1404" t="s">
        <v>1340</v>
      </c>
      <c r="D152" s="1392"/>
      <c r="E152" s="1392"/>
      <c r="F152" s="1392"/>
      <c r="G152" s="1392"/>
      <c r="H152" s="1394"/>
      <c r="I152" s="1394"/>
      <c r="J152" s="1409">
        <f t="shared" si="8"/>
        <v>0</v>
      </c>
    </row>
    <row r="153" spans="1:10" ht="15.75" customHeight="1">
      <c r="A153" s="1317"/>
      <c r="B153" s="1406">
        <v>10.01</v>
      </c>
      <c r="C153" s="1404" t="s">
        <v>1517</v>
      </c>
      <c r="D153" s="944" t="s">
        <v>1338</v>
      </c>
      <c r="E153" s="1405">
        <v>11</v>
      </c>
      <c r="F153" s="944">
        <v>11</v>
      </c>
      <c r="G153" s="1392">
        <v>50</v>
      </c>
      <c r="H153" s="1394">
        <f t="shared" si="7"/>
        <v>550</v>
      </c>
      <c r="I153" s="1394"/>
      <c r="J153" s="1409">
        <f t="shared" si="8"/>
        <v>0</v>
      </c>
    </row>
    <row r="154" spans="1:10" ht="15.75" customHeight="1">
      <c r="A154" s="1317"/>
      <c r="B154" s="1406">
        <v>10.02</v>
      </c>
      <c r="C154" s="1404" t="s">
        <v>1337</v>
      </c>
      <c r="D154" s="944" t="s">
        <v>1336</v>
      </c>
      <c r="E154" s="1405">
        <v>24</v>
      </c>
      <c r="F154" s="944">
        <v>24</v>
      </c>
      <c r="G154" s="1392">
        <v>40</v>
      </c>
      <c r="H154" s="1394">
        <f t="shared" si="7"/>
        <v>960</v>
      </c>
      <c r="I154" s="1394"/>
      <c r="J154" s="1409">
        <f t="shared" si="8"/>
        <v>0</v>
      </c>
    </row>
    <row r="155" spans="1:10" ht="15.75" customHeight="1">
      <c r="A155" s="1317"/>
      <c r="B155" s="1438">
        <v>10.029999999999999</v>
      </c>
      <c r="C155" s="1439" t="s">
        <v>1518</v>
      </c>
      <c r="D155" s="1440" t="s">
        <v>1336</v>
      </c>
      <c r="E155" s="1441">
        <v>12</v>
      </c>
      <c r="F155" s="1440">
        <v>8</v>
      </c>
      <c r="G155" s="1442">
        <v>60</v>
      </c>
      <c r="H155" s="1423">
        <f t="shared" si="7"/>
        <v>480</v>
      </c>
      <c r="I155" s="1423">
        <f>'OPD TOS'!H615</f>
        <v>5.25</v>
      </c>
      <c r="J155" s="1424">
        <f t="shared" si="8"/>
        <v>315</v>
      </c>
    </row>
    <row r="156" spans="1:10" ht="15.75" customHeight="1">
      <c r="A156" s="1317"/>
      <c r="B156" s="2088" t="s">
        <v>1330</v>
      </c>
      <c r="C156" s="2088"/>
      <c r="D156" s="2088"/>
      <c r="E156" s="1443"/>
      <c r="F156" s="1430"/>
      <c r="G156" s="1430"/>
      <c r="H156" s="1428">
        <f>SUM(H128:H155)</f>
        <v>99730</v>
      </c>
      <c r="I156" s="1428"/>
      <c r="J156" s="1428">
        <f>SUM(J128:J155)</f>
        <v>101588.75</v>
      </c>
    </row>
    <row r="157" spans="1:10" ht="15.75" customHeight="1">
      <c r="B157" s="1316"/>
      <c r="C157" s="1317"/>
      <c r="D157" s="1318"/>
      <c r="E157" s="1318"/>
      <c r="F157" s="1318"/>
      <c r="G157" s="1318"/>
      <c r="H157" s="1318"/>
      <c r="I157" s="1309"/>
      <c r="J157" s="1318"/>
    </row>
    <row r="158" spans="1:10" ht="15.75" customHeight="1">
      <c r="B158" s="1318"/>
      <c r="C158" s="1317"/>
      <c r="D158" s="1318"/>
      <c r="E158" s="1318"/>
      <c r="F158" s="1318"/>
      <c r="G158" s="1318"/>
      <c r="H158" s="1318"/>
      <c r="I158" s="1309"/>
      <c r="J158" s="1318"/>
    </row>
    <row r="159" spans="1:10" ht="15.75" customHeight="1">
      <c r="B159" s="1318"/>
      <c r="C159" s="1317"/>
      <c r="D159" s="1318"/>
      <c r="E159" s="1318"/>
      <c r="F159" s="1318"/>
      <c r="G159" s="1318"/>
      <c r="H159" s="1318"/>
      <c r="I159" s="1309"/>
      <c r="J159" s="1318"/>
    </row>
    <row r="160" spans="1:10" ht="15.75" customHeight="1">
      <c r="B160" s="1318"/>
      <c r="C160" s="1317"/>
      <c r="D160" s="1318"/>
      <c r="E160" s="1318"/>
      <c r="F160" s="1318"/>
      <c r="G160" s="1318"/>
      <c r="H160" s="1318"/>
      <c r="I160" s="1309"/>
      <c r="J160" s="1318"/>
    </row>
    <row r="161" spans="2:10" ht="15.75" customHeight="1">
      <c r="B161" s="1318"/>
      <c r="C161" s="1317"/>
      <c r="D161" s="1318"/>
      <c r="E161" s="1318"/>
      <c r="F161" s="1318"/>
      <c r="G161" s="1318"/>
      <c r="H161" s="1318"/>
      <c r="I161" s="1309"/>
      <c r="J161" s="1318"/>
    </row>
    <row r="162" spans="2:10" ht="15.75" customHeight="1">
      <c r="B162" s="1318"/>
      <c r="C162" s="1317"/>
      <c r="D162" s="1318"/>
      <c r="E162" s="1318"/>
      <c r="F162" s="1318"/>
      <c r="G162" s="1318"/>
      <c r="H162" s="1318"/>
      <c r="I162" s="1309"/>
      <c r="J162" s="1318"/>
    </row>
    <row r="163" spans="2:10" ht="15.75" customHeight="1">
      <c r="B163" s="1318"/>
      <c r="C163" s="1317"/>
      <c r="D163" s="1318"/>
      <c r="E163" s="1318"/>
      <c r="F163" s="1318"/>
      <c r="G163" s="1318"/>
      <c r="H163" s="1318"/>
      <c r="I163" s="1309"/>
      <c r="J163" s="1318"/>
    </row>
    <row r="164" spans="2:10" ht="15.75" customHeight="1">
      <c r="B164" s="1318"/>
      <c r="C164" s="1317"/>
      <c r="D164" s="1318"/>
      <c r="E164" s="1318"/>
      <c r="F164" s="1318"/>
      <c r="G164" s="1318"/>
      <c r="H164" s="1318"/>
      <c r="I164" s="1309"/>
      <c r="J164" s="1318"/>
    </row>
    <row r="165" spans="2:10" ht="15.75" customHeight="1">
      <c r="B165" s="1318"/>
      <c r="C165" s="1317"/>
      <c r="D165" s="1318"/>
      <c r="E165" s="1318"/>
      <c r="F165" s="1318"/>
      <c r="G165" s="1318"/>
      <c r="H165" s="1318"/>
      <c r="I165" s="1309"/>
      <c r="J165" s="1318"/>
    </row>
    <row r="166" spans="2:10" ht="15.75" customHeight="1">
      <c r="B166" s="1318"/>
      <c r="C166" s="1317"/>
      <c r="D166" s="1318"/>
      <c r="E166" s="1318"/>
      <c r="F166" s="1318"/>
      <c r="G166" s="1318"/>
      <c r="H166" s="1318"/>
      <c r="I166" s="1309"/>
      <c r="J166" s="1318"/>
    </row>
    <row r="167" spans="2:10" ht="15.75" customHeight="1">
      <c r="B167" s="1318"/>
      <c r="C167" s="1317"/>
      <c r="D167" s="1318"/>
      <c r="E167" s="1318"/>
      <c r="F167" s="1318"/>
      <c r="G167" s="1318"/>
      <c r="H167" s="1318"/>
      <c r="I167" s="1309"/>
      <c r="J167" s="1318"/>
    </row>
    <row r="168" spans="2:10" ht="15.75" customHeight="1">
      <c r="B168" s="1318"/>
      <c r="C168" s="1317"/>
      <c r="D168" s="1318"/>
      <c r="E168" s="1318"/>
      <c r="F168" s="1318"/>
      <c r="G168" s="1318"/>
      <c r="H168" s="1318"/>
      <c r="I168" s="1309"/>
      <c r="J168" s="1318"/>
    </row>
    <row r="169" spans="2:10" ht="15.75" customHeight="1">
      <c r="B169" s="1318"/>
      <c r="C169" s="1317"/>
      <c r="D169" s="1318"/>
      <c r="E169" s="1318"/>
      <c r="F169" s="1318"/>
      <c r="G169" s="1318"/>
      <c r="H169" s="1318"/>
      <c r="I169" s="1309"/>
      <c r="J169" s="1318"/>
    </row>
    <row r="170" spans="2:10" ht="15.75" customHeight="1">
      <c r="B170" s="1318"/>
      <c r="C170" s="1317"/>
      <c r="D170" s="1318"/>
      <c r="E170" s="1318"/>
      <c r="F170" s="1318"/>
      <c r="G170" s="1318"/>
      <c r="H170" s="1318"/>
      <c r="I170" s="1309"/>
      <c r="J170" s="1318"/>
    </row>
    <row r="171" spans="2:10" ht="15.75" customHeight="1">
      <c r="B171" s="1318"/>
      <c r="C171" s="1317"/>
      <c r="D171" s="1318"/>
      <c r="E171" s="1318"/>
      <c r="F171" s="1318"/>
      <c r="G171" s="1318"/>
      <c r="H171" s="1318"/>
      <c r="I171" s="1309"/>
      <c r="J171" s="1318"/>
    </row>
    <row r="172" spans="2:10" ht="15.75" customHeight="1">
      <c r="B172" s="1318"/>
      <c r="C172" s="1317"/>
      <c r="D172" s="1318"/>
      <c r="E172" s="1318"/>
      <c r="F172" s="1318"/>
      <c r="G172" s="1318"/>
      <c r="H172" s="1318"/>
      <c r="I172" s="1309"/>
      <c r="J172" s="1318"/>
    </row>
    <row r="173" spans="2:10" ht="15.75" customHeight="1">
      <c r="B173" s="1318"/>
      <c r="C173" s="1317"/>
      <c r="D173" s="1318"/>
      <c r="E173" s="1318"/>
      <c r="F173" s="1318"/>
      <c r="G173" s="1318"/>
      <c r="H173" s="1318"/>
      <c r="I173" s="1309"/>
      <c r="J173" s="1318"/>
    </row>
    <row r="174" spans="2:10" ht="15.75" customHeight="1">
      <c r="B174" s="1318"/>
      <c r="C174" s="1317"/>
      <c r="D174" s="1318"/>
      <c r="E174" s="1318"/>
      <c r="F174" s="1318"/>
      <c r="G174" s="1318"/>
      <c r="H174" s="1318"/>
      <c r="I174" s="1309"/>
      <c r="J174" s="1318"/>
    </row>
    <row r="175" spans="2:10" ht="15.75" customHeight="1">
      <c r="B175" s="1318"/>
      <c r="C175" s="1317"/>
      <c r="D175" s="1318"/>
      <c r="E175" s="1318"/>
      <c r="F175" s="1318"/>
      <c r="G175" s="1318"/>
      <c r="H175" s="1318"/>
      <c r="I175" s="1309"/>
      <c r="J175" s="1318"/>
    </row>
    <row r="176" spans="2:10" ht="15.75" customHeight="1">
      <c r="B176" s="1318"/>
      <c r="C176" s="1317"/>
      <c r="D176" s="1318"/>
      <c r="E176" s="1318"/>
      <c r="F176" s="1318"/>
      <c r="G176" s="1318"/>
      <c r="H176" s="1318"/>
      <c r="I176" s="1309"/>
      <c r="J176" s="1318"/>
    </row>
    <row r="177" spans="2:10" ht="15.75" customHeight="1">
      <c r="B177" s="1318"/>
      <c r="C177" s="1317"/>
      <c r="D177" s="1318"/>
      <c r="E177" s="1318"/>
      <c r="F177" s="1318"/>
      <c r="G177" s="1318"/>
      <c r="H177" s="1318"/>
      <c r="I177" s="1309"/>
      <c r="J177" s="1318"/>
    </row>
    <row r="178" spans="2:10" ht="15.75" customHeight="1">
      <c r="B178" s="1318"/>
      <c r="C178" s="1317"/>
      <c r="D178" s="1318"/>
      <c r="E178" s="1318"/>
      <c r="F178" s="1318"/>
      <c r="G178" s="1318"/>
      <c r="H178" s="1318"/>
      <c r="I178" s="1309"/>
      <c r="J178" s="1318"/>
    </row>
    <row r="179" spans="2:10" ht="15.75" customHeight="1">
      <c r="B179" s="1318"/>
      <c r="C179" s="1317"/>
      <c r="D179" s="1318"/>
      <c r="E179" s="1318"/>
      <c r="F179" s="1318"/>
      <c r="G179" s="1318"/>
      <c r="H179" s="1318"/>
      <c r="I179" s="1309"/>
      <c r="J179" s="1318"/>
    </row>
    <row r="180" spans="2:10" ht="15.75" customHeight="1">
      <c r="B180" s="1318"/>
      <c r="C180" s="1317"/>
      <c r="D180" s="1318"/>
      <c r="E180" s="1318"/>
      <c r="F180" s="1318"/>
      <c r="G180" s="1318"/>
      <c r="H180" s="1318"/>
      <c r="I180" s="1309"/>
      <c r="J180" s="1318"/>
    </row>
    <row r="181" spans="2:10" ht="15.75" customHeight="1">
      <c r="B181" s="1318"/>
      <c r="C181" s="1317"/>
      <c r="D181" s="1318"/>
      <c r="E181" s="1318"/>
      <c r="F181" s="1318"/>
      <c r="G181" s="1318"/>
      <c r="H181" s="1318"/>
      <c r="I181" s="1309"/>
      <c r="J181" s="1318"/>
    </row>
  </sheetData>
  <mergeCells count="20">
    <mergeCell ref="B17:D17"/>
    <mergeCell ref="E17:G17"/>
    <mergeCell ref="B88:D88"/>
    <mergeCell ref="B101:D101"/>
    <mergeCell ref="B106:D106"/>
    <mergeCell ref="B126:D126"/>
    <mergeCell ref="B156:D156"/>
    <mergeCell ref="B36:D36"/>
    <mergeCell ref="B57:D57"/>
    <mergeCell ref="B61:D61"/>
    <mergeCell ref="B67:D67"/>
    <mergeCell ref="B78:D78"/>
    <mergeCell ref="H1:I1"/>
    <mergeCell ref="H3:I3"/>
    <mergeCell ref="B6:B7"/>
    <mergeCell ref="C6:C7"/>
    <mergeCell ref="D6:D7"/>
    <mergeCell ref="F6:H6"/>
    <mergeCell ref="I6:J6"/>
    <mergeCell ref="I2:J2"/>
  </mergeCells>
  <pageMargins left="0.5" right="0.25" top="0.5" bottom="0.5" header="0.25" footer="0.25"/>
  <pageSetup paperSize="9" scale="78" firstPageNumber="120" orientation="portrait" useFirstPageNumber="1" r:id="rId1"/>
  <headerFooter alignWithMargins="0">
    <oddHeader>&amp;CPage 1 of ?&amp;R</oddHeader>
    <oddFooter>&amp;LContractor: - ______________&amp;CConcultant: - ______________&amp;RClient: - __________________</oddFooter>
  </headerFooter>
  <rowBreaks count="3" manualBreakCount="3">
    <brk id="57" max="10" man="1"/>
    <brk id="106" max="10" man="1"/>
    <brk id="157" max="10" man="1"/>
  </rowBreaks>
  <colBreaks count="1" manualBreakCount="1">
    <brk id="11" max="180"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0"/>
  <sheetViews>
    <sheetView view="pageBreakPreview" zoomScaleNormal="115" zoomScaleSheetLayoutView="100" zoomScalePageLayoutView="85" workbookViewId="0">
      <selection activeCell="E474" sqref="E474"/>
    </sheetView>
  </sheetViews>
  <sheetFormatPr defaultRowHeight="15.75"/>
  <cols>
    <col min="1" max="1" width="4.5703125" style="103" customWidth="1"/>
    <col min="2" max="2" width="5.28515625" style="103" customWidth="1"/>
    <col min="3" max="3" width="9.85546875" style="159" customWidth="1"/>
    <col min="4" max="4" width="10" style="159" customWidth="1"/>
    <col min="5" max="5" width="38.5703125" style="103" customWidth="1"/>
    <col min="6" max="6" width="6" style="159" customWidth="1"/>
    <col min="7" max="7" width="10.140625" style="835" customWidth="1"/>
    <col min="8" max="8" width="11.28515625" style="836" customWidth="1"/>
    <col min="9" max="9" width="41.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1331"/>
      <c r="H1" s="821"/>
      <c r="I1" s="1332"/>
      <c r="J1" s="820"/>
    </row>
    <row r="2" spans="1:10">
      <c r="A2" s="818"/>
      <c r="B2" s="2059" t="s">
        <v>1917</v>
      </c>
      <c r="C2" s="2059"/>
      <c r="D2" s="2059"/>
      <c r="E2" s="2059"/>
      <c r="F2" s="819"/>
      <c r="G2" s="1331"/>
      <c r="J2" s="818"/>
    </row>
    <row r="3" spans="1:10">
      <c r="A3" s="818"/>
      <c r="B3" s="2059" t="s">
        <v>1920</v>
      </c>
      <c r="C3" s="2059"/>
      <c r="D3" s="2059"/>
      <c r="E3" s="2059"/>
      <c r="F3" s="2059"/>
      <c r="G3" s="1331"/>
      <c r="H3" s="2060" t="s">
        <v>2338</v>
      </c>
      <c r="I3" s="2060"/>
      <c r="J3" s="818"/>
    </row>
    <row r="4" spans="1:10">
      <c r="A4" s="818"/>
      <c r="B4" s="2059" t="s">
        <v>1921</v>
      </c>
      <c r="C4" s="2059"/>
      <c r="D4" s="2059"/>
      <c r="E4" s="2059"/>
      <c r="F4" s="819"/>
      <c r="G4" s="1331"/>
      <c r="H4" s="2089"/>
      <c r="I4" s="2089"/>
      <c r="J4" s="818"/>
    </row>
    <row r="5" spans="1:10">
      <c r="A5" s="818"/>
      <c r="B5" s="824"/>
      <c r="C5" s="1331"/>
      <c r="D5" s="1331"/>
      <c r="E5" s="825"/>
      <c r="F5" s="819"/>
      <c r="G5" s="1330"/>
      <c r="H5" s="827"/>
      <c r="I5" s="1330"/>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37" t="s">
        <v>1887</v>
      </c>
      <c r="F7" s="831"/>
      <c r="G7" s="829"/>
      <c r="H7" s="832"/>
      <c r="I7" s="844" t="s">
        <v>2101</v>
      </c>
    </row>
    <row r="8" spans="1:10">
      <c r="A8" s="818"/>
      <c r="B8" s="831"/>
      <c r="C8" s="829"/>
      <c r="D8" s="832"/>
      <c r="E8" s="837" t="s">
        <v>1888</v>
      </c>
      <c r="F8" s="831">
        <v>2</v>
      </c>
      <c r="G8" s="829">
        <v>33.74</v>
      </c>
      <c r="H8" s="832"/>
      <c r="I8" s="833" t="s">
        <v>1916</v>
      </c>
    </row>
    <row r="9" spans="1:10">
      <c r="A9" s="818"/>
      <c r="B9" s="831"/>
      <c r="C9" s="829"/>
      <c r="D9" s="832"/>
      <c r="E9" s="837" t="s">
        <v>1889</v>
      </c>
      <c r="F9" s="831"/>
      <c r="G9" s="829">
        <v>0.4</v>
      </c>
      <c r="H9" s="832"/>
      <c r="I9" s="833" t="s">
        <v>1934</v>
      </c>
    </row>
    <row r="10" spans="1:10">
      <c r="A10" s="818"/>
      <c r="B10" s="831"/>
      <c r="C10" s="829"/>
      <c r="D10" s="832"/>
      <c r="E10" s="831" t="s">
        <v>1960</v>
      </c>
      <c r="F10" s="831"/>
      <c r="G10" s="829">
        <v>0.74</v>
      </c>
      <c r="H10" s="832">
        <f>F8*G8*G9*G10</f>
        <v>19.974080000000004</v>
      </c>
      <c r="I10" s="833"/>
    </row>
    <row r="11" spans="1:10">
      <c r="A11" s="818"/>
      <c r="B11" s="831">
        <v>1</v>
      </c>
      <c r="C11" s="829">
        <v>37.04</v>
      </c>
      <c r="D11" s="832"/>
      <c r="E11" s="831"/>
      <c r="F11" s="831"/>
      <c r="G11" s="829"/>
      <c r="H11" s="832"/>
      <c r="I11" s="833"/>
    </row>
    <row r="12" spans="1:10" ht="18">
      <c r="A12" s="818"/>
      <c r="B12" s="831"/>
      <c r="C12" s="829">
        <v>13.25</v>
      </c>
      <c r="D12" s="838">
        <f>C12*C11*B11</f>
        <v>490.78</v>
      </c>
      <c r="E12" s="839" t="s">
        <v>3389</v>
      </c>
      <c r="F12" s="831">
        <v>6</v>
      </c>
      <c r="G12" s="829">
        <v>9.65</v>
      </c>
      <c r="H12" s="832"/>
      <c r="I12" s="833" t="s">
        <v>1914</v>
      </c>
    </row>
    <row r="13" spans="1:10">
      <c r="A13" s="818"/>
      <c r="B13" s="831"/>
      <c r="C13" s="829"/>
      <c r="D13" s="832"/>
      <c r="E13" s="831"/>
      <c r="F13" s="831"/>
      <c r="G13" s="829">
        <v>0.4</v>
      </c>
      <c r="H13" s="832"/>
      <c r="I13" s="833" t="s">
        <v>1935</v>
      </c>
    </row>
    <row r="14" spans="1:10">
      <c r="A14" s="818"/>
      <c r="B14" s="831"/>
      <c r="C14" s="829"/>
      <c r="D14" s="832"/>
      <c r="E14" s="837" t="s">
        <v>1890</v>
      </c>
      <c r="F14" s="831"/>
      <c r="G14" s="829">
        <v>0.74</v>
      </c>
      <c r="H14" s="832">
        <f>F12*G12*G13*G14</f>
        <v>17.138400000000004</v>
      </c>
      <c r="I14" s="833"/>
    </row>
    <row r="15" spans="1:10">
      <c r="A15" s="818"/>
      <c r="B15" s="831">
        <v>1</v>
      </c>
      <c r="C15" s="829">
        <v>33.74</v>
      </c>
      <c r="D15" s="832"/>
      <c r="E15" s="831" t="s">
        <v>1924</v>
      </c>
      <c r="F15" s="831"/>
      <c r="G15" s="829"/>
      <c r="H15" s="832"/>
      <c r="I15" s="833"/>
    </row>
    <row r="16" spans="1:10">
      <c r="A16" s="818"/>
      <c r="B16" s="831"/>
      <c r="C16" s="829">
        <v>9.9499999999999993</v>
      </c>
      <c r="D16" s="832"/>
      <c r="E16" s="831" t="s">
        <v>1925</v>
      </c>
      <c r="F16" s="839"/>
      <c r="G16" s="838"/>
      <c r="H16" s="838">
        <f>D57-H10-H14</f>
        <v>227.66543999999999</v>
      </c>
      <c r="I16" s="839" t="s">
        <v>2102</v>
      </c>
    </row>
    <row r="17" spans="1:9">
      <c r="A17" s="818"/>
      <c r="B17" s="831"/>
      <c r="C17" s="829">
        <v>0.35</v>
      </c>
      <c r="D17" s="832">
        <f>B15*C15*C16*C17</f>
        <v>117.49955</v>
      </c>
      <c r="E17" s="831"/>
      <c r="F17" s="831"/>
      <c r="G17" s="829"/>
      <c r="H17" s="832"/>
      <c r="I17" s="833"/>
    </row>
    <row r="18" spans="1:9">
      <c r="A18" s="818"/>
      <c r="B18" s="831"/>
      <c r="C18" s="829"/>
      <c r="D18" s="832"/>
      <c r="E18" s="831"/>
      <c r="F18" s="831"/>
      <c r="G18" s="829"/>
      <c r="H18" s="832"/>
      <c r="I18" s="837" t="s">
        <v>1959</v>
      </c>
    </row>
    <row r="19" spans="1:9">
      <c r="A19" s="818"/>
      <c r="B19" s="831"/>
      <c r="C19" s="829"/>
      <c r="D19" s="832"/>
      <c r="E19" s="837" t="s">
        <v>2101</v>
      </c>
      <c r="F19" s="831">
        <v>1</v>
      </c>
      <c r="G19" s="829">
        <f>C11</f>
        <v>37.04</v>
      </c>
      <c r="H19" s="832"/>
      <c r="I19" s="831"/>
    </row>
    <row r="20" spans="1:9">
      <c r="A20" s="818"/>
      <c r="B20" s="831">
        <v>2</v>
      </c>
      <c r="C20" s="829">
        <v>33.74</v>
      </c>
      <c r="D20" s="832"/>
      <c r="E20" s="831" t="s">
        <v>1916</v>
      </c>
      <c r="F20" s="831"/>
      <c r="G20" s="829">
        <f>C12</f>
        <v>13.25</v>
      </c>
      <c r="H20" s="832"/>
      <c r="I20" s="831"/>
    </row>
    <row r="21" spans="1:9">
      <c r="A21" s="818"/>
      <c r="B21" s="831"/>
      <c r="C21" s="829">
        <v>0.9</v>
      </c>
      <c r="D21" s="832"/>
      <c r="E21" s="831" t="s">
        <v>1924</v>
      </c>
      <c r="F21" s="831"/>
      <c r="G21" s="829">
        <v>0.3</v>
      </c>
      <c r="H21" s="832">
        <f>F19*G19*G20*G21</f>
        <v>147.23399999999998</v>
      </c>
      <c r="I21" s="831" t="s">
        <v>1936</v>
      </c>
    </row>
    <row r="22" spans="1:9">
      <c r="A22" s="818"/>
      <c r="B22" s="831"/>
      <c r="C22" s="829">
        <v>0.35</v>
      </c>
      <c r="D22" s="832">
        <f>B20*C20*C21*C22</f>
        <v>21.2562</v>
      </c>
      <c r="E22" s="831"/>
      <c r="F22" s="1335"/>
      <c r="G22" s="848"/>
      <c r="H22" s="843"/>
      <c r="I22" s="435"/>
    </row>
    <row r="23" spans="1:9">
      <c r="A23" s="818"/>
      <c r="B23" s="831"/>
      <c r="C23" s="829"/>
      <c r="D23" s="832"/>
      <c r="E23" s="831"/>
      <c r="F23" s="831"/>
      <c r="G23" s="829"/>
      <c r="H23" s="832">
        <f>D28</f>
        <v>80.839849999999984</v>
      </c>
      <c r="I23" s="831" t="s">
        <v>1937</v>
      </c>
    </row>
    <row r="24" spans="1:9">
      <c r="A24" s="818"/>
      <c r="B24" s="831">
        <v>6</v>
      </c>
      <c r="C24" s="829">
        <v>8.15</v>
      </c>
      <c r="D24" s="832"/>
      <c r="E24" s="831" t="s">
        <v>1914</v>
      </c>
      <c r="F24" s="1335"/>
      <c r="G24" s="848"/>
      <c r="H24" s="843"/>
      <c r="I24" s="435"/>
    </row>
    <row r="25" spans="1:9" ht="31.5">
      <c r="A25" s="818"/>
      <c r="B25" s="831"/>
      <c r="C25" s="829">
        <v>0.9</v>
      </c>
      <c r="D25" s="832"/>
      <c r="E25" s="831" t="s">
        <v>1926</v>
      </c>
      <c r="F25" s="831"/>
      <c r="G25" s="829"/>
      <c r="H25" s="832">
        <f>D40</f>
        <v>171.69408000000001</v>
      </c>
      <c r="I25" s="831" t="s">
        <v>1938</v>
      </c>
    </row>
    <row r="26" spans="1:9">
      <c r="A26" s="818"/>
      <c r="B26" s="831"/>
      <c r="C26" s="829">
        <v>0.35</v>
      </c>
      <c r="D26" s="832">
        <f>B24*C24*C25*C26</f>
        <v>15.403500000000001</v>
      </c>
      <c r="E26" s="831"/>
      <c r="F26" s="831"/>
      <c r="G26" s="829"/>
      <c r="H26" s="832"/>
      <c r="I26" s="831"/>
    </row>
    <row r="27" spans="1:9">
      <c r="A27" s="818"/>
      <c r="B27" s="435"/>
      <c r="C27" s="435"/>
      <c r="D27" s="435"/>
      <c r="E27" s="435"/>
      <c r="F27" s="831"/>
      <c r="G27" s="829"/>
      <c r="H27" s="832">
        <f>D52</f>
        <v>50.388480000000008</v>
      </c>
      <c r="I27" s="831" t="s">
        <v>2943</v>
      </c>
    </row>
    <row r="28" spans="1:9" ht="18">
      <c r="A28" s="818"/>
      <c r="B28" s="839"/>
      <c r="C28" s="838"/>
      <c r="D28" s="838">
        <f>D17-D22-D26</f>
        <v>80.839849999999984</v>
      </c>
      <c r="E28" s="839" t="s">
        <v>3390</v>
      </c>
      <c r="F28" s="831"/>
      <c r="G28" s="829"/>
      <c r="H28" s="832"/>
      <c r="I28" s="831"/>
    </row>
    <row r="29" spans="1:9">
      <c r="A29" s="818"/>
      <c r="B29" s="831"/>
      <c r="C29" s="829"/>
      <c r="D29" s="832"/>
      <c r="E29" s="831"/>
      <c r="F29" s="839"/>
      <c r="G29" s="838"/>
      <c r="H29" s="838">
        <f>H21+H23+H25-H27</f>
        <v>349.37944999999996</v>
      </c>
      <c r="I29" s="845" t="s">
        <v>2104</v>
      </c>
    </row>
    <row r="30" spans="1:9">
      <c r="A30" s="818"/>
      <c r="B30" s="831"/>
      <c r="C30" s="829"/>
      <c r="D30" s="832"/>
      <c r="E30" s="837" t="s">
        <v>2903</v>
      </c>
      <c r="F30" s="1335"/>
      <c r="G30" s="848"/>
      <c r="H30" s="843"/>
      <c r="I30" s="435"/>
    </row>
    <row r="31" spans="1:9">
      <c r="A31" s="818"/>
      <c r="B31" s="831"/>
      <c r="C31" s="829"/>
      <c r="D31" s="832"/>
      <c r="E31" s="837" t="s">
        <v>2904</v>
      </c>
      <c r="F31" s="831"/>
      <c r="G31" s="829"/>
      <c r="H31" s="832"/>
      <c r="I31" s="837" t="s">
        <v>2105</v>
      </c>
    </row>
    <row r="32" spans="1:9">
      <c r="A32" s="818"/>
      <c r="B32" s="831">
        <v>4</v>
      </c>
      <c r="C32" s="829">
        <v>35.54</v>
      </c>
      <c r="D32" s="832"/>
      <c r="E32" s="831" t="s">
        <v>1916</v>
      </c>
      <c r="F32" s="831">
        <v>2</v>
      </c>
      <c r="G32" s="829">
        <v>3.7</v>
      </c>
      <c r="H32" s="832"/>
      <c r="I32" s="831" t="s">
        <v>2079</v>
      </c>
    </row>
    <row r="33" spans="1:9" ht="31.5">
      <c r="A33" s="818"/>
      <c r="B33" s="831"/>
      <c r="C33" s="829">
        <v>0.9</v>
      </c>
      <c r="D33" s="832"/>
      <c r="E33" s="831" t="s">
        <v>2942</v>
      </c>
      <c r="F33" s="831"/>
      <c r="G33" s="829">
        <v>4</v>
      </c>
      <c r="H33" s="832">
        <f>G33*G32*F32</f>
        <v>29.6</v>
      </c>
      <c r="I33" s="831"/>
    </row>
    <row r="34" spans="1:9">
      <c r="A34" s="818"/>
      <c r="B34" s="831"/>
      <c r="C34" s="829">
        <v>0.92</v>
      </c>
      <c r="D34" s="832">
        <f>B32*C32*C33*C34</f>
        <v>117.70848000000001</v>
      </c>
      <c r="E34" s="831"/>
      <c r="F34" s="831"/>
      <c r="G34" s="829"/>
      <c r="H34" s="832"/>
      <c r="I34" s="831"/>
    </row>
    <row r="35" spans="1:9">
      <c r="A35" s="818"/>
      <c r="B35" s="831"/>
      <c r="C35" s="829"/>
      <c r="D35" s="832"/>
      <c r="E35" s="831"/>
      <c r="F35" s="831">
        <v>10</v>
      </c>
      <c r="G35" s="829">
        <v>4.8</v>
      </c>
      <c r="H35" s="832"/>
      <c r="I35" s="831" t="s">
        <v>2080</v>
      </c>
    </row>
    <row r="36" spans="1:9">
      <c r="A36" s="818"/>
      <c r="B36" s="831">
        <v>8</v>
      </c>
      <c r="C36" s="829">
        <v>8.15</v>
      </c>
      <c r="D36" s="832"/>
      <c r="E36" s="831" t="s">
        <v>1914</v>
      </c>
      <c r="F36" s="831"/>
      <c r="G36" s="829">
        <v>4</v>
      </c>
      <c r="H36" s="832">
        <f>G36*G35*F35</f>
        <v>192</v>
      </c>
      <c r="I36" s="831"/>
    </row>
    <row r="37" spans="1:9">
      <c r="A37" s="818"/>
      <c r="B37" s="831"/>
      <c r="C37" s="829">
        <v>0.9</v>
      </c>
      <c r="D37" s="832"/>
      <c r="E37" s="831" t="s">
        <v>2940</v>
      </c>
      <c r="F37" s="831"/>
      <c r="G37" s="829"/>
      <c r="H37" s="832"/>
      <c r="I37" s="831"/>
    </row>
    <row r="38" spans="1:9">
      <c r="A38" s="818"/>
      <c r="B38" s="831"/>
      <c r="C38" s="829">
        <v>0.92</v>
      </c>
      <c r="D38" s="832">
        <f>B36*C36*C37*C38</f>
        <v>53.985600000000005</v>
      </c>
      <c r="E38" s="831" t="s">
        <v>2941</v>
      </c>
      <c r="F38" s="831">
        <v>2</v>
      </c>
      <c r="G38" s="829">
        <v>5.8</v>
      </c>
      <c r="H38" s="832"/>
      <c r="I38" s="831" t="s">
        <v>2081</v>
      </c>
    </row>
    <row r="39" spans="1:9">
      <c r="A39" s="818"/>
      <c r="B39" s="435"/>
      <c r="C39" s="1335"/>
      <c r="D39" s="1335"/>
      <c r="E39" s="435"/>
      <c r="F39" s="831"/>
      <c r="G39" s="829">
        <v>4</v>
      </c>
      <c r="H39" s="832">
        <f>G39*G38*F38</f>
        <v>46.4</v>
      </c>
      <c r="I39" s="831"/>
    </row>
    <row r="40" spans="1:9" ht="18">
      <c r="A40" s="818"/>
      <c r="B40" s="839"/>
      <c r="C40" s="838"/>
      <c r="D40" s="838">
        <f>D34+D38</f>
        <v>171.69408000000001</v>
      </c>
      <c r="E40" s="839" t="s">
        <v>3391</v>
      </c>
      <c r="F40" s="831"/>
      <c r="G40" s="829"/>
      <c r="H40" s="832"/>
      <c r="I40" s="831"/>
    </row>
    <row r="41" spans="1:9">
      <c r="A41" s="818"/>
      <c r="B41" s="831"/>
      <c r="C41" s="829"/>
      <c r="D41" s="832"/>
      <c r="E41" s="831"/>
      <c r="F41" s="831">
        <v>1</v>
      </c>
      <c r="G41" s="829">
        <v>3.7</v>
      </c>
      <c r="H41" s="832"/>
      <c r="I41" s="831" t="s">
        <v>2082</v>
      </c>
    </row>
    <row r="42" spans="1:9">
      <c r="A42" s="818"/>
      <c r="B42" s="831"/>
      <c r="C42" s="829"/>
      <c r="D42" s="832"/>
      <c r="E42" s="844" t="s">
        <v>1927</v>
      </c>
      <c r="F42" s="831"/>
      <c r="G42" s="829">
        <v>2.4</v>
      </c>
      <c r="H42" s="832">
        <f>G42*G41*F41</f>
        <v>8.8800000000000008</v>
      </c>
      <c r="I42" s="831"/>
    </row>
    <row r="43" spans="1:9">
      <c r="A43" s="818"/>
      <c r="B43" s="831"/>
      <c r="C43" s="829"/>
      <c r="D43" s="832"/>
      <c r="E43" s="844" t="s">
        <v>1928</v>
      </c>
      <c r="F43" s="831"/>
      <c r="G43" s="829"/>
      <c r="H43" s="832"/>
      <c r="I43" s="831"/>
    </row>
    <row r="44" spans="1:9">
      <c r="A44" s="818"/>
      <c r="B44" s="831">
        <v>4</v>
      </c>
      <c r="C44" s="829">
        <v>35.54</v>
      </c>
      <c r="D44" s="832"/>
      <c r="E44" s="833" t="s">
        <v>1929</v>
      </c>
      <c r="F44" s="831">
        <v>5</v>
      </c>
      <c r="G44" s="829">
        <v>4.8</v>
      </c>
      <c r="H44" s="832"/>
      <c r="I44" s="831" t="s">
        <v>2083</v>
      </c>
    </row>
    <row r="45" spans="1:9">
      <c r="A45" s="818"/>
      <c r="B45" s="831"/>
      <c r="C45" s="829">
        <v>0.9</v>
      </c>
      <c r="D45" s="832"/>
      <c r="E45" s="833" t="s">
        <v>1930</v>
      </c>
      <c r="F45" s="831"/>
      <c r="G45" s="829">
        <v>2.4</v>
      </c>
      <c r="H45" s="832">
        <f>G45*G44*F44</f>
        <v>57.599999999999994</v>
      </c>
      <c r="I45" s="831"/>
    </row>
    <row r="46" spans="1:9">
      <c r="A46" s="818"/>
      <c r="B46" s="831"/>
      <c r="C46" s="829">
        <v>0.27</v>
      </c>
      <c r="D46" s="832">
        <f>B44*C44*C45*C46</f>
        <v>34.544880000000006</v>
      </c>
      <c r="E46" s="833"/>
      <c r="F46" s="831"/>
      <c r="G46" s="829"/>
      <c r="H46" s="832"/>
      <c r="I46" s="831"/>
    </row>
    <row r="47" spans="1:9">
      <c r="A47" s="818"/>
      <c r="B47" s="831"/>
      <c r="C47" s="829"/>
      <c r="D47" s="832"/>
      <c r="E47" s="833"/>
      <c r="F47" s="831">
        <v>1</v>
      </c>
      <c r="G47" s="829">
        <v>5.8</v>
      </c>
      <c r="H47" s="832"/>
      <c r="I47" s="831" t="s">
        <v>2084</v>
      </c>
    </row>
    <row r="48" spans="1:9">
      <c r="A48" s="818"/>
      <c r="B48" s="831">
        <v>8</v>
      </c>
      <c r="C48" s="829">
        <v>8.15</v>
      </c>
      <c r="D48" s="832"/>
      <c r="E48" s="833" t="s">
        <v>1913</v>
      </c>
      <c r="F48" s="831"/>
      <c r="G48" s="829">
        <v>2.4</v>
      </c>
      <c r="H48" s="832">
        <f>G48*G47*F47</f>
        <v>13.92</v>
      </c>
      <c r="I48" s="831"/>
    </row>
    <row r="49" spans="1:10">
      <c r="A49" s="818"/>
      <c r="B49" s="831"/>
      <c r="C49" s="829">
        <v>0.9</v>
      </c>
      <c r="D49" s="832"/>
      <c r="E49" s="833" t="s">
        <v>1931</v>
      </c>
      <c r="F49" s="831"/>
      <c r="G49" s="829"/>
      <c r="H49" s="832"/>
      <c r="I49" s="831"/>
    </row>
    <row r="50" spans="1:10">
      <c r="A50" s="818"/>
      <c r="B50" s="831"/>
      <c r="C50" s="829">
        <v>0.27</v>
      </c>
      <c r="D50" s="832">
        <f>B48*C48*C49*C50</f>
        <v>15.843600000000002</v>
      </c>
      <c r="E50" s="833"/>
      <c r="F50" s="831">
        <v>1</v>
      </c>
      <c r="G50" s="829">
        <v>34.1</v>
      </c>
      <c r="H50" s="832"/>
      <c r="I50" s="831" t="s">
        <v>2085</v>
      </c>
    </row>
    <row r="51" spans="1:10">
      <c r="A51" s="818"/>
      <c r="B51" s="435"/>
      <c r="C51" s="435"/>
      <c r="D51" s="435"/>
      <c r="E51" s="435"/>
      <c r="F51" s="435"/>
      <c r="G51" s="829">
        <v>1.5</v>
      </c>
      <c r="H51" s="832">
        <f>G51*G50*F50</f>
        <v>51.150000000000006</v>
      </c>
      <c r="I51" s="831"/>
    </row>
    <row r="52" spans="1:10">
      <c r="A52" s="818"/>
      <c r="B52" s="839"/>
      <c r="C52" s="838"/>
      <c r="D52" s="838">
        <f>D46+D50</f>
        <v>50.388480000000008</v>
      </c>
      <c r="E52" s="839" t="s">
        <v>2103</v>
      </c>
      <c r="F52" s="831"/>
      <c r="G52" s="829"/>
      <c r="H52" s="435"/>
      <c r="I52" s="831"/>
    </row>
    <row r="53" spans="1:10">
      <c r="A53" s="818"/>
      <c r="B53" s="831"/>
      <c r="C53" s="829"/>
      <c r="D53" s="832"/>
      <c r="E53" s="831"/>
      <c r="F53" s="839"/>
      <c r="G53" s="838"/>
      <c r="H53" s="838">
        <f>SUM(H33:H51)</f>
        <v>399.55000000000007</v>
      </c>
      <c r="I53" s="845" t="s">
        <v>2106</v>
      </c>
    </row>
    <row r="54" spans="1:10">
      <c r="A54" s="818"/>
      <c r="B54" s="831"/>
      <c r="C54" s="829"/>
      <c r="D54" s="832"/>
      <c r="E54" s="844" t="s">
        <v>1932</v>
      </c>
      <c r="F54" s="1335"/>
      <c r="G54" s="848"/>
      <c r="H54" s="843"/>
      <c r="I54" s="435"/>
    </row>
    <row r="55" spans="1:10">
      <c r="A55" s="818"/>
      <c r="B55" s="831">
        <v>1</v>
      </c>
      <c r="C55" s="829">
        <v>34.24</v>
      </c>
      <c r="D55" s="832"/>
      <c r="E55" s="844" t="s">
        <v>1933</v>
      </c>
      <c r="F55" s="1335"/>
      <c r="G55" s="848"/>
      <c r="H55" s="843"/>
      <c r="I55" s="435"/>
    </row>
    <row r="56" spans="1:10">
      <c r="A56" s="818"/>
      <c r="B56" s="831"/>
      <c r="C56" s="829">
        <v>10.45</v>
      </c>
      <c r="D56" s="832"/>
      <c r="E56" s="844"/>
      <c r="F56" s="831"/>
      <c r="G56" s="829"/>
      <c r="H56" s="832"/>
      <c r="I56" s="833"/>
    </row>
    <row r="57" spans="1:10">
      <c r="A57" s="818"/>
      <c r="B57" s="831"/>
      <c r="C57" s="829">
        <v>0.74</v>
      </c>
      <c r="D57" s="832">
        <f>B55*C55*C56*C57</f>
        <v>264.77791999999999</v>
      </c>
      <c r="E57" s="833" t="s">
        <v>1961</v>
      </c>
      <c r="F57" s="831"/>
      <c r="G57" s="829"/>
      <c r="H57" s="832"/>
      <c r="I57" s="833"/>
    </row>
    <row r="58" spans="1:10">
      <c r="A58" s="818"/>
      <c r="B58" s="849"/>
      <c r="C58" s="850"/>
      <c r="D58" s="851"/>
      <c r="E58" s="849"/>
      <c r="F58" s="849"/>
      <c r="G58" s="850"/>
      <c r="H58" s="851"/>
      <c r="I58" s="852"/>
    </row>
    <row r="59" spans="1:10">
      <c r="A59" s="828"/>
      <c r="B59" s="853" t="s">
        <v>1884</v>
      </c>
      <c r="C59" s="854" t="s">
        <v>526</v>
      </c>
      <c r="D59" s="855" t="s">
        <v>1885</v>
      </c>
      <c r="E59" s="854" t="s">
        <v>1886</v>
      </c>
      <c r="F59" s="853" t="s">
        <v>1884</v>
      </c>
      <c r="G59" s="855" t="s">
        <v>526</v>
      </c>
      <c r="H59" s="856" t="s">
        <v>1885</v>
      </c>
      <c r="I59" s="854" t="s">
        <v>1886</v>
      </c>
      <c r="J59" s="828"/>
    </row>
    <row r="60" spans="1:10">
      <c r="A60" s="818"/>
      <c r="B60" s="831"/>
      <c r="C60" s="829"/>
      <c r="D60" s="832"/>
      <c r="E60" s="837" t="s">
        <v>1894</v>
      </c>
      <c r="F60" s="831"/>
      <c r="G60" s="829"/>
      <c r="H60" s="832"/>
      <c r="I60" s="844" t="s">
        <v>2087</v>
      </c>
    </row>
    <row r="61" spans="1:10">
      <c r="A61" s="818"/>
      <c r="B61" s="831"/>
      <c r="C61" s="829"/>
      <c r="D61" s="832"/>
      <c r="E61" s="837" t="s">
        <v>1939</v>
      </c>
      <c r="F61" s="831">
        <v>6</v>
      </c>
      <c r="G61" s="829">
        <v>33.1</v>
      </c>
      <c r="H61" s="832"/>
      <c r="I61" s="833" t="s">
        <v>2088</v>
      </c>
    </row>
    <row r="62" spans="1:10">
      <c r="A62" s="818"/>
      <c r="B62" s="831">
        <v>4</v>
      </c>
      <c r="C62" s="829">
        <v>35.04</v>
      </c>
      <c r="D62" s="832"/>
      <c r="E62" s="831" t="s">
        <v>1940</v>
      </c>
      <c r="F62" s="831"/>
      <c r="G62" s="829"/>
      <c r="H62" s="832">
        <f>G61*F61</f>
        <v>198.60000000000002</v>
      </c>
      <c r="I62" s="833" t="s">
        <v>2089</v>
      </c>
    </row>
    <row r="63" spans="1:10">
      <c r="A63" s="818"/>
      <c r="B63" s="831"/>
      <c r="C63" s="829">
        <v>0.4</v>
      </c>
      <c r="D63" s="832">
        <f>C63*C62*B62</f>
        <v>56.064</v>
      </c>
      <c r="E63" s="831"/>
      <c r="F63" s="831"/>
      <c r="G63" s="829"/>
      <c r="H63" s="832"/>
      <c r="I63" s="833"/>
    </row>
    <row r="64" spans="1:10">
      <c r="A64" s="818"/>
      <c r="B64" s="831"/>
      <c r="C64" s="829"/>
      <c r="D64" s="832"/>
      <c r="E64" s="831"/>
      <c r="F64" s="831">
        <v>14</v>
      </c>
      <c r="G64" s="829">
        <v>10.199999999999999</v>
      </c>
      <c r="H64" s="832"/>
      <c r="I64" s="833" t="s">
        <v>2090</v>
      </c>
    </row>
    <row r="65" spans="1:9">
      <c r="A65" s="818"/>
      <c r="B65" s="831">
        <v>8</v>
      </c>
      <c r="C65" s="829">
        <v>9.65</v>
      </c>
      <c r="D65" s="832"/>
      <c r="E65" s="831" t="s">
        <v>1941</v>
      </c>
      <c r="F65" s="831"/>
      <c r="G65" s="829"/>
      <c r="H65" s="832">
        <f>G64*F64</f>
        <v>142.79999999999998</v>
      </c>
      <c r="I65" s="833" t="s">
        <v>2091</v>
      </c>
    </row>
    <row r="66" spans="1:9">
      <c r="A66" s="818"/>
      <c r="B66" s="831"/>
      <c r="C66" s="829">
        <v>0.4</v>
      </c>
      <c r="D66" s="832">
        <f>C66*C65*B65</f>
        <v>30.880000000000003</v>
      </c>
      <c r="E66" s="831"/>
      <c r="F66" s="831"/>
      <c r="G66" s="829"/>
      <c r="H66" s="832"/>
      <c r="I66" s="833"/>
    </row>
    <row r="67" spans="1:9">
      <c r="A67" s="818"/>
      <c r="B67" s="831"/>
      <c r="C67" s="829"/>
      <c r="D67" s="832"/>
      <c r="E67" s="831"/>
      <c r="F67" s="845"/>
      <c r="G67" s="839"/>
      <c r="H67" s="846">
        <f>SUM(H62:H66)</f>
        <v>341.4</v>
      </c>
      <c r="I67" s="845" t="s">
        <v>2113</v>
      </c>
    </row>
    <row r="68" spans="1:9">
      <c r="A68" s="818"/>
      <c r="B68" s="839"/>
      <c r="C68" s="838"/>
      <c r="D68" s="838">
        <f>D66+D63</f>
        <v>86.944000000000003</v>
      </c>
      <c r="E68" s="845" t="s">
        <v>2109</v>
      </c>
      <c r="F68" s="1335"/>
      <c r="G68" s="848"/>
      <c r="H68" s="843"/>
      <c r="I68" s="435"/>
    </row>
    <row r="69" spans="1:9">
      <c r="A69" s="818"/>
      <c r="B69" s="435"/>
      <c r="C69" s="1335"/>
      <c r="D69" s="1335"/>
      <c r="E69" s="435"/>
      <c r="F69" s="831"/>
      <c r="G69" s="829"/>
      <c r="H69" s="832"/>
      <c r="I69" s="844" t="s">
        <v>1843</v>
      </c>
    </row>
    <row r="70" spans="1:9">
      <c r="A70" s="818"/>
      <c r="B70" s="831"/>
      <c r="C70" s="829"/>
      <c r="D70" s="832"/>
      <c r="E70" s="831" t="s">
        <v>2108</v>
      </c>
      <c r="F70" s="831"/>
      <c r="G70" s="829"/>
      <c r="H70" s="832"/>
      <c r="I70" s="844" t="s">
        <v>1957</v>
      </c>
    </row>
    <row r="71" spans="1:9">
      <c r="A71" s="818"/>
      <c r="B71" s="831"/>
      <c r="C71" s="829"/>
      <c r="D71" s="832"/>
      <c r="E71" s="831" t="s">
        <v>2086</v>
      </c>
      <c r="F71" s="831">
        <v>4</v>
      </c>
      <c r="G71" s="829">
        <v>35.04</v>
      </c>
      <c r="H71" s="832"/>
      <c r="I71" s="833" t="s">
        <v>1951</v>
      </c>
    </row>
    <row r="72" spans="1:9">
      <c r="A72" s="818"/>
      <c r="B72" s="831">
        <v>1</v>
      </c>
      <c r="C72" s="829">
        <f>H53</f>
        <v>399.55000000000007</v>
      </c>
      <c r="D72" s="832"/>
      <c r="E72" s="435"/>
      <c r="F72" s="831"/>
      <c r="G72" s="829">
        <v>0.4</v>
      </c>
      <c r="H72" s="832"/>
      <c r="I72" s="833" t="s">
        <v>1940</v>
      </c>
    </row>
    <row r="73" spans="1:9">
      <c r="A73" s="818"/>
      <c r="B73" s="839"/>
      <c r="C73" s="838"/>
      <c r="D73" s="838">
        <f>C72*B72</f>
        <v>399.55000000000007</v>
      </c>
      <c r="E73" s="845" t="s">
        <v>2107</v>
      </c>
      <c r="F73" s="831"/>
      <c r="G73" s="829">
        <v>0.87</v>
      </c>
      <c r="H73" s="832">
        <f>G73*G72*G71*F71</f>
        <v>48.775680000000001</v>
      </c>
      <c r="I73" s="833"/>
    </row>
    <row r="74" spans="1:9">
      <c r="A74" s="818"/>
      <c r="B74" s="435"/>
      <c r="C74" s="1335"/>
      <c r="D74" s="1335"/>
      <c r="E74" s="435"/>
      <c r="F74" s="831"/>
      <c r="G74" s="829"/>
      <c r="H74" s="832"/>
      <c r="I74" s="833"/>
    </row>
    <row r="75" spans="1:9">
      <c r="A75" s="818"/>
      <c r="B75" s="831"/>
      <c r="C75" s="829"/>
      <c r="D75" s="832"/>
      <c r="E75" s="844" t="s">
        <v>1942</v>
      </c>
      <c r="F75" s="831">
        <v>8</v>
      </c>
      <c r="G75" s="829">
        <v>10.45</v>
      </c>
      <c r="H75" s="832"/>
      <c r="I75" s="833" t="s">
        <v>1952</v>
      </c>
    </row>
    <row r="76" spans="1:9">
      <c r="A76" s="818"/>
      <c r="B76" s="831">
        <v>4</v>
      </c>
      <c r="C76" s="829">
        <v>35.04</v>
      </c>
      <c r="D76" s="832"/>
      <c r="E76" s="833" t="s">
        <v>1943</v>
      </c>
      <c r="F76" s="831"/>
      <c r="G76" s="829">
        <v>0.4</v>
      </c>
      <c r="H76" s="832"/>
      <c r="I76" s="833" t="s">
        <v>1941</v>
      </c>
    </row>
    <row r="77" spans="1:9">
      <c r="A77" s="818"/>
      <c r="B77" s="831"/>
      <c r="C77" s="829">
        <v>0.25</v>
      </c>
      <c r="D77" s="832"/>
      <c r="E77" s="833"/>
      <c r="F77" s="831"/>
      <c r="G77" s="829">
        <v>0.87</v>
      </c>
      <c r="H77" s="832">
        <f>G77*G76*G75*F75</f>
        <v>29.0928</v>
      </c>
      <c r="I77" s="833"/>
    </row>
    <row r="78" spans="1:9">
      <c r="A78" s="818"/>
      <c r="B78" s="831"/>
      <c r="C78" s="829">
        <v>0.4</v>
      </c>
      <c r="D78" s="832">
        <f>B76*C76*C77*C78</f>
        <v>14.016</v>
      </c>
      <c r="E78" s="833"/>
      <c r="F78" s="831"/>
      <c r="G78" s="829"/>
      <c r="H78" s="832"/>
      <c r="I78" s="833"/>
    </row>
    <row r="79" spans="1:9">
      <c r="A79" s="818"/>
      <c r="B79" s="831"/>
      <c r="C79" s="829"/>
      <c r="D79" s="832"/>
      <c r="E79" s="833"/>
      <c r="F79" s="857"/>
      <c r="G79" s="857"/>
      <c r="H79" s="858">
        <f>H73+H77</f>
        <v>77.868480000000005</v>
      </c>
      <c r="I79" s="859" t="s">
        <v>2114</v>
      </c>
    </row>
    <row r="80" spans="1:9">
      <c r="A80" s="818"/>
      <c r="B80" s="831">
        <v>8</v>
      </c>
      <c r="C80" s="829">
        <v>10.25</v>
      </c>
      <c r="D80" s="832"/>
      <c r="E80" s="833" t="s">
        <v>1944</v>
      </c>
      <c r="F80" s="1335"/>
      <c r="G80" s="848"/>
      <c r="H80" s="843"/>
      <c r="I80" s="435"/>
    </row>
    <row r="81" spans="1:9">
      <c r="A81" s="818"/>
      <c r="B81" s="831"/>
      <c r="C81" s="829">
        <v>0.25</v>
      </c>
      <c r="D81" s="832"/>
      <c r="E81" s="833"/>
      <c r="F81" s="831">
        <v>1</v>
      </c>
      <c r="G81" s="829">
        <v>15.49</v>
      </c>
      <c r="H81" s="832"/>
      <c r="I81" s="831" t="s">
        <v>1953</v>
      </c>
    </row>
    <row r="82" spans="1:9">
      <c r="A82" s="818"/>
      <c r="B82" s="831"/>
      <c r="C82" s="829">
        <v>0.4</v>
      </c>
      <c r="D82" s="832">
        <f>B80*C80*C81*C82</f>
        <v>8.2000000000000011</v>
      </c>
      <c r="E82" s="833"/>
      <c r="F82" s="831"/>
      <c r="G82" s="829">
        <v>0.4</v>
      </c>
      <c r="H82" s="832"/>
      <c r="I82" s="831" t="s">
        <v>1954</v>
      </c>
    </row>
    <row r="83" spans="1:9">
      <c r="A83" s="818"/>
      <c r="B83" s="831"/>
      <c r="C83" s="829"/>
      <c r="D83" s="832"/>
      <c r="E83" s="833"/>
      <c r="F83" s="831"/>
      <c r="G83" s="829">
        <v>0.44</v>
      </c>
      <c r="H83" s="832">
        <f>F81*G81*G82*G83</f>
        <v>2.7262400000000002</v>
      </c>
      <c r="I83" s="831"/>
    </row>
    <row r="84" spans="1:9">
      <c r="A84" s="818"/>
      <c r="B84" s="839"/>
      <c r="C84" s="839"/>
      <c r="D84" s="838">
        <f>D78+D82</f>
        <v>22.216000000000001</v>
      </c>
      <c r="E84" s="845" t="s">
        <v>2110</v>
      </c>
      <c r="F84" s="831"/>
      <c r="G84" s="829"/>
      <c r="H84" s="832"/>
      <c r="I84" s="831"/>
    </row>
    <row r="85" spans="1:9">
      <c r="A85" s="818"/>
      <c r="B85" s="435"/>
      <c r="C85" s="1335"/>
      <c r="D85" s="1335"/>
      <c r="E85" s="435"/>
      <c r="F85" s="831">
        <v>1</v>
      </c>
      <c r="G85" s="829">
        <v>15.49</v>
      </c>
      <c r="H85" s="832"/>
      <c r="I85" s="831" t="s">
        <v>1955</v>
      </c>
    </row>
    <row r="86" spans="1:9">
      <c r="A86" s="818"/>
      <c r="B86" s="831"/>
      <c r="C86" s="829"/>
      <c r="D86" s="832"/>
      <c r="E86" s="844" t="s">
        <v>1958</v>
      </c>
      <c r="F86" s="831"/>
      <c r="G86" s="829">
        <v>0.4</v>
      </c>
      <c r="H86" s="832"/>
      <c r="I86" s="831"/>
    </row>
    <row r="87" spans="1:9">
      <c r="A87" s="818"/>
      <c r="B87" s="831"/>
      <c r="C87" s="829"/>
      <c r="D87" s="832"/>
      <c r="E87" s="844" t="s">
        <v>1945</v>
      </c>
      <c r="F87" s="831"/>
      <c r="G87" s="829">
        <v>0.52</v>
      </c>
      <c r="H87" s="832">
        <f>F85*G85*G86*G87</f>
        <v>3.2219200000000003</v>
      </c>
      <c r="I87" s="831"/>
    </row>
    <row r="88" spans="1:9">
      <c r="A88" s="818"/>
      <c r="B88" s="831">
        <v>8</v>
      </c>
      <c r="C88" s="829">
        <v>35.04</v>
      </c>
      <c r="D88" s="832"/>
      <c r="E88" s="833" t="s">
        <v>1946</v>
      </c>
      <c r="F88" s="831"/>
      <c r="G88" s="829"/>
      <c r="H88" s="832"/>
      <c r="I88" s="831"/>
    </row>
    <row r="89" spans="1:9">
      <c r="A89" s="818"/>
      <c r="B89" s="831"/>
      <c r="C89" s="829">
        <v>0.4</v>
      </c>
      <c r="D89" s="832">
        <f>B88*C88*C89</f>
        <v>112.128</v>
      </c>
      <c r="E89" s="833"/>
      <c r="F89" s="831">
        <v>1</v>
      </c>
      <c r="G89" s="829">
        <v>11.4</v>
      </c>
      <c r="H89" s="832"/>
      <c r="I89" s="831" t="s">
        <v>1956</v>
      </c>
    </row>
    <row r="90" spans="1:9">
      <c r="A90" s="818"/>
      <c r="B90" s="831"/>
      <c r="C90" s="829"/>
      <c r="D90" s="832"/>
      <c r="E90" s="833"/>
      <c r="F90" s="831"/>
      <c r="G90" s="829">
        <v>0.4</v>
      </c>
      <c r="H90" s="832"/>
      <c r="I90" s="831"/>
    </row>
    <row r="91" spans="1:9">
      <c r="A91" s="818"/>
      <c r="B91" s="831">
        <v>16</v>
      </c>
      <c r="C91" s="829">
        <v>10.75</v>
      </c>
      <c r="D91" s="832"/>
      <c r="E91" s="833" t="s">
        <v>1947</v>
      </c>
      <c r="F91" s="831"/>
      <c r="G91" s="829">
        <v>0.94</v>
      </c>
      <c r="H91" s="832">
        <f>F89*G89*G90*G91</f>
        <v>4.2864000000000004</v>
      </c>
      <c r="I91" s="831"/>
    </row>
    <row r="92" spans="1:9">
      <c r="A92" s="818"/>
      <c r="B92" s="831"/>
      <c r="C92" s="829">
        <v>0.4</v>
      </c>
      <c r="D92" s="832">
        <f>B91*C91*C92</f>
        <v>68.8</v>
      </c>
      <c r="E92" s="833"/>
      <c r="F92" s="831"/>
      <c r="G92" s="829"/>
      <c r="H92" s="832"/>
      <c r="I92" s="831"/>
    </row>
    <row r="93" spans="1:9">
      <c r="A93" s="818"/>
      <c r="B93" s="831"/>
      <c r="C93" s="829"/>
      <c r="D93" s="832"/>
      <c r="E93" s="833"/>
      <c r="F93" s="839"/>
      <c r="G93" s="839"/>
      <c r="H93" s="838">
        <f>H83+H87+H91</f>
        <v>10.234560000000002</v>
      </c>
      <c r="I93" s="845" t="s">
        <v>2115</v>
      </c>
    </row>
    <row r="94" spans="1:9">
      <c r="A94" s="818"/>
      <c r="B94" s="831">
        <v>76</v>
      </c>
      <c r="C94" s="829">
        <v>0.4</v>
      </c>
      <c r="D94" s="832"/>
      <c r="E94" s="833" t="s">
        <v>1915</v>
      </c>
      <c r="F94" s="831"/>
      <c r="G94" s="829"/>
      <c r="H94" s="832"/>
      <c r="I94" s="831"/>
    </row>
    <row r="95" spans="1:9">
      <c r="A95" s="818"/>
      <c r="B95" s="831"/>
      <c r="C95" s="829">
        <v>0.25</v>
      </c>
      <c r="D95" s="832">
        <f>B94*C94*C95</f>
        <v>7.6000000000000005</v>
      </c>
      <c r="E95" s="833"/>
      <c r="F95" s="839"/>
      <c r="G95" s="839"/>
      <c r="H95" s="838">
        <f>H79-H93</f>
        <v>67.633920000000003</v>
      </c>
      <c r="I95" s="845" t="s">
        <v>2114</v>
      </c>
    </row>
    <row r="96" spans="1:9" ht="18">
      <c r="A96" s="818"/>
      <c r="B96" s="845"/>
      <c r="C96" s="839"/>
      <c r="D96" s="846">
        <f>D89+D92-D95</f>
        <v>173.328</v>
      </c>
      <c r="E96" s="845" t="s">
        <v>3386</v>
      </c>
      <c r="F96" s="1335"/>
      <c r="G96" s="848"/>
      <c r="H96" s="843"/>
      <c r="I96" s="435"/>
    </row>
    <row r="97" spans="1:10">
      <c r="A97" s="818"/>
      <c r="B97" s="435"/>
      <c r="C97" s="1335"/>
      <c r="D97" s="1335"/>
      <c r="E97" s="435"/>
      <c r="F97" s="1335"/>
      <c r="G97" s="848"/>
      <c r="H97" s="843"/>
      <c r="I97" s="435"/>
    </row>
    <row r="98" spans="1:10">
      <c r="A98" s="818"/>
      <c r="B98" s="831"/>
      <c r="C98" s="829"/>
      <c r="D98" s="832"/>
      <c r="E98" s="844" t="s">
        <v>1950</v>
      </c>
      <c r="F98" s="1335"/>
      <c r="G98" s="848"/>
      <c r="H98" s="843"/>
      <c r="I98" s="435"/>
    </row>
    <row r="99" spans="1:10">
      <c r="A99" s="818"/>
      <c r="B99" s="831"/>
      <c r="C99" s="829"/>
      <c r="D99" s="832"/>
      <c r="E99" s="844" t="s">
        <v>1948</v>
      </c>
      <c r="F99" s="831"/>
      <c r="G99" s="829"/>
      <c r="H99" s="832"/>
      <c r="I99" s="833"/>
    </row>
    <row r="100" spans="1:10">
      <c r="A100" s="818"/>
      <c r="B100" s="831">
        <v>1</v>
      </c>
      <c r="C100" s="829">
        <f>'OPD Bar'!N30+'OPD Bar'!N51</f>
        <v>1761.2759999999998</v>
      </c>
      <c r="D100" s="832"/>
      <c r="E100" s="833"/>
      <c r="F100" s="1335"/>
      <c r="G100" s="848"/>
      <c r="H100" s="843"/>
      <c r="I100" s="435"/>
    </row>
    <row r="101" spans="1:10">
      <c r="A101" s="818"/>
      <c r="B101" s="845"/>
      <c r="C101" s="839"/>
      <c r="D101" s="846">
        <f>C100*B100</f>
        <v>1761.2759999999998</v>
      </c>
      <c r="E101" s="845" t="s">
        <v>2111</v>
      </c>
      <c r="F101" s="1335"/>
      <c r="G101" s="848"/>
      <c r="H101" s="843"/>
      <c r="I101" s="435"/>
    </row>
    <row r="102" spans="1:10">
      <c r="A102" s="818"/>
      <c r="B102" s="831"/>
      <c r="C102" s="829"/>
      <c r="D102" s="832"/>
      <c r="E102" s="833"/>
      <c r="F102" s="1335"/>
      <c r="G102" s="848"/>
      <c r="H102" s="843"/>
      <c r="I102" s="435"/>
    </row>
    <row r="103" spans="1:10">
      <c r="A103" s="818"/>
      <c r="B103" s="831"/>
      <c r="C103" s="829"/>
      <c r="D103" s="832"/>
      <c r="E103" s="844" t="s">
        <v>1949</v>
      </c>
      <c r="F103" s="1335"/>
      <c r="G103" s="848"/>
      <c r="H103" s="843"/>
      <c r="I103" s="435"/>
    </row>
    <row r="104" spans="1:10">
      <c r="A104" s="818"/>
      <c r="B104" s="831">
        <v>1</v>
      </c>
      <c r="C104" s="829">
        <f>'OPD Bar'!K30+'OPD Bar'!K51</f>
        <v>1992.6051500000003</v>
      </c>
      <c r="D104" s="832"/>
      <c r="E104" s="833"/>
      <c r="F104" s="1335"/>
      <c r="G104" s="848"/>
      <c r="H104" s="843"/>
      <c r="I104" s="435"/>
    </row>
    <row r="105" spans="1:10">
      <c r="A105" s="818"/>
      <c r="B105" s="845"/>
      <c r="C105" s="839"/>
      <c r="D105" s="846">
        <f>C104*B104</f>
        <v>1992.6051500000003</v>
      </c>
      <c r="E105" s="845" t="s">
        <v>2112</v>
      </c>
      <c r="F105" s="1335"/>
      <c r="G105" s="848"/>
      <c r="H105" s="843"/>
      <c r="I105" s="435"/>
    </row>
    <row r="106" spans="1:10">
      <c r="A106" s="818"/>
      <c r="B106" s="435"/>
      <c r="C106" s="1335"/>
      <c r="D106" s="1335"/>
      <c r="E106" s="435"/>
      <c r="F106" s="1335"/>
      <c r="G106" s="848"/>
      <c r="H106" s="843"/>
      <c r="I106" s="435"/>
    </row>
    <row r="107" spans="1:10">
      <c r="A107" s="818"/>
      <c r="B107" s="435"/>
      <c r="C107" s="1335"/>
      <c r="D107" s="1335"/>
      <c r="E107" s="435"/>
      <c r="F107" s="1335"/>
      <c r="G107" s="848"/>
      <c r="H107" s="843"/>
      <c r="I107" s="435"/>
    </row>
    <row r="108" spans="1:10">
      <c r="A108" s="818"/>
      <c r="B108" s="435"/>
      <c r="C108" s="1335"/>
      <c r="D108" s="1335"/>
      <c r="E108" s="435"/>
      <c r="F108" s="1335"/>
      <c r="G108" s="848"/>
      <c r="H108" s="843"/>
      <c r="I108" s="435"/>
    </row>
    <row r="109" spans="1:10">
      <c r="A109" s="818"/>
      <c r="B109" s="435"/>
      <c r="C109" s="435"/>
      <c r="D109" s="435"/>
      <c r="E109" s="435"/>
      <c r="F109" s="1335"/>
      <c r="G109" s="848"/>
      <c r="H109" s="843"/>
      <c r="I109" s="435"/>
    </row>
    <row r="110" spans="1:10">
      <c r="A110" s="818"/>
      <c r="B110" s="109"/>
      <c r="C110" s="109"/>
      <c r="D110" s="109"/>
      <c r="E110" s="109"/>
      <c r="F110" s="1335"/>
      <c r="G110" s="848"/>
      <c r="H110" s="843"/>
      <c r="I110" s="435"/>
    </row>
    <row r="111" spans="1:10">
      <c r="A111" s="828"/>
      <c r="B111" s="853" t="s">
        <v>1884</v>
      </c>
      <c r="C111" s="854" t="s">
        <v>526</v>
      </c>
      <c r="D111" s="855" t="s">
        <v>1885</v>
      </c>
      <c r="E111" s="854" t="s">
        <v>1886</v>
      </c>
      <c r="F111" s="853" t="s">
        <v>1884</v>
      </c>
      <c r="G111" s="855" t="s">
        <v>526</v>
      </c>
      <c r="H111" s="856" t="s">
        <v>1885</v>
      </c>
      <c r="I111" s="854" t="s">
        <v>1886</v>
      </c>
      <c r="J111" s="828"/>
    </row>
    <row r="112" spans="1:10">
      <c r="A112" s="818"/>
      <c r="B112" s="831"/>
      <c r="C112" s="829"/>
      <c r="D112" s="832"/>
      <c r="E112" s="837" t="s">
        <v>21</v>
      </c>
      <c r="F112" s="831"/>
      <c r="G112" s="829"/>
      <c r="H112" s="832"/>
      <c r="I112" s="844" t="s">
        <v>38</v>
      </c>
    </row>
    <row r="113" spans="1:9">
      <c r="A113" s="818"/>
      <c r="B113" s="831"/>
      <c r="C113" s="829"/>
      <c r="D113" s="832"/>
      <c r="E113" s="837" t="s">
        <v>25</v>
      </c>
      <c r="F113" s="831"/>
      <c r="G113" s="829">
        <v>33.5</v>
      </c>
      <c r="H113" s="832"/>
      <c r="I113" s="833" t="s">
        <v>30</v>
      </c>
    </row>
    <row r="114" spans="1:9">
      <c r="A114" s="818"/>
      <c r="B114" s="831"/>
      <c r="C114" s="829"/>
      <c r="D114" s="832"/>
      <c r="E114" s="837" t="s">
        <v>27</v>
      </c>
      <c r="F114" s="831">
        <v>2</v>
      </c>
      <c r="G114" s="829">
        <v>0.8</v>
      </c>
      <c r="H114" s="832"/>
      <c r="I114" s="833" t="s">
        <v>31</v>
      </c>
    </row>
    <row r="115" spans="1:9">
      <c r="A115" s="818"/>
      <c r="B115" s="831">
        <v>32</v>
      </c>
      <c r="C115" s="829">
        <v>0.2</v>
      </c>
      <c r="D115" s="832"/>
      <c r="E115" s="831" t="s">
        <v>1962</v>
      </c>
      <c r="F115" s="831"/>
      <c r="G115" s="829"/>
      <c r="H115" s="832">
        <f>F114*G114*G113</f>
        <v>53.6</v>
      </c>
      <c r="I115" s="833" t="s">
        <v>40</v>
      </c>
    </row>
    <row r="116" spans="1:9">
      <c r="A116" s="818"/>
      <c r="B116" s="831"/>
      <c r="C116" s="829">
        <v>0.2</v>
      </c>
      <c r="D116" s="832"/>
      <c r="E116" s="831"/>
      <c r="F116" s="831"/>
      <c r="G116" s="829">
        <v>0.3</v>
      </c>
      <c r="H116" s="832"/>
      <c r="I116" s="833"/>
    </row>
    <row r="117" spans="1:9">
      <c r="A117" s="818"/>
      <c r="B117" s="831"/>
      <c r="C117" s="829">
        <v>2.73</v>
      </c>
      <c r="D117" s="832">
        <f>B115*C115*C116*C117</f>
        <v>3.4944000000000006</v>
      </c>
      <c r="E117" s="831"/>
      <c r="F117" s="831">
        <v>16</v>
      </c>
      <c r="G117" s="829">
        <v>0.2</v>
      </c>
      <c r="H117" s="832"/>
      <c r="I117" s="833"/>
    </row>
    <row r="118" spans="1:9">
      <c r="A118" s="818"/>
      <c r="B118" s="831"/>
      <c r="C118" s="829"/>
      <c r="D118" s="832"/>
      <c r="E118" s="831"/>
      <c r="F118" s="831"/>
      <c r="G118" s="829"/>
      <c r="H118" s="832">
        <f>F117*G117*G116</f>
        <v>0.96</v>
      </c>
      <c r="I118" s="833"/>
    </row>
    <row r="119" spans="1:9">
      <c r="A119" s="818"/>
      <c r="B119" s="839"/>
      <c r="C119" s="838"/>
      <c r="D119" s="838">
        <f>SUM(D117:D118)</f>
        <v>3.4944000000000006</v>
      </c>
      <c r="E119" s="839" t="s">
        <v>2116</v>
      </c>
      <c r="F119" s="831"/>
      <c r="G119" s="829">
        <v>33.5</v>
      </c>
      <c r="H119" s="832"/>
      <c r="I119" s="833" t="s">
        <v>34</v>
      </c>
    </row>
    <row r="120" spans="1:9">
      <c r="A120" s="818"/>
      <c r="B120" s="831"/>
      <c r="C120" s="829"/>
      <c r="D120" s="832"/>
      <c r="E120" s="831"/>
      <c r="F120" s="831">
        <v>2</v>
      </c>
      <c r="G120" s="829">
        <v>0.8</v>
      </c>
      <c r="H120" s="832"/>
      <c r="I120" s="833" t="s">
        <v>1963</v>
      </c>
    </row>
    <row r="121" spans="1:9">
      <c r="A121" s="818"/>
      <c r="B121" s="831"/>
      <c r="C121" s="829"/>
      <c r="D121" s="832"/>
      <c r="E121" s="837" t="s">
        <v>29</v>
      </c>
      <c r="F121" s="831"/>
      <c r="G121" s="829"/>
      <c r="H121" s="832">
        <f t="shared" ref="H121:H130" si="0">F120*G120*G119</f>
        <v>53.6</v>
      </c>
      <c r="I121" s="833" t="s">
        <v>40</v>
      </c>
    </row>
    <row r="122" spans="1:9">
      <c r="A122" s="818"/>
      <c r="B122" s="831"/>
      <c r="C122" s="829">
        <v>35.1</v>
      </c>
      <c r="D122" s="832"/>
      <c r="E122" s="831" t="s">
        <v>30</v>
      </c>
      <c r="F122" s="831"/>
      <c r="G122" s="829">
        <v>10.41</v>
      </c>
      <c r="H122" s="832"/>
      <c r="I122" s="833" t="s">
        <v>37</v>
      </c>
    </row>
    <row r="123" spans="1:9">
      <c r="A123" s="818"/>
      <c r="B123" s="831">
        <v>2</v>
      </c>
      <c r="C123" s="829">
        <v>0.3</v>
      </c>
      <c r="D123" s="832"/>
      <c r="E123" s="831" t="s">
        <v>31</v>
      </c>
      <c r="F123" s="831">
        <v>2</v>
      </c>
      <c r="G123" s="829">
        <v>0.8</v>
      </c>
      <c r="H123" s="832"/>
      <c r="I123" s="833" t="s">
        <v>39</v>
      </c>
    </row>
    <row r="124" spans="1:9">
      <c r="A124" s="818"/>
      <c r="B124" s="831"/>
      <c r="C124" s="829">
        <v>0.2</v>
      </c>
      <c r="D124" s="832"/>
      <c r="E124" s="831"/>
      <c r="F124" s="831"/>
      <c r="G124" s="829"/>
      <c r="H124" s="832">
        <f t="shared" si="0"/>
        <v>16.656000000000002</v>
      </c>
      <c r="I124" s="833" t="s">
        <v>40</v>
      </c>
    </row>
    <row r="125" spans="1:9">
      <c r="A125" s="818"/>
      <c r="B125" s="831"/>
      <c r="C125" s="829"/>
      <c r="D125" s="832">
        <f>B123*C122*C123*C124</f>
        <v>4.2119999999999997</v>
      </c>
      <c r="E125" s="831"/>
      <c r="F125" s="831"/>
      <c r="G125" s="829">
        <v>0.3</v>
      </c>
      <c r="H125" s="832"/>
      <c r="I125" s="833"/>
    </row>
    <row r="126" spans="1:9">
      <c r="A126" s="818"/>
      <c r="B126" s="831"/>
      <c r="C126" s="829">
        <v>35.1</v>
      </c>
      <c r="D126" s="832"/>
      <c r="E126" s="831" t="s">
        <v>34</v>
      </c>
      <c r="F126" s="831">
        <v>8</v>
      </c>
      <c r="G126" s="829">
        <v>0.2</v>
      </c>
      <c r="H126" s="832"/>
      <c r="I126" s="833"/>
    </row>
    <row r="127" spans="1:9">
      <c r="A127" s="818"/>
      <c r="B127" s="831">
        <v>2</v>
      </c>
      <c r="C127" s="829">
        <v>0.3</v>
      </c>
      <c r="D127" s="832"/>
      <c r="E127" s="831" t="s">
        <v>1963</v>
      </c>
      <c r="F127" s="831"/>
      <c r="G127" s="829"/>
      <c r="H127" s="832">
        <f t="shared" si="0"/>
        <v>0.48</v>
      </c>
      <c r="I127" s="833" t="s">
        <v>41</v>
      </c>
    </row>
    <row r="128" spans="1:9">
      <c r="A128" s="818"/>
      <c r="B128" s="831"/>
      <c r="C128" s="829">
        <v>0.2</v>
      </c>
      <c r="D128" s="832"/>
      <c r="E128" s="831"/>
      <c r="F128" s="831"/>
      <c r="G128" s="829">
        <v>10.41</v>
      </c>
      <c r="H128" s="832"/>
      <c r="I128" s="833" t="s">
        <v>42</v>
      </c>
    </row>
    <row r="129" spans="1:9">
      <c r="A129" s="818"/>
      <c r="B129" s="831"/>
      <c r="C129" s="829"/>
      <c r="D129" s="832">
        <f>B127*C126*C127*C128</f>
        <v>4.2119999999999997</v>
      </c>
      <c r="E129" s="831"/>
      <c r="F129" s="831">
        <v>6</v>
      </c>
      <c r="G129" s="829">
        <v>0.8</v>
      </c>
      <c r="H129" s="832"/>
      <c r="I129" s="833" t="s">
        <v>40</v>
      </c>
    </row>
    <row r="130" spans="1:9">
      <c r="A130" s="818"/>
      <c r="B130" s="831"/>
      <c r="C130" s="829">
        <v>10.41</v>
      </c>
      <c r="D130" s="832"/>
      <c r="E130" s="831" t="s">
        <v>37</v>
      </c>
      <c r="F130" s="831"/>
      <c r="G130" s="829"/>
      <c r="H130" s="832">
        <f t="shared" si="0"/>
        <v>49.968000000000011</v>
      </c>
      <c r="I130" s="833"/>
    </row>
    <row r="131" spans="1:9">
      <c r="A131" s="818"/>
      <c r="B131" s="831">
        <v>2</v>
      </c>
      <c r="C131" s="829">
        <v>0.3</v>
      </c>
      <c r="D131" s="832"/>
      <c r="E131" s="831" t="s">
        <v>39</v>
      </c>
      <c r="F131" s="839"/>
      <c r="G131" s="839"/>
      <c r="H131" s="838">
        <f>SUM(H115:H130)</f>
        <v>175.26400000000001</v>
      </c>
      <c r="I131" s="845" t="s">
        <v>2118</v>
      </c>
    </row>
    <row r="132" spans="1:9">
      <c r="A132" s="818"/>
      <c r="B132" s="831"/>
      <c r="C132" s="829">
        <v>0.2</v>
      </c>
      <c r="D132" s="832"/>
      <c r="E132" s="831"/>
      <c r="F132" s="831"/>
      <c r="G132" s="829"/>
      <c r="H132" s="832"/>
      <c r="I132" s="833"/>
    </row>
    <row r="133" spans="1:9">
      <c r="A133" s="818"/>
      <c r="B133" s="831"/>
      <c r="C133" s="829"/>
      <c r="D133" s="832">
        <f>B131*C130*C131*C132</f>
        <v>1.2492000000000001</v>
      </c>
      <c r="E133" s="831"/>
      <c r="F133" s="831"/>
      <c r="G133" s="829"/>
      <c r="H133" s="832"/>
      <c r="I133" s="844" t="s">
        <v>48</v>
      </c>
    </row>
    <row r="134" spans="1:9">
      <c r="A134" s="818"/>
      <c r="B134" s="831"/>
      <c r="C134" s="829">
        <v>10.41</v>
      </c>
      <c r="D134" s="832"/>
      <c r="E134" s="831" t="s">
        <v>345</v>
      </c>
      <c r="F134" s="831"/>
      <c r="G134" s="829">
        <v>1.2</v>
      </c>
      <c r="H134" s="832"/>
      <c r="I134" s="833"/>
    </row>
    <row r="135" spans="1:9">
      <c r="A135" s="818"/>
      <c r="B135" s="831">
        <v>6</v>
      </c>
      <c r="C135" s="829">
        <v>0.3</v>
      </c>
      <c r="D135" s="832"/>
      <c r="E135" s="831" t="s">
        <v>42</v>
      </c>
      <c r="F135" s="831">
        <v>4</v>
      </c>
      <c r="G135" s="829">
        <v>0.6</v>
      </c>
      <c r="H135" s="832"/>
      <c r="I135" s="833" t="s">
        <v>111</v>
      </c>
    </row>
    <row r="136" spans="1:9">
      <c r="A136" s="818"/>
      <c r="B136" s="831"/>
      <c r="C136" s="829">
        <v>0.2</v>
      </c>
      <c r="D136" s="832"/>
      <c r="E136" s="831"/>
      <c r="F136" s="831"/>
      <c r="G136" s="829"/>
      <c r="H136" s="832">
        <f>F135*G134*G135</f>
        <v>2.88</v>
      </c>
      <c r="I136" s="833"/>
    </row>
    <row r="137" spans="1:9">
      <c r="A137" s="818"/>
      <c r="B137" s="831"/>
      <c r="C137" s="829"/>
      <c r="D137" s="832">
        <f>B135*C134*C135*C136</f>
        <v>3.7476000000000003</v>
      </c>
      <c r="E137" s="831"/>
      <c r="F137" s="831"/>
      <c r="G137" s="829">
        <v>1.1000000000000001</v>
      </c>
      <c r="H137" s="832"/>
      <c r="I137" s="833"/>
    </row>
    <row r="138" spans="1:9">
      <c r="A138" s="818"/>
      <c r="B138" s="831"/>
      <c r="C138" s="829"/>
      <c r="D138" s="832"/>
      <c r="E138" s="831"/>
      <c r="F138" s="831">
        <v>5</v>
      </c>
      <c r="G138" s="829">
        <v>0.6</v>
      </c>
      <c r="H138" s="832"/>
      <c r="I138" s="833" t="s">
        <v>346</v>
      </c>
    </row>
    <row r="139" spans="1:9">
      <c r="A139" s="818"/>
      <c r="B139" s="839"/>
      <c r="C139" s="839"/>
      <c r="D139" s="838">
        <f>SUM(D124:D137)</f>
        <v>13.4208</v>
      </c>
      <c r="E139" s="845" t="s">
        <v>2142</v>
      </c>
      <c r="F139" s="831"/>
      <c r="G139" s="829"/>
      <c r="H139" s="832">
        <f>F138*G137*G138</f>
        <v>3.3</v>
      </c>
      <c r="I139" s="833"/>
    </row>
    <row r="140" spans="1:9">
      <c r="A140" s="818"/>
      <c r="B140" s="831"/>
      <c r="C140" s="829"/>
      <c r="D140" s="832"/>
      <c r="E140" s="831"/>
      <c r="F140" s="831"/>
      <c r="G140" s="829">
        <v>1.3</v>
      </c>
      <c r="H140" s="832"/>
      <c r="I140" s="833"/>
    </row>
    <row r="141" spans="1:9">
      <c r="A141" s="818"/>
      <c r="B141" s="831"/>
      <c r="C141" s="829"/>
      <c r="D141" s="832"/>
      <c r="E141" s="837" t="s">
        <v>44</v>
      </c>
      <c r="F141" s="831">
        <v>1</v>
      </c>
      <c r="G141" s="829">
        <v>0.6</v>
      </c>
      <c r="H141" s="832"/>
      <c r="I141" s="833" t="s">
        <v>347</v>
      </c>
    </row>
    <row r="142" spans="1:9">
      <c r="A142" s="818"/>
      <c r="B142" s="831">
        <v>4</v>
      </c>
      <c r="C142" s="829">
        <v>1.2</v>
      </c>
      <c r="D142" s="832"/>
      <c r="E142" s="831" t="s">
        <v>111</v>
      </c>
      <c r="F142" s="831"/>
      <c r="G142" s="829"/>
      <c r="H142" s="832">
        <f>F141*G140*G141</f>
        <v>0.78</v>
      </c>
      <c r="I142" s="833"/>
    </row>
    <row r="143" spans="1:9">
      <c r="A143" s="818"/>
      <c r="B143" s="831"/>
      <c r="C143" s="829">
        <v>0.15</v>
      </c>
      <c r="D143" s="832"/>
      <c r="E143" s="831"/>
      <c r="F143" s="831"/>
      <c r="G143" s="829">
        <v>1.5</v>
      </c>
      <c r="H143" s="832"/>
      <c r="I143" s="833" t="s">
        <v>348</v>
      </c>
    </row>
    <row r="144" spans="1:9">
      <c r="A144" s="818"/>
      <c r="B144" s="831"/>
      <c r="C144" s="829">
        <v>0.2</v>
      </c>
      <c r="D144" s="832">
        <f>B142*C142*C143*C144</f>
        <v>0.14399999999999999</v>
      </c>
      <c r="E144" s="831"/>
      <c r="F144" s="831">
        <v>1</v>
      </c>
      <c r="G144" s="829">
        <v>0.6</v>
      </c>
      <c r="H144" s="832"/>
      <c r="I144" s="833"/>
    </row>
    <row r="145" spans="1:9">
      <c r="A145" s="818"/>
      <c r="B145" s="831">
        <v>5</v>
      </c>
      <c r="C145" s="829">
        <v>1.1000000000000001</v>
      </c>
      <c r="D145" s="832"/>
      <c r="E145" s="831" t="s">
        <v>346</v>
      </c>
      <c r="F145" s="831"/>
      <c r="G145" s="829"/>
      <c r="H145" s="832">
        <f>F144*G143*G144</f>
        <v>0.89999999999999991</v>
      </c>
      <c r="I145" s="833"/>
    </row>
    <row r="146" spans="1:9">
      <c r="A146" s="818"/>
      <c r="B146" s="831"/>
      <c r="C146" s="829">
        <v>0.1</v>
      </c>
      <c r="D146" s="832"/>
      <c r="E146" s="831"/>
      <c r="F146" s="831"/>
      <c r="G146" s="829"/>
      <c r="H146" s="832"/>
      <c r="I146" s="833"/>
    </row>
    <row r="147" spans="1:9">
      <c r="A147" s="818"/>
      <c r="B147" s="831"/>
      <c r="C147" s="829">
        <v>0.2</v>
      </c>
      <c r="D147" s="832">
        <f>B145*C145*C146*C147</f>
        <v>0.11000000000000001</v>
      </c>
      <c r="E147" s="831"/>
      <c r="F147" s="839"/>
      <c r="G147" s="839"/>
      <c r="H147" s="838">
        <f>H145+H142+H139+H136</f>
        <v>7.8599999999999994</v>
      </c>
      <c r="I147" s="845" t="s">
        <v>2119</v>
      </c>
    </row>
    <row r="148" spans="1:9">
      <c r="A148" s="818"/>
      <c r="B148" s="831"/>
      <c r="C148" s="829"/>
      <c r="D148" s="832"/>
      <c r="E148" s="831"/>
      <c r="F148" s="1335"/>
      <c r="G148" s="848"/>
      <c r="H148" s="843"/>
      <c r="I148" s="435"/>
    </row>
    <row r="149" spans="1:9">
      <c r="A149" s="818"/>
      <c r="B149" s="831">
        <v>1</v>
      </c>
      <c r="C149" s="829">
        <v>1.3</v>
      </c>
      <c r="D149" s="832"/>
      <c r="E149" s="831" t="s">
        <v>347</v>
      </c>
      <c r="F149" s="831"/>
      <c r="G149" s="829"/>
      <c r="H149" s="832"/>
      <c r="I149" s="833" t="s">
        <v>3387</v>
      </c>
    </row>
    <row r="150" spans="1:9">
      <c r="A150" s="818"/>
      <c r="B150" s="831"/>
      <c r="C150" s="829">
        <v>0.15</v>
      </c>
      <c r="D150" s="832"/>
      <c r="E150" s="831"/>
      <c r="F150" s="831">
        <v>1</v>
      </c>
      <c r="G150" s="829">
        <f>'OPD Bar'!M81+'OPD Bar'!M106</f>
        <v>1767.5817599999998</v>
      </c>
      <c r="H150" s="832"/>
      <c r="I150" s="833"/>
    </row>
    <row r="151" spans="1:9">
      <c r="A151" s="818"/>
      <c r="B151" s="831"/>
      <c r="C151" s="829">
        <v>0.2</v>
      </c>
      <c r="D151" s="832">
        <f>B149*C149*C150*C151</f>
        <v>3.9000000000000007E-2</v>
      </c>
      <c r="E151" s="831"/>
      <c r="F151" s="839"/>
      <c r="G151" s="839"/>
      <c r="H151" s="838">
        <f>G150</f>
        <v>1767.5817599999998</v>
      </c>
      <c r="I151" s="845" t="s">
        <v>2120</v>
      </c>
    </row>
    <row r="152" spans="1:9">
      <c r="A152" s="818"/>
      <c r="B152" s="435"/>
      <c r="C152" s="1335"/>
      <c r="D152" s="1335"/>
      <c r="E152" s="435"/>
      <c r="F152" s="831"/>
      <c r="G152" s="829"/>
      <c r="H152" s="832"/>
      <c r="I152" s="833"/>
    </row>
    <row r="153" spans="1:9">
      <c r="A153" s="818"/>
      <c r="B153" s="831">
        <v>1</v>
      </c>
      <c r="C153" s="829">
        <v>1.5</v>
      </c>
      <c r="D153" s="832"/>
      <c r="E153" s="833" t="s">
        <v>348</v>
      </c>
      <c r="F153" s="435"/>
      <c r="G153" s="435"/>
      <c r="H153" s="435"/>
      <c r="I153" s="833" t="s">
        <v>3388</v>
      </c>
    </row>
    <row r="154" spans="1:9">
      <c r="A154" s="818"/>
      <c r="B154" s="831"/>
      <c r="C154" s="829">
        <v>0.15</v>
      </c>
      <c r="D154" s="832"/>
      <c r="E154" s="833"/>
      <c r="F154" s="831">
        <v>1</v>
      </c>
      <c r="G154" s="829">
        <f>'OPD Bar'!K106+'OPD Bar'!K81</f>
        <v>544.23099999999999</v>
      </c>
      <c r="H154" s="832"/>
      <c r="I154" s="833"/>
    </row>
    <row r="155" spans="1:9">
      <c r="A155" s="818"/>
      <c r="B155" s="831"/>
      <c r="C155" s="829">
        <v>0.2</v>
      </c>
      <c r="D155" s="832">
        <f>B153*C153*C154*C155</f>
        <v>4.4999999999999998E-2</v>
      </c>
      <c r="E155" s="833"/>
      <c r="F155" s="839"/>
      <c r="G155" s="839"/>
      <c r="H155" s="838">
        <f>G154</f>
        <v>544.23099999999999</v>
      </c>
      <c r="I155" s="845" t="s">
        <v>2121</v>
      </c>
    </row>
    <row r="156" spans="1:9">
      <c r="A156" s="818"/>
      <c r="B156" s="831"/>
      <c r="C156" s="829"/>
      <c r="D156" s="832"/>
      <c r="E156" s="833"/>
      <c r="F156" s="1335"/>
      <c r="G156" s="848"/>
      <c r="H156" s="843"/>
      <c r="I156" s="435"/>
    </row>
    <row r="157" spans="1:9">
      <c r="A157" s="818"/>
      <c r="B157" s="839"/>
      <c r="C157" s="839"/>
      <c r="D157" s="838">
        <f>SUM(D143:D151)+D155</f>
        <v>0.33800000000000002</v>
      </c>
      <c r="E157" s="845" t="s">
        <v>2143</v>
      </c>
      <c r="F157" s="1335"/>
      <c r="G157" s="848"/>
      <c r="H157" s="843"/>
      <c r="I157" s="435"/>
    </row>
    <row r="158" spans="1:9">
      <c r="A158" s="818"/>
      <c r="B158" s="435"/>
      <c r="C158" s="1335"/>
      <c r="D158" s="1335"/>
      <c r="E158" s="435"/>
      <c r="F158" s="1335"/>
      <c r="G158" s="848"/>
      <c r="H158" s="843"/>
      <c r="I158" s="435"/>
    </row>
    <row r="159" spans="1:9">
      <c r="A159" s="818"/>
      <c r="B159" s="831"/>
      <c r="C159" s="829"/>
      <c r="D159" s="832"/>
      <c r="E159" s="844" t="s">
        <v>32</v>
      </c>
      <c r="F159" s="1335"/>
      <c r="G159" s="848"/>
      <c r="H159" s="843"/>
      <c r="I159" s="435"/>
    </row>
    <row r="160" spans="1:9">
      <c r="A160" s="818"/>
      <c r="B160" s="831"/>
      <c r="C160" s="829"/>
      <c r="D160" s="832"/>
      <c r="E160" s="844" t="s">
        <v>33</v>
      </c>
      <c r="F160" s="1335"/>
      <c r="G160" s="848"/>
      <c r="H160" s="843"/>
      <c r="I160" s="435"/>
    </row>
    <row r="161" spans="1:10">
      <c r="A161" s="818"/>
      <c r="B161" s="831"/>
      <c r="C161" s="829">
        <v>0.8</v>
      </c>
      <c r="D161" s="832"/>
      <c r="E161" s="833"/>
      <c r="F161" s="1335"/>
      <c r="G161" s="848"/>
      <c r="H161" s="843"/>
      <c r="I161" s="435"/>
    </row>
    <row r="162" spans="1:10">
      <c r="A162" s="818"/>
      <c r="B162" s="831">
        <v>32</v>
      </c>
      <c r="C162" s="829">
        <v>2.73</v>
      </c>
      <c r="D162" s="832"/>
      <c r="E162" s="833" t="s">
        <v>1962</v>
      </c>
      <c r="F162" s="1335"/>
      <c r="G162" s="848"/>
      <c r="H162" s="843"/>
      <c r="I162" s="435"/>
    </row>
    <row r="163" spans="1:10">
      <c r="A163" s="818"/>
      <c r="B163" s="831"/>
      <c r="C163" s="829"/>
      <c r="D163" s="832">
        <f>C161*C162*B162</f>
        <v>69.888000000000005</v>
      </c>
      <c r="E163" s="833"/>
      <c r="F163" s="1335"/>
      <c r="G163" s="848"/>
      <c r="H163" s="843"/>
      <c r="I163" s="435"/>
    </row>
    <row r="164" spans="1:10">
      <c r="A164" s="818"/>
      <c r="B164" s="839"/>
      <c r="C164" s="839"/>
      <c r="D164" s="838">
        <f>SUM(D163)</f>
        <v>69.888000000000005</v>
      </c>
      <c r="E164" s="845" t="s">
        <v>2117</v>
      </c>
      <c r="F164" s="1335"/>
      <c r="G164" s="848"/>
      <c r="H164" s="843"/>
      <c r="I164" s="435"/>
    </row>
    <row r="165" spans="1:10" ht="15" customHeight="1">
      <c r="A165" s="818"/>
      <c r="B165" s="435"/>
      <c r="C165" s="1335"/>
      <c r="D165" s="1335"/>
      <c r="E165" s="435"/>
      <c r="F165" s="1335"/>
      <c r="G165" s="848"/>
      <c r="H165" s="843"/>
      <c r="I165" s="435"/>
    </row>
    <row r="166" spans="1:10">
      <c r="A166" s="818"/>
      <c r="B166" s="435"/>
      <c r="C166" s="1335"/>
      <c r="D166" s="1335"/>
      <c r="E166" s="435"/>
      <c r="F166" s="1335"/>
      <c r="G166" s="848"/>
      <c r="H166" s="843"/>
      <c r="I166" s="435"/>
    </row>
    <row r="167" spans="1:10">
      <c r="A167" s="828"/>
      <c r="B167" s="853" t="s">
        <v>1884</v>
      </c>
      <c r="C167" s="854" t="s">
        <v>526</v>
      </c>
      <c r="D167" s="855" t="s">
        <v>1885</v>
      </c>
      <c r="E167" s="854" t="s">
        <v>1886</v>
      </c>
      <c r="F167" s="853" t="s">
        <v>1884</v>
      </c>
      <c r="G167" s="855" t="s">
        <v>526</v>
      </c>
      <c r="H167" s="856" t="s">
        <v>1885</v>
      </c>
      <c r="I167" s="854" t="s">
        <v>1886</v>
      </c>
      <c r="J167" s="828"/>
    </row>
    <row r="168" spans="1:10">
      <c r="A168" s="818"/>
      <c r="B168" s="831"/>
      <c r="C168" s="829"/>
      <c r="D168" s="832"/>
      <c r="E168" s="837" t="s">
        <v>350</v>
      </c>
      <c r="F168" s="831">
        <v>2</v>
      </c>
      <c r="G168" s="829">
        <v>36.1</v>
      </c>
      <c r="H168" s="832"/>
      <c r="I168" s="833" t="s">
        <v>1967</v>
      </c>
    </row>
    <row r="169" spans="1:10">
      <c r="A169" s="818"/>
      <c r="B169" s="435"/>
      <c r="C169" s="1335"/>
      <c r="D169" s="1335"/>
      <c r="E169" s="837" t="s">
        <v>65</v>
      </c>
      <c r="F169" s="831"/>
      <c r="G169" s="829">
        <v>0.2</v>
      </c>
      <c r="H169" s="832">
        <f>F168*G168*G169</f>
        <v>14.440000000000001</v>
      </c>
      <c r="I169" s="833"/>
    </row>
    <row r="170" spans="1:10">
      <c r="A170" s="818"/>
      <c r="B170" s="831">
        <v>1</v>
      </c>
      <c r="C170" s="829">
        <v>33.9</v>
      </c>
      <c r="D170" s="832"/>
      <c r="E170" s="831" t="s">
        <v>1966</v>
      </c>
      <c r="F170" s="831"/>
      <c r="G170" s="829"/>
      <c r="H170" s="832"/>
      <c r="I170" s="833"/>
    </row>
    <row r="171" spans="1:10">
      <c r="A171" s="818"/>
      <c r="B171" s="831"/>
      <c r="C171" s="829">
        <v>2.73</v>
      </c>
      <c r="D171" s="832">
        <f>B170*C170*C171</f>
        <v>92.546999999999997</v>
      </c>
      <c r="E171" s="831"/>
      <c r="F171" s="839"/>
      <c r="G171" s="839"/>
      <c r="H171" s="838">
        <f>SUM(D171:D222)+H169</f>
        <v>336.45660000000004</v>
      </c>
      <c r="I171" s="845" t="s">
        <v>2122</v>
      </c>
    </row>
    <row r="172" spans="1:10">
      <c r="A172" s="818"/>
      <c r="B172" s="831"/>
      <c r="C172" s="829"/>
      <c r="D172" s="832"/>
      <c r="E172" s="435"/>
      <c r="F172" s="831"/>
      <c r="G172" s="829"/>
      <c r="H172" s="832"/>
      <c r="I172" s="833"/>
    </row>
    <row r="173" spans="1:10">
      <c r="A173" s="818"/>
      <c r="B173" s="831">
        <v>6</v>
      </c>
      <c r="C173" s="829">
        <v>1.5</v>
      </c>
      <c r="D173" s="832"/>
      <c r="E173" s="831" t="s">
        <v>352</v>
      </c>
      <c r="F173" s="831"/>
      <c r="G173" s="829"/>
      <c r="H173" s="832"/>
      <c r="I173" s="844" t="s">
        <v>86</v>
      </c>
    </row>
    <row r="174" spans="1:10">
      <c r="A174" s="818"/>
      <c r="B174" s="831"/>
      <c r="C174" s="829">
        <v>1.73</v>
      </c>
      <c r="D174" s="832">
        <f>-B173*C173*C174</f>
        <v>-15.57</v>
      </c>
      <c r="E174" s="831"/>
      <c r="F174" s="831">
        <v>1</v>
      </c>
      <c r="G174" s="829">
        <v>8.6999999999999993</v>
      </c>
      <c r="H174" s="832"/>
      <c r="I174" s="833" t="s">
        <v>1972</v>
      </c>
    </row>
    <row r="175" spans="1:10">
      <c r="A175" s="818"/>
      <c r="B175" s="831"/>
      <c r="C175" s="829"/>
      <c r="D175" s="832"/>
      <c r="E175" s="831"/>
      <c r="F175" s="831"/>
      <c r="G175" s="829">
        <v>2.73</v>
      </c>
      <c r="H175" s="832">
        <f>F174*G175*G174</f>
        <v>23.750999999999998</v>
      </c>
      <c r="I175" s="833"/>
    </row>
    <row r="176" spans="1:10">
      <c r="A176" s="818"/>
      <c r="B176" s="831">
        <v>3</v>
      </c>
      <c r="C176" s="829">
        <v>1.3</v>
      </c>
      <c r="D176" s="832"/>
      <c r="E176" s="831" t="s">
        <v>148</v>
      </c>
      <c r="F176" s="831"/>
      <c r="G176" s="829"/>
      <c r="H176" s="832"/>
      <c r="I176" s="833"/>
    </row>
    <row r="177" spans="1:9">
      <c r="A177" s="818"/>
      <c r="B177" s="831"/>
      <c r="C177" s="829">
        <v>1.73</v>
      </c>
      <c r="D177" s="832">
        <f>-B176*C176*C177</f>
        <v>-6.7470000000000008</v>
      </c>
      <c r="E177" s="831"/>
      <c r="F177" s="831">
        <v>1</v>
      </c>
      <c r="G177" s="829">
        <v>1.3</v>
      </c>
      <c r="H177" s="832"/>
      <c r="I177" s="833" t="s">
        <v>1973</v>
      </c>
    </row>
    <row r="178" spans="1:9">
      <c r="A178" s="818"/>
      <c r="B178" s="831"/>
      <c r="C178" s="829"/>
      <c r="D178" s="832"/>
      <c r="E178" s="831"/>
      <c r="F178" s="831"/>
      <c r="G178" s="829">
        <v>2.73</v>
      </c>
      <c r="H178" s="832">
        <f>-F177*G178*G177</f>
        <v>-3.5489999999999999</v>
      </c>
      <c r="I178" s="833"/>
    </row>
    <row r="179" spans="1:9">
      <c r="A179" s="818"/>
      <c r="B179" s="831">
        <v>1</v>
      </c>
      <c r="C179" s="829">
        <v>1.69</v>
      </c>
      <c r="D179" s="832"/>
      <c r="E179" s="831" t="s">
        <v>74</v>
      </c>
      <c r="F179" s="831"/>
      <c r="G179" s="829"/>
      <c r="H179" s="832"/>
      <c r="I179" s="833"/>
    </row>
    <row r="180" spans="1:9">
      <c r="A180" s="818"/>
      <c r="B180" s="831"/>
      <c r="C180" s="829">
        <v>0.6</v>
      </c>
      <c r="D180" s="832">
        <f>-B179*C179*C180</f>
        <v>-1.014</v>
      </c>
      <c r="E180" s="831"/>
      <c r="F180" s="831">
        <v>1</v>
      </c>
      <c r="G180" s="829">
        <v>33.5</v>
      </c>
      <c r="H180" s="832"/>
      <c r="I180" s="833" t="s">
        <v>1974</v>
      </c>
    </row>
    <row r="181" spans="1:9">
      <c r="A181" s="818"/>
      <c r="B181" s="831"/>
      <c r="C181" s="829"/>
      <c r="D181" s="832"/>
      <c r="E181" s="831"/>
      <c r="F181" s="831"/>
      <c r="G181" s="829">
        <v>2.73</v>
      </c>
      <c r="H181" s="832">
        <f>F180*G181*G180</f>
        <v>91.454999999999998</v>
      </c>
      <c r="I181" s="833"/>
    </row>
    <row r="182" spans="1:9">
      <c r="A182" s="818"/>
      <c r="B182" s="831">
        <v>1</v>
      </c>
      <c r="C182" s="829">
        <v>1.25</v>
      </c>
      <c r="D182" s="832"/>
      <c r="E182" s="831" t="s">
        <v>353</v>
      </c>
      <c r="F182" s="831"/>
      <c r="G182" s="829"/>
      <c r="H182" s="832"/>
      <c r="I182" s="833"/>
    </row>
    <row r="183" spans="1:9">
      <c r="A183" s="818"/>
      <c r="B183" s="831"/>
      <c r="C183" s="829">
        <v>0.6</v>
      </c>
      <c r="D183" s="832">
        <f>-B182*C182*C183</f>
        <v>-0.75</v>
      </c>
      <c r="E183" s="831"/>
      <c r="F183" s="831">
        <v>10</v>
      </c>
      <c r="G183" s="829">
        <v>0.9</v>
      </c>
      <c r="H183" s="832"/>
      <c r="I183" s="833" t="s">
        <v>1975</v>
      </c>
    </row>
    <row r="184" spans="1:9">
      <c r="A184" s="818"/>
      <c r="B184" s="831"/>
      <c r="C184" s="829"/>
      <c r="D184" s="832"/>
      <c r="E184" s="831"/>
      <c r="F184" s="831"/>
      <c r="G184" s="829">
        <v>2.73</v>
      </c>
      <c r="H184" s="832">
        <f>-F183*G184*G183</f>
        <v>-24.57</v>
      </c>
      <c r="I184" s="833"/>
    </row>
    <row r="185" spans="1:9">
      <c r="A185" s="818"/>
      <c r="B185" s="831">
        <v>1</v>
      </c>
      <c r="C185" s="829">
        <v>1.8</v>
      </c>
      <c r="D185" s="832"/>
      <c r="E185" s="831" t="s">
        <v>1968</v>
      </c>
      <c r="F185" s="831"/>
      <c r="G185" s="829"/>
      <c r="H185" s="832"/>
      <c r="I185" s="833"/>
    </row>
    <row r="186" spans="1:9">
      <c r="A186" s="818"/>
      <c r="B186" s="831"/>
      <c r="C186" s="829">
        <v>0.6</v>
      </c>
      <c r="D186" s="832">
        <f>-B185*C185*C186</f>
        <v>-1.08</v>
      </c>
      <c r="E186" s="831"/>
      <c r="F186" s="831">
        <v>1</v>
      </c>
      <c r="G186" s="829">
        <v>0.8</v>
      </c>
      <c r="H186" s="832"/>
      <c r="I186" s="833" t="s">
        <v>182</v>
      </c>
    </row>
    <row r="187" spans="1:9">
      <c r="A187" s="818"/>
      <c r="B187" s="831"/>
      <c r="C187" s="829"/>
      <c r="D187" s="832"/>
      <c r="E187" s="831"/>
      <c r="F187" s="831"/>
      <c r="G187" s="829">
        <v>2.73</v>
      </c>
      <c r="H187" s="832">
        <f>-F186*G187*G186</f>
        <v>-2.1840000000000002</v>
      </c>
      <c r="I187" s="833"/>
    </row>
    <row r="188" spans="1:9">
      <c r="A188" s="818"/>
      <c r="B188" s="831">
        <v>1</v>
      </c>
      <c r="C188" s="829">
        <v>2.9</v>
      </c>
      <c r="D188" s="832"/>
      <c r="E188" s="831" t="s">
        <v>1969</v>
      </c>
      <c r="F188" s="831"/>
      <c r="G188" s="829"/>
      <c r="H188" s="832"/>
      <c r="I188" s="833"/>
    </row>
    <row r="189" spans="1:9">
      <c r="A189" s="818"/>
      <c r="B189" s="831"/>
      <c r="C189" s="829">
        <v>0.6</v>
      </c>
      <c r="D189" s="832">
        <f>-B188*C188*C189</f>
        <v>-1.74</v>
      </c>
      <c r="E189" s="831"/>
      <c r="F189" s="831">
        <v>1</v>
      </c>
      <c r="G189" s="829">
        <v>1</v>
      </c>
      <c r="H189" s="832"/>
      <c r="I189" s="833" t="s">
        <v>356</v>
      </c>
    </row>
    <row r="190" spans="1:9">
      <c r="A190" s="818"/>
      <c r="B190" s="831"/>
      <c r="C190" s="829"/>
      <c r="D190" s="832"/>
      <c r="E190" s="831"/>
      <c r="F190" s="831"/>
      <c r="G190" s="829">
        <v>2.73</v>
      </c>
      <c r="H190" s="832">
        <f>-F189*G190*G189</f>
        <v>-2.73</v>
      </c>
      <c r="I190" s="833"/>
    </row>
    <row r="191" spans="1:9">
      <c r="A191" s="818"/>
      <c r="B191" s="831">
        <v>1</v>
      </c>
      <c r="C191" s="829">
        <v>33.9</v>
      </c>
      <c r="D191" s="832"/>
      <c r="E191" s="831" t="s">
        <v>1970</v>
      </c>
      <c r="F191" s="831"/>
      <c r="G191" s="829"/>
      <c r="H191" s="832"/>
      <c r="I191" s="833"/>
    </row>
    <row r="192" spans="1:9">
      <c r="A192" s="818"/>
      <c r="B192" s="831"/>
      <c r="C192" s="829">
        <v>2.73</v>
      </c>
      <c r="D192" s="832">
        <f>B191*C191*C192</f>
        <v>92.546999999999997</v>
      </c>
      <c r="E192" s="831"/>
      <c r="F192" s="831">
        <v>1</v>
      </c>
      <c r="G192" s="829">
        <v>2.5299999999999998</v>
      </c>
      <c r="H192" s="832"/>
      <c r="I192" s="833" t="s">
        <v>1976</v>
      </c>
    </row>
    <row r="193" spans="1:9">
      <c r="A193" s="818"/>
      <c r="B193" s="831"/>
      <c r="C193" s="829"/>
      <c r="D193" s="832"/>
      <c r="E193" s="831"/>
      <c r="F193" s="831"/>
      <c r="G193" s="829">
        <v>3.06</v>
      </c>
      <c r="H193" s="832">
        <f>F192*G193*G192</f>
        <v>7.7417999999999996</v>
      </c>
      <c r="I193" s="833"/>
    </row>
    <row r="194" spans="1:9">
      <c r="A194" s="818"/>
      <c r="B194" s="831">
        <v>7</v>
      </c>
      <c r="C194" s="829">
        <v>1.5</v>
      </c>
      <c r="D194" s="832"/>
      <c r="E194" s="831" t="s">
        <v>354</v>
      </c>
      <c r="F194" s="831"/>
      <c r="G194" s="829"/>
      <c r="H194" s="832"/>
      <c r="I194" s="833"/>
    </row>
    <row r="195" spans="1:9">
      <c r="A195" s="818"/>
      <c r="B195" s="831"/>
      <c r="C195" s="829">
        <v>1.73</v>
      </c>
      <c r="D195" s="832">
        <f>-B194*C194*C195</f>
        <v>-18.164999999999999</v>
      </c>
      <c r="E195" s="831"/>
      <c r="F195" s="831">
        <v>1</v>
      </c>
      <c r="G195" s="829">
        <v>5.86</v>
      </c>
      <c r="H195" s="832"/>
      <c r="I195" s="833" t="s">
        <v>1977</v>
      </c>
    </row>
    <row r="196" spans="1:9">
      <c r="A196" s="818"/>
      <c r="B196" s="831"/>
      <c r="C196" s="829"/>
      <c r="D196" s="832"/>
      <c r="E196" s="831"/>
      <c r="F196" s="831"/>
      <c r="G196" s="829">
        <v>3.06</v>
      </c>
      <c r="H196" s="832">
        <f>F195*G196*G195</f>
        <v>17.9316</v>
      </c>
      <c r="I196" s="833"/>
    </row>
    <row r="197" spans="1:9">
      <c r="A197" s="818"/>
      <c r="B197" s="831">
        <v>2</v>
      </c>
      <c r="C197" s="829">
        <v>1.3</v>
      </c>
      <c r="D197" s="832"/>
      <c r="E197" s="831" t="s">
        <v>355</v>
      </c>
      <c r="F197" s="831"/>
      <c r="G197" s="829"/>
      <c r="H197" s="832"/>
      <c r="I197" s="833"/>
    </row>
    <row r="198" spans="1:9">
      <c r="A198" s="818"/>
      <c r="B198" s="831"/>
      <c r="C198" s="829">
        <v>1.73</v>
      </c>
      <c r="D198" s="832">
        <f>-B197*C197*C198</f>
        <v>-4.4980000000000002</v>
      </c>
      <c r="E198" s="831"/>
      <c r="F198" s="831">
        <v>2</v>
      </c>
      <c r="G198" s="829">
        <v>0.8</v>
      </c>
      <c r="H198" s="832"/>
      <c r="I198" s="833" t="s">
        <v>99</v>
      </c>
    </row>
    <row r="199" spans="1:9">
      <c r="A199" s="818"/>
      <c r="B199" s="831"/>
      <c r="C199" s="829"/>
      <c r="D199" s="832"/>
      <c r="E199" s="831"/>
      <c r="F199" s="831"/>
      <c r="G199" s="829">
        <v>2.73</v>
      </c>
      <c r="H199" s="832">
        <f>-F198*G199*G198</f>
        <v>-4.3680000000000003</v>
      </c>
      <c r="I199" s="833"/>
    </row>
    <row r="200" spans="1:9">
      <c r="A200" s="818"/>
      <c r="B200" s="831">
        <v>1</v>
      </c>
      <c r="C200" s="829">
        <v>25</v>
      </c>
      <c r="D200" s="832"/>
      <c r="E200" s="831" t="s">
        <v>1971</v>
      </c>
      <c r="F200" s="831"/>
      <c r="G200" s="829"/>
      <c r="H200" s="832"/>
      <c r="I200" s="833"/>
    </row>
    <row r="201" spans="1:9">
      <c r="A201" s="818"/>
      <c r="B201" s="831"/>
      <c r="C201" s="829">
        <v>2.73</v>
      </c>
      <c r="D201" s="832">
        <f>B200*C200*C201</f>
        <v>68.25</v>
      </c>
      <c r="E201" s="831"/>
      <c r="F201" s="831">
        <v>1</v>
      </c>
      <c r="G201" s="829">
        <v>1.25</v>
      </c>
      <c r="H201" s="832"/>
      <c r="I201" s="833" t="s">
        <v>353</v>
      </c>
    </row>
    <row r="202" spans="1:9">
      <c r="A202" s="818"/>
      <c r="B202" s="831"/>
      <c r="C202" s="829"/>
      <c r="D202" s="832"/>
      <c r="E202" s="831"/>
      <c r="F202" s="831"/>
      <c r="G202" s="829">
        <v>0.6</v>
      </c>
      <c r="H202" s="832">
        <f>-F201*G202*G201</f>
        <v>-0.75</v>
      </c>
      <c r="I202" s="833"/>
    </row>
    <row r="203" spans="1:9">
      <c r="A203" s="818"/>
      <c r="B203" s="831">
        <v>5</v>
      </c>
      <c r="C203" s="829">
        <v>0.9</v>
      </c>
      <c r="D203" s="832"/>
      <c r="E203" s="831" t="s">
        <v>349</v>
      </c>
      <c r="F203" s="831"/>
      <c r="G203" s="829"/>
      <c r="H203" s="832"/>
      <c r="I203" s="833"/>
    </row>
    <row r="204" spans="1:9">
      <c r="A204" s="818"/>
      <c r="B204" s="831"/>
      <c r="C204" s="829">
        <v>2.73</v>
      </c>
      <c r="D204" s="832">
        <f>-B203*C203*C204</f>
        <v>-12.285</v>
      </c>
      <c r="E204" s="831"/>
      <c r="F204" s="831">
        <v>8</v>
      </c>
      <c r="G204" s="829">
        <v>4</v>
      </c>
      <c r="H204" s="832"/>
      <c r="I204" s="833" t="s">
        <v>1979</v>
      </c>
    </row>
    <row r="205" spans="1:9">
      <c r="A205" s="818"/>
      <c r="B205" s="831"/>
      <c r="C205" s="829"/>
      <c r="D205" s="832"/>
      <c r="E205" s="831"/>
      <c r="F205" s="831"/>
      <c r="G205" s="829">
        <v>3.06</v>
      </c>
      <c r="H205" s="832">
        <f>F204*G205*G204</f>
        <v>97.92</v>
      </c>
      <c r="I205" s="833"/>
    </row>
    <row r="206" spans="1:9">
      <c r="A206" s="818"/>
      <c r="B206" s="831">
        <v>1</v>
      </c>
      <c r="C206" s="829">
        <v>2.2999999999999998</v>
      </c>
      <c r="D206" s="832"/>
      <c r="E206" s="831" t="s">
        <v>62</v>
      </c>
      <c r="F206" s="831"/>
      <c r="G206" s="829"/>
      <c r="H206" s="832"/>
      <c r="I206" s="833"/>
    </row>
    <row r="207" spans="1:9">
      <c r="A207" s="818"/>
      <c r="B207" s="831"/>
      <c r="C207" s="829">
        <v>2.73</v>
      </c>
      <c r="D207" s="832">
        <f>-B206*C206*C207</f>
        <v>-6.2789999999999999</v>
      </c>
      <c r="E207" s="831"/>
      <c r="F207" s="831">
        <v>2</v>
      </c>
      <c r="G207" s="829">
        <v>2</v>
      </c>
      <c r="H207" s="832"/>
      <c r="I207" s="833" t="s">
        <v>1980</v>
      </c>
    </row>
    <row r="208" spans="1:9">
      <c r="A208" s="818"/>
      <c r="B208" s="831"/>
      <c r="C208" s="829"/>
      <c r="D208" s="832"/>
      <c r="E208" s="831"/>
      <c r="F208" s="831"/>
      <c r="G208" s="829">
        <v>3.06</v>
      </c>
      <c r="H208" s="832">
        <f>F207*G208*G207</f>
        <v>12.24</v>
      </c>
      <c r="I208" s="833"/>
    </row>
    <row r="209" spans="1:9" ht="31.5">
      <c r="A209" s="818"/>
      <c r="B209" s="831">
        <v>5</v>
      </c>
      <c r="C209" s="829">
        <v>4</v>
      </c>
      <c r="D209" s="832"/>
      <c r="E209" s="831" t="s">
        <v>1964</v>
      </c>
      <c r="F209" s="831"/>
      <c r="G209" s="829"/>
      <c r="H209" s="832"/>
      <c r="I209" s="833"/>
    </row>
    <row r="210" spans="1:9">
      <c r="A210" s="818"/>
      <c r="B210" s="831"/>
      <c r="C210" s="829">
        <v>3.06</v>
      </c>
      <c r="D210" s="832">
        <f>B209*C209*C210</f>
        <v>61.2</v>
      </c>
      <c r="E210" s="831"/>
      <c r="F210" s="831">
        <v>1</v>
      </c>
      <c r="G210" s="829">
        <v>4</v>
      </c>
      <c r="H210" s="832"/>
      <c r="I210" s="833" t="s">
        <v>1981</v>
      </c>
    </row>
    <row r="211" spans="1:9">
      <c r="A211" s="818"/>
      <c r="B211" s="831"/>
      <c r="C211" s="829"/>
      <c r="D211" s="832"/>
      <c r="E211" s="831"/>
      <c r="F211" s="831"/>
      <c r="G211" s="829">
        <v>2.73</v>
      </c>
      <c r="H211" s="832">
        <f>F210*G211*G210</f>
        <v>10.92</v>
      </c>
      <c r="I211" s="833"/>
    </row>
    <row r="212" spans="1:9">
      <c r="A212" s="818"/>
      <c r="B212" s="831">
        <v>2</v>
      </c>
      <c r="C212" s="829">
        <v>11.41</v>
      </c>
      <c r="D212" s="832"/>
      <c r="E212" s="831" t="s">
        <v>1965</v>
      </c>
      <c r="F212" s="831"/>
      <c r="G212" s="829"/>
      <c r="H212" s="832"/>
      <c r="I212" s="833"/>
    </row>
    <row r="213" spans="1:9">
      <c r="A213" s="818"/>
      <c r="B213" s="831"/>
      <c r="C213" s="829">
        <v>2.73</v>
      </c>
      <c r="D213" s="832">
        <f>B212*C212*C213</f>
        <v>62.2986</v>
      </c>
      <c r="E213" s="831"/>
      <c r="F213" s="831">
        <v>2</v>
      </c>
      <c r="G213" s="829">
        <v>4</v>
      </c>
      <c r="H213" s="832"/>
      <c r="I213" s="833" t="s">
        <v>1982</v>
      </c>
    </row>
    <row r="214" spans="1:9">
      <c r="A214" s="818"/>
      <c r="B214" s="831"/>
      <c r="C214" s="829"/>
      <c r="D214" s="832"/>
      <c r="E214" s="831"/>
      <c r="F214" s="831"/>
      <c r="G214" s="829">
        <v>3.06</v>
      </c>
      <c r="H214" s="832">
        <f>F213*G214*G213</f>
        <v>24.48</v>
      </c>
      <c r="I214" s="833"/>
    </row>
    <row r="215" spans="1:9">
      <c r="A215" s="818"/>
      <c r="B215" s="831">
        <v>2</v>
      </c>
      <c r="C215" s="829">
        <v>1.4</v>
      </c>
      <c r="D215" s="832"/>
      <c r="E215" s="831" t="s">
        <v>351</v>
      </c>
      <c r="F215" s="831"/>
      <c r="G215" s="829"/>
      <c r="H215" s="832"/>
      <c r="I215" s="833"/>
    </row>
    <row r="216" spans="1:9">
      <c r="A216" s="818"/>
      <c r="B216" s="831"/>
      <c r="C216" s="829">
        <v>2.73</v>
      </c>
      <c r="D216" s="832">
        <f>-B215*C215*C216</f>
        <v>-7.6439999999999992</v>
      </c>
      <c r="E216" s="831"/>
      <c r="F216" s="831">
        <v>1</v>
      </c>
      <c r="G216" s="829">
        <v>2.35</v>
      </c>
      <c r="H216" s="832"/>
      <c r="I216" s="833"/>
    </row>
    <row r="217" spans="1:9">
      <c r="A217" s="818"/>
      <c r="B217" s="831"/>
      <c r="C217" s="829"/>
      <c r="D217" s="832"/>
      <c r="E217" s="831"/>
      <c r="F217" s="831"/>
      <c r="G217" s="829">
        <v>3.06</v>
      </c>
      <c r="H217" s="832">
        <f>F216*G217*G216</f>
        <v>7.1910000000000007</v>
      </c>
      <c r="I217" s="833"/>
    </row>
    <row r="218" spans="1:9">
      <c r="A218" s="818"/>
      <c r="B218" s="831">
        <v>1</v>
      </c>
      <c r="C218" s="829">
        <v>1.5</v>
      </c>
      <c r="D218" s="832"/>
      <c r="E218" s="831" t="s">
        <v>90</v>
      </c>
      <c r="F218" s="831"/>
      <c r="G218" s="829"/>
      <c r="H218" s="832"/>
      <c r="I218" s="833"/>
    </row>
    <row r="219" spans="1:9">
      <c r="A219" s="818"/>
      <c r="B219" s="831"/>
      <c r="C219" s="829">
        <v>1.73</v>
      </c>
      <c r="D219" s="832">
        <f>-B218*C218*C219</f>
        <v>-2.5949999999999998</v>
      </c>
      <c r="E219" s="831"/>
      <c r="F219" s="831">
        <v>1</v>
      </c>
      <c r="G219" s="829">
        <v>0.8</v>
      </c>
      <c r="H219" s="832"/>
      <c r="I219" s="833" t="s">
        <v>182</v>
      </c>
    </row>
    <row r="220" spans="1:9">
      <c r="A220" s="818"/>
      <c r="B220" s="831"/>
      <c r="C220" s="829"/>
      <c r="D220" s="832"/>
      <c r="E220" s="831"/>
      <c r="F220" s="831"/>
      <c r="G220" s="829">
        <v>2.76</v>
      </c>
      <c r="H220" s="832">
        <f>-F219*G220*G219</f>
        <v>-2.2079999999999997</v>
      </c>
      <c r="I220" s="833"/>
    </row>
    <row r="221" spans="1:9">
      <c r="A221" s="818"/>
      <c r="B221" s="831">
        <v>2</v>
      </c>
      <c r="C221" s="829">
        <v>11.21</v>
      </c>
      <c r="D221" s="832"/>
      <c r="E221" s="831" t="s">
        <v>1965</v>
      </c>
      <c r="F221" s="831"/>
      <c r="G221" s="829"/>
      <c r="H221" s="832"/>
      <c r="I221" s="833"/>
    </row>
    <row r="222" spans="1:9">
      <c r="A222" s="818"/>
      <c r="B222" s="831"/>
      <c r="C222" s="829">
        <v>1.05</v>
      </c>
      <c r="D222" s="832">
        <f>'OPD TOS'!B221*'OPD TOS'!C221*'OPD TOS'!C222</f>
        <v>23.541000000000004</v>
      </c>
      <c r="E222" s="831"/>
      <c r="F222" s="831"/>
      <c r="G222" s="829"/>
      <c r="H222" s="832"/>
      <c r="I222" s="833"/>
    </row>
    <row r="223" spans="1:9">
      <c r="A223" s="818"/>
      <c r="B223" s="831"/>
      <c r="C223" s="829"/>
      <c r="D223" s="832"/>
      <c r="E223" s="831"/>
      <c r="F223" s="831"/>
      <c r="G223" s="829"/>
      <c r="H223" s="832"/>
      <c r="I223" s="833"/>
    </row>
    <row r="224" spans="1:9">
      <c r="A224" s="818"/>
      <c r="B224" s="849"/>
      <c r="C224" s="850"/>
      <c r="D224" s="851"/>
      <c r="E224" s="849"/>
      <c r="F224" s="849"/>
      <c r="G224" s="850"/>
      <c r="H224" s="851"/>
      <c r="I224" s="852"/>
    </row>
    <row r="225" spans="1:10">
      <c r="A225" s="828"/>
      <c r="B225" s="853" t="s">
        <v>1884</v>
      </c>
      <c r="C225" s="854" t="s">
        <v>526</v>
      </c>
      <c r="D225" s="855" t="s">
        <v>1885</v>
      </c>
      <c r="E225" s="854" t="s">
        <v>1886</v>
      </c>
      <c r="F225" s="853" t="s">
        <v>1884</v>
      </c>
      <c r="G225" s="855" t="s">
        <v>526</v>
      </c>
      <c r="H225" s="856" t="s">
        <v>1885</v>
      </c>
      <c r="I225" s="854" t="s">
        <v>1886</v>
      </c>
      <c r="J225" s="828"/>
    </row>
    <row r="226" spans="1:10">
      <c r="A226" s="818"/>
      <c r="B226" s="831"/>
      <c r="C226" s="829"/>
      <c r="D226" s="832"/>
      <c r="E226" s="831"/>
      <c r="F226" s="831"/>
      <c r="G226" s="829"/>
      <c r="H226" s="832"/>
      <c r="I226" s="844" t="s">
        <v>117</v>
      </c>
    </row>
    <row r="227" spans="1:10">
      <c r="A227" s="818"/>
      <c r="B227" s="831">
        <v>1</v>
      </c>
      <c r="C227" s="829">
        <v>0.7</v>
      </c>
      <c r="D227" s="832"/>
      <c r="E227" s="831" t="s">
        <v>204</v>
      </c>
      <c r="F227" s="831"/>
      <c r="G227" s="829"/>
      <c r="H227" s="832"/>
      <c r="I227" s="833" t="s">
        <v>1988</v>
      </c>
    </row>
    <row r="228" spans="1:10">
      <c r="A228" s="818"/>
      <c r="B228" s="831"/>
      <c r="C228" s="829">
        <v>2.73</v>
      </c>
      <c r="D228" s="832">
        <f>-B227*C228*C227</f>
        <v>-1.9109999999999998</v>
      </c>
      <c r="E228" s="831"/>
      <c r="F228" s="831">
        <v>18</v>
      </c>
      <c r="G228" s="829">
        <v>39.700000000000003</v>
      </c>
      <c r="H228" s="832"/>
      <c r="I228" s="833" t="s">
        <v>276</v>
      </c>
    </row>
    <row r="229" spans="1:10">
      <c r="A229" s="818"/>
      <c r="B229" s="831"/>
      <c r="C229" s="829"/>
      <c r="D229" s="832"/>
      <c r="E229" s="831"/>
      <c r="F229" s="831"/>
      <c r="G229" s="829"/>
      <c r="H229" s="832">
        <f>F228*G228</f>
        <v>714.6</v>
      </c>
      <c r="I229" s="833"/>
    </row>
    <row r="230" spans="1:10">
      <c r="A230" s="818"/>
      <c r="B230" s="831">
        <v>1</v>
      </c>
      <c r="C230" s="829">
        <v>0.9</v>
      </c>
      <c r="D230" s="832"/>
      <c r="E230" s="831" t="s">
        <v>72</v>
      </c>
      <c r="F230" s="831"/>
      <c r="G230" s="829"/>
      <c r="H230" s="832"/>
      <c r="I230" s="833"/>
    </row>
    <row r="231" spans="1:10">
      <c r="A231" s="818"/>
      <c r="B231" s="831"/>
      <c r="C231" s="829">
        <v>2.73</v>
      </c>
      <c r="D231" s="832">
        <f>-B230*C231*C230</f>
        <v>-2.4569999999999999</v>
      </c>
      <c r="E231" s="831"/>
      <c r="F231" s="839"/>
      <c r="G231" s="839"/>
      <c r="H231" s="838">
        <f>H229</f>
        <v>714.6</v>
      </c>
      <c r="I231" s="845" t="s">
        <v>2130</v>
      </c>
    </row>
    <row r="232" spans="1:10">
      <c r="A232" s="818"/>
      <c r="B232" s="839"/>
      <c r="C232" s="839"/>
      <c r="D232" s="838">
        <f>'OPD TOS'!H175+'OPD TOS'!H178+'OPD TOS'!H181+'OPD TOS'!H184+'OPD TOS'!H187+'OPD TOS'!H190+'OPD TOS'!H193+'OPD TOS'!H196+'OPD TOS'!H199+'OPD TOS'!H202+'OPD TOS'!H205+'OPD TOS'!H208+'OPD TOS'!H211+'OPD TOS'!H214+H217+H220+D228+D231</f>
        <v>248.90339999999998</v>
      </c>
      <c r="E232" s="845" t="s">
        <v>2123</v>
      </c>
      <c r="F232" s="435"/>
      <c r="G232" s="435"/>
      <c r="H232" s="435"/>
      <c r="I232" s="435"/>
    </row>
    <row r="233" spans="1:10">
      <c r="A233" s="818"/>
      <c r="B233" s="831"/>
      <c r="C233" s="829"/>
      <c r="D233" s="832"/>
      <c r="E233" s="831"/>
      <c r="F233" s="1335"/>
      <c r="G233" s="848"/>
      <c r="H233" s="843"/>
      <c r="I233" s="844" t="s">
        <v>122</v>
      </c>
    </row>
    <row r="234" spans="1:10">
      <c r="A234" s="818"/>
      <c r="B234" s="831"/>
      <c r="C234" s="829"/>
      <c r="D234" s="832"/>
      <c r="E234" s="837" t="s">
        <v>124</v>
      </c>
      <c r="F234" s="831">
        <v>4</v>
      </c>
      <c r="G234" s="829">
        <v>6.39</v>
      </c>
      <c r="H234" s="832"/>
      <c r="I234" s="435"/>
    </row>
    <row r="235" spans="1:10">
      <c r="A235" s="818"/>
      <c r="B235" s="831"/>
      <c r="C235" s="829"/>
      <c r="D235" s="832"/>
      <c r="E235" s="837" t="s">
        <v>125</v>
      </c>
      <c r="F235" s="831"/>
      <c r="G235" s="829"/>
      <c r="H235" s="832">
        <f>G234*F234</f>
        <v>25.56</v>
      </c>
      <c r="I235" s="833"/>
    </row>
    <row r="236" spans="1:10">
      <c r="A236" s="818"/>
      <c r="B236" s="831">
        <v>1</v>
      </c>
      <c r="C236" s="829">
        <v>36.299999999999997</v>
      </c>
      <c r="D236" s="832"/>
      <c r="E236" s="831" t="s">
        <v>1978</v>
      </c>
      <c r="F236" s="831">
        <v>2</v>
      </c>
      <c r="G236" s="829">
        <v>36.299999999999997</v>
      </c>
      <c r="H236" s="832"/>
      <c r="I236" s="833"/>
    </row>
    <row r="237" spans="1:10">
      <c r="A237" s="818"/>
      <c r="B237" s="831"/>
      <c r="C237" s="829">
        <v>13.8</v>
      </c>
      <c r="D237" s="832"/>
      <c r="E237" s="831"/>
      <c r="F237" s="831"/>
      <c r="G237" s="829"/>
      <c r="H237" s="832">
        <f>G236*F236</f>
        <v>72.599999999999994</v>
      </c>
      <c r="I237" s="833"/>
    </row>
    <row r="238" spans="1:10">
      <c r="A238" s="818"/>
      <c r="B238" s="839"/>
      <c r="C238" s="839"/>
      <c r="D238" s="838">
        <f>C237*C236*B236</f>
        <v>500.94</v>
      </c>
      <c r="E238" s="845" t="s">
        <v>2124</v>
      </c>
      <c r="F238" s="1335"/>
      <c r="G238" s="848"/>
      <c r="H238" s="843"/>
      <c r="I238" s="833"/>
    </row>
    <row r="239" spans="1:10">
      <c r="A239" s="818"/>
      <c r="B239" s="831"/>
      <c r="C239" s="829"/>
      <c r="D239" s="832"/>
      <c r="E239" s="435"/>
      <c r="F239" s="839"/>
      <c r="G239" s="839"/>
      <c r="H239" s="838">
        <f>H237+H235</f>
        <v>98.16</v>
      </c>
      <c r="I239" s="845" t="s">
        <v>2132</v>
      </c>
    </row>
    <row r="240" spans="1:10">
      <c r="A240" s="818"/>
      <c r="B240" s="831"/>
      <c r="C240" s="829"/>
      <c r="D240" s="832"/>
      <c r="E240" s="837" t="s">
        <v>2093</v>
      </c>
      <c r="F240" s="831"/>
      <c r="G240" s="829"/>
      <c r="H240" s="832"/>
      <c r="I240" s="833"/>
    </row>
    <row r="241" spans="1:9">
      <c r="A241" s="818"/>
      <c r="B241" s="831">
        <v>2</v>
      </c>
      <c r="C241" s="829">
        <v>36.299999999999997</v>
      </c>
      <c r="D241" s="832"/>
      <c r="E241" s="831" t="s">
        <v>2094</v>
      </c>
      <c r="F241" s="831"/>
      <c r="G241" s="829"/>
      <c r="H241" s="832"/>
      <c r="I241" s="844" t="s">
        <v>126</v>
      </c>
    </row>
    <row r="242" spans="1:9">
      <c r="A242" s="818"/>
      <c r="B242" s="831"/>
      <c r="C242" s="829">
        <v>0.6</v>
      </c>
      <c r="D242" s="832">
        <f>B241*C241*C242</f>
        <v>43.559999999999995</v>
      </c>
      <c r="E242" s="831"/>
      <c r="F242" s="831">
        <v>1</v>
      </c>
      <c r="G242" s="829">
        <v>1</v>
      </c>
      <c r="H242" s="832"/>
      <c r="I242" s="833"/>
    </row>
    <row r="243" spans="1:9">
      <c r="A243" s="818"/>
      <c r="B243" s="831"/>
      <c r="C243" s="829"/>
      <c r="D243" s="832"/>
      <c r="E243" s="435"/>
      <c r="F243" s="839"/>
      <c r="G243" s="839"/>
      <c r="H243" s="838">
        <f>F242*G242</f>
        <v>1</v>
      </c>
      <c r="I243" s="839" t="s">
        <v>2131</v>
      </c>
    </row>
    <row r="244" spans="1:9">
      <c r="A244" s="818"/>
      <c r="B244" s="831">
        <f>2*2</f>
        <v>4</v>
      </c>
      <c r="C244" s="829">
        <v>6.45</v>
      </c>
      <c r="D244" s="832"/>
      <c r="E244" s="831" t="s">
        <v>2095</v>
      </c>
      <c r="F244" s="831"/>
      <c r="G244" s="829"/>
      <c r="H244" s="832"/>
      <c r="I244" s="833"/>
    </row>
    <row r="245" spans="1:9">
      <c r="A245" s="818"/>
      <c r="B245" s="831"/>
      <c r="C245" s="829">
        <v>0.6</v>
      </c>
      <c r="D245" s="832">
        <f>B244*C244*C245</f>
        <v>15.48</v>
      </c>
      <c r="E245" s="831" t="s">
        <v>2096</v>
      </c>
      <c r="F245" s="831"/>
      <c r="G245" s="829"/>
      <c r="H245" s="832"/>
      <c r="I245" s="844" t="s">
        <v>128</v>
      </c>
    </row>
    <row r="246" spans="1:9">
      <c r="A246" s="818"/>
      <c r="B246" s="831"/>
      <c r="C246" s="829"/>
      <c r="D246" s="832"/>
      <c r="E246" s="831"/>
      <c r="F246" s="831">
        <v>1</v>
      </c>
      <c r="G246" s="829">
        <v>2</v>
      </c>
      <c r="H246" s="832"/>
      <c r="I246" s="833"/>
    </row>
    <row r="247" spans="1:9">
      <c r="A247" s="818"/>
      <c r="B247" s="839"/>
      <c r="C247" s="839"/>
      <c r="D247" s="838">
        <f>SUM(D241:D245)</f>
        <v>59.039999999999992</v>
      </c>
      <c r="E247" s="845" t="s">
        <v>2129</v>
      </c>
      <c r="F247" s="839"/>
      <c r="G247" s="839"/>
      <c r="H247" s="838">
        <f>F246*G246</f>
        <v>2</v>
      </c>
      <c r="I247" s="839" t="s">
        <v>2139</v>
      </c>
    </row>
    <row r="248" spans="1:9">
      <c r="A248" s="818"/>
      <c r="B248" s="435"/>
      <c r="C248" s="435"/>
      <c r="D248" s="435"/>
      <c r="E248" s="435"/>
      <c r="F248" s="831"/>
      <c r="G248" s="829"/>
      <c r="H248" s="832"/>
      <c r="I248" s="833"/>
    </row>
    <row r="249" spans="1:9">
      <c r="A249" s="818"/>
      <c r="B249" s="435"/>
      <c r="C249" s="1335"/>
      <c r="D249" s="1335"/>
      <c r="E249" s="837" t="s">
        <v>2097</v>
      </c>
      <c r="F249" s="831"/>
      <c r="G249" s="829"/>
      <c r="H249" s="832"/>
      <c r="I249" s="844" t="s">
        <v>130</v>
      </c>
    </row>
    <row r="250" spans="1:9">
      <c r="A250" s="818"/>
      <c r="B250" s="831">
        <v>1</v>
      </c>
      <c r="C250" s="829">
        <v>36.299999999999997</v>
      </c>
      <c r="D250" s="832"/>
      <c r="E250" s="831"/>
      <c r="F250" s="831">
        <v>1</v>
      </c>
      <c r="G250" s="829">
        <v>5</v>
      </c>
      <c r="H250" s="832"/>
      <c r="I250" s="833"/>
    </row>
    <row r="251" spans="1:9">
      <c r="A251" s="818"/>
      <c r="B251" s="831"/>
      <c r="C251" s="829"/>
      <c r="D251" s="832">
        <f>C250*B250</f>
        <v>36.299999999999997</v>
      </c>
      <c r="E251" s="831"/>
      <c r="F251" s="839"/>
      <c r="G251" s="839"/>
      <c r="H251" s="838">
        <f>F250*G250</f>
        <v>5</v>
      </c>
      <c r="I251" s="839" t="s">
        <v>2138</v>
      </c>
    </row>
    <row r="252" spans="1:9">
      <c r="A252" s="818"/>
      <c r="B252" s="435"/>
      <c r="C252" s="435"/>
      <c r="D252" s="435"/>
      <c r="E252" s="435"/>
      <c r="F252" s="831"/>
      <c r="G252" s="829"/>
      <c r="H252" s="832"/>
      <c r="I252" s="833"/>
    </row>
    <row r="253" spans="1:9">
      <c r="A253" s="818"/>
      <c r="B253" s="831">
        <v>4</v>
      </c>
      <c r="C253" s="829">
        <v>7.45</v>
      </c>
      <c r="D253" s="832"/>
      <c r="E253" s="831" t="s">
        <v>2098</v>
      </c>
      <c r="F253" s="831"/>
      <c r="G253" s="829"/>
      <c r="H253" s="832"/>
      <c r="I253" s="844" t="s">
        <v>132</v>
      </c>
    </row>
    <row r="254" spans="1:9">
      <c r="A254" s="818"/>
      <c r="B254" s="435"/>
      <c r="C254" s="829">
        <v>0.5</v>
      </c>
      <c r="D254" s="832"/>
      <c r="E254" s="831" t="s">
        <v>3392</v>
      </c>
      <c r="F254" s="831">
        <v>1</v>
      </c>
      <c r="G254" s="829">
        <v>15</v>
      </c>
      <c r="H254" s="832"/>
      <c r="I254" s="833"/>
    </row>
    <row r="255" spans="1:9">
      <c r="A255" s="818"/>
      <c r="B255" s="831"/>
      <c r="C255" s="829"/>
      <c r="D255" s="832">
        <f>C253*C254*B253</f>
        <v>14.9</v>
      </c>
      <c r="E255" s="435"/>
      <c r="F255" s="839"/>
      <c r="G255" s="839"/>
      <c r="H255" s="838">
        <f>F254*G254</f>
        <v>15</v>
      </c>
      <c r="I255" s="839" t="s">
        <v>2137</v>
      </c>
    </row>
    <row r="256" spans="1:9">
      <c r="A256" s="818"/>
      <c r="B256" s="435"/>
      <c r="C256" s="1335"/>
      <c r="D256" s="1335"/>
      <c r="E256" s="435"/>
      <c r="F256" s="435"/>
      <c r="G256" s="829"/>
      <c r="H256" s="435"/>
      <c r="I256" s="435"/>
    </row>
    <row r="257" spans="1:9">
      <c r="A257" s="818"/>
      <c r="B257" s="839"/>
      <c r="C257" s="839"/>
      <c r="D257" s="838">
        <f>SUM(D251:D255)</f>
        <v>51.199999999999996</v>
      </c>
      <c r="E257" s="845" t="s">
        <v>2125</v>
      </c>
      <c r="F257" s="831"/>
      <c r="G257" s="829"/>
      <c r="H257" s="832"/>
      <c r="I257" s="844" t="s">
        <v>135</v>
      </c>
    </row>
    <row r="258" spans="1:9">
      <c r="A258" s="818"/>
      <c r="B258" s="435"/>
      <c r="C258" s="435"/>
      <c r="D258" s="435"/>
      <c r="E258" s="435"/>
      <c r="F258" s="1335"/>
      <c r="G258" s="829"/>
      <c r="H258" s="843"/>
      <c r="I258" s="1335" t="s">
        <v>137</v>
      </c>
    </row>
    <row r="259" spans="1:9">
      <c r="A259" s="818"/>
      <c r="B259" s="435"/>
      <c r="C259" s="1335"/>
      <c r="D259" s="1335"/>
      <c r="E259" s="837" t="s">
        <v>2099</v>
      </c>
      <c r="F259" s="831">
        <v>1</v>
      </c>
      <c r="G259" s="829">
        <v>14</v>
      </c>
      <c r="H259" s="832"/>
      <c r="I259" s="833"/>
    </row>
    <row r="260" spans="1:9">
      <c r="A260" s="818"/>
      <c r="B260" s="831">
        <v>2</v>
      </c>
      <c r="C260" s="829"/>
      <c r="D260" s="832"/>
      <c r="E260" s="831" t="s">
        <v>2100</v>
      </c>
      <c r="F260" s="839"/>
      <c r="G260" s="839"/>
      <c r="H260" s="838">
        <f>F259*G259</f>
        <v>14</v>
      </c>
      <c r="I260" s="845" t="s">
        <v>2136</v>
      </c>
    </row>
    <row r="261" spans="1:9">
      <c r="A261" s="818"/>
      <c r="B261" s="831"/>
      <c r="C261" s="829">
        <v>36.299999999999997</v>
      </c>
      <c r="D261" s="832"/>
      <c r="E261" s="831"/>
      <c r="F261" s="1335"/>
      <c r="G261" s="829"/>
      <c r="H261" s="843"/>
      <c r="I261" s="435"/>
    </row>
    <row r="262" spans="1:9">
      <c r="A262" s="818"/>
      <c r="B262" s="831"/>
      <c r="C262" s="829"/>
      <c r="D262" s="832">
        <f>C261*B260</f>
        <v>72.599999999999994</v>
      </c>
      <c r="E262" s="831"/>
      <c r="F262" s="831"/>
      <c r="G262" s="829"/>
      <c r="H262" s="832"/>
      <c r="I262" s="844" t="s">
        <v>138</v>
      </c>
    </row>
    <row r="263" spans="1:9">
      <c r="A263" s="818"/>
      <c r="B263" s="831"/>
      <c r="C263" s="829"/>
      <c r="D263" s="832"/>
      <c r="E263" s="831"/>
      <c r="F263" s="831">
        <v>1</v>
      </c>
      <c r="G263" s="829">
        <v>5</v>
      </c>
      <c r="H263" s="832"/>
      <c r="I263" s="833"/>
    </row>
    <row r="264" spans="1:9">
      <c r="A264" s="818"/>
      <c r="B264" s="839"/>
      <c r="C264" s="839"/>
      <c r="D264" s="838">
        <f>D262</f>
        <v>72.599999999999994</v>
      </c>
      <c r="E264" s="845" t="s">
        <v>2126</v>
      </c>
      <c r="F264" s="839"/>
      <c r="G264" s="839"/>
      <c r="H264" s="838">
        <f>F263*G263</f>
        <v>5</v>
      </c>
      <c r="I264" s="845" t="s">
        <v>2135</v>
      </c>
    </row>
    <row r="265" spans="1:9">
      <c r="A265" s="818"/>
      <c r="B265" s="435"/>
      <c r="C265" s="435"/>
      <c r="D265" s="435"/>
      <c r="E265" s="435"/>
      <c r="F265" s="435"/>
      <c r="G265" s="829"/>
      <c r="H265" s="435"/>
      <c r="I265" s="435"/>
    </row>
    <row r="266" spans="1:9">
      <c r="A266" s="818"/>
      <c r="B266" s="831"/>
      <c r="C266" s="829"/>
      <c r="D266" s="832"/>
      <c r="E266" s="837" t="s">
        <v>109</v>
      </c>
      <c r="F266" s="831"/>
      <c r="G266" s="829"/>
      <c r="H266" s="832"/>
      <c r="I266" s="844" t="s">
        <v>2328</v>
      </c>
    </row>
    <row r="267" spans="1:9">
      <c r="A267" s="818"/>
      <c r="B267" s="831">
        <v>27</v>
      </c>
      <c r="C267" s="829">
        <v>14.84</v>
      </c>
      <c r="D267" s="832"/>
      <c r="E267" s="837" t="s">
        <v>1983</v>
      </c>
      <c r="F267" s="831">
        <v>1</v>
      </c>
      <c r="G267" s="829">
        <v>1</v>
      </c>
      <c r="H267" s="832"/>
      <c r="I267" s="833"/>
    </row>
    <row r="268" spans="1:9">
      <c r="A268" s="818"/>
      <c r="B268" s="831"/>
      <c r="C268" s="829"/>
      <c r="D268" s="832">
        <f>B267*C267</f>
        <v>400.68</v>
      </c>
      <c r="E268" s="831"/>
      <c r="F268" s="839"/>
      <c r="G268" s="839"/>
      <c r="H268" s="838">
        <f>F267*G267</f>
        <v>1</v>
      </c>
      <c r="I268" s="845" t="s">
        <v>2134</v>
      </c>
    </row>
    <row r="269" spans="1:9">
      <c r="A269" s="818"/>
      <c r="B269" s="435"/>
      <c r="C269" s="1335"/>
      <c r="D269" s="1335"/>
      <c r="E269" s="435"/>
      <c r="F269" s="1335"/>
      <c r="G269" s="829"/>
      <c r="H269" s="843"/>
      <c r="I269" s="435"/>
    </row>
    <row r="270" spans="1:9">
      <c r="A270" s="818"/>
      <c r="B270" s="831">
        <v>27</v>
      </c>
      <c r="C270" s="829">
        <v>12</v>
      </c>
      <c r="D270" s="832"/>
      <c r="E270" s="831" t="s">
        <v>1984</v>
      </c>
      <c r="F270" s="831"/>
      <c r="G270" s="829"/>
      <c r="H270" s="832"/>
      <c r="I270" s="844" t="s">
        <v>2327</v>
      </c>
    </row>
    <row r="271" spans="1:9">
      <c r="A271" s="818"/>
      <c r="B271" s="831"/>
      <c r="C271" s="829"/>
      <c r="D271" s="832">
        <f>B270*C270</f>
        <v>324</v>
      </c>
      <c r="E271" s="831" t="s">
        <v>1985</v>
      </c>
      <c r="F271" s="831">
        <v>1</v>
      </c>
      <c r="G271" s="829">
        <v>2</v>
      </c>
      <c r="H271" s="832"/>
      <c r="I271" s="833"/>
    </row>
    <row r="272" spans="1:9">
      <c r="A272" s="818"/>
      <c r="B272" s="831"/>
      <c r="C272" s="829"/>
      <c r="D272" s="832"/>
      <c r="E272" s="831"/>
      <c r="F272" s="839"/>
      <c r="G272" s="839"/>
      <c r="H272" s="838">
        <f>F271*G271</f>
        <v>2</v>
      </c>
      <c r="I272" s="845" t="s">
        <v>2134</v>
      </c>
    </row>
    <row r="273" spans="1:9">
      <c r="A273" s="818"/>
      <c r="B273" s="839"/>
      <c r="C273" s="839"/>
      <c r="D273" s="838">
        <f>D271+D268</f>
        <v>724.68000000000006</v>
      </c>
      <c r="E273" s="845" t="s">
        <v>2127</v>
      </c>
      <c r="F273" s="1335"/>
      <c r="G273" s="848"/>
      <c r="H273" s="843"/>
      <c r="I273" s="833"/>
    </row>
    <row r="274" spans="1:9">
      <c r="A274" s="818"/>
      <c r="B274" s="435"/>
      <c r="C274" s="1335"/>
      <c r="D274" s="1335"/>
      <c r="E274" s="435"/>
      <c r="F274" s="831"/>
      <c r="G274" s="829"/>
      <c r="H274" s="832"/>
      <c r="I274" s="844" t="s">
        <v>1989</v>
      </c>
    </row>
    <row r="275" spans="1:9">
      <c r="A275" s="818"/>
      <c r="B275" s="831"/>
      <c r="C275" s="829"/>
      <c r="D275" s="832"/>
      <c r="E275" s="837" t="s">
        <v>114</v>
      </c>
      <c r="F275" s="831">
        <v>1</v>
      </c>
      <c r="G275" s="829">
        <v>2</v>
      </c>
      <c r="H275" s="832"/>
      <c r="I275" s="833"/>
    </row>
    <row r="276" spans="1:9">
      <c r="A276" s="818"/>
      <c r="B276" s="831"/>
      <c r="C276" s="829"/>
      <c r="D276" s="832"/>
      <c r="E276" s="831"/>
      <c r="F276" s="839"/>
      <c r="G276" s="839"/>
      <c r="H276" s="838">
        <f>F275*G275</f>
        <v>2</v>
      </c>
      <c r="I276" s="845" t="s">
        <v>2133</v>
      </c>
    </row>
    <row r="277" spans="1:9">
      <c r="A277" s="818"/>
      <c r="B277" s="831">
        <v>27</v>
      </c>
      <c r="C277" s="829">
        <v>12.76</v>
      </c>
      <c r="D277" s="832"/>
      <c r="E277" s="831" t="s">
        <v>1986</v>
      </c>
      <c r="F277" s="435"/>
      <c r="G277" s="435"/>
      <c r="H277" s="435"/>
      <c r="I277" s="435"/>
    </row>
    <row r="278" spans="1:9">
      <c r="A278" s="818"/>
      <c r="B278" s="831"/>
      <c r="C278" s="829"/>
      <c r="D278" s="832">
        <f>B277*C277</f>
        <v>344.52</v>
      </c>
      <c r="E278" s="831"/>
      <c r="F278" s="831"/>
      <c r="G278" s="829"/>
      <c r="H278" s="832"/>
      <c r="I278" s="844" t="s">
        <v>357</v>
      </c>
    </row>
    <row r="279" spans="1:9">
      <c r="A279" s="818"/>
      <c r="B279" s="831">
        <v>27</v>
      </c>
      <c r="C279" s="829">
        <v>15.94</v>
      </c>
      <c r="D279" s="832"/>
      <c r="E279" s="831" t="s">
        <v>1987</v>
      </c>
      <c r="F279" s="831"/>
      <c r="G279" s="829"/>
      <c r="H279" s="832"/>
      <c r="I279" s="844" t="s">
        <v>1990</v>
      </c>
    </row>
    <row r="280" spans="1:9">
      <c r="A280" s="818"/>
      <c r="B280" s="831"/>
      <c r="C280" s="829"/>
      <c r="D280" s="832">
        <f>B279*C279</f>
        <v>430.38</v>
      </c>
      <c r="E280" s="831"/>
      <c r="F280" s="831"/>
      <c r="G280" s="829"/>
      <c r="H280" s="832"/>
      <c r="I280" s="844" t="s">
        <v>2140</v>
      </c>
    </row>
    <row r="281" spans="1:9">
      <c r="A281" s="818"/>
      <c r="B281" s="831"/>
      <c r="C281" s="829"/>
      <c r="D281" s="832"/>
      <c r="E281" s="831"/>
      <c r="F281" s="831">
        <v>2</v>
      </c>
      <c r="G281" s="829">
        <v>33.5</v>
      </c>
      <c r="H281" s="832"/>
      <c r="I281" s="833" t="s">
        <v>1967</v>
      </c>
    </row>
    <row r="282" spans="1:9">
      <c r="A282" s="818"/>
      <c r="B282" s="839"/>
      <c r="C282" s="839"/>
      <c r="D282" s="838">
        <f>SUM(D278:D281)</f>
        <v>774.9</v>
      </c>
      <c r="E282" s="845" t="s">
        <v>2128</v>
      </c>
      <c r="F282" s="831"/>
      <c r="G282" s="829">
        <v>2.73</v>
      </c>
      <c r="H282" s="832">
        <f>F281*G281*G282</f>
        <v>182.91</v>
      </c>
      <c r="I282" s="833"/>
    </row>
    <row r="283" spans="1:9">
      <c r="A283" s="818"/>
      <c r="B283" s="435"/>
      <c r="C283" s="1335"/>
      <c r="D283" s="1335"/>
      <c r="E283" s="435"/>
      <c r="F283" s="831"/>
      <c r="G283" s="829"/>
      <c r="H283" s="832"/>
      <c r="I283" s="833"/>
    </row>
    <row r="284" spans="1:9">
      <c r="A284" s="818"/>
      <c r="B284" s="109"/>
      <c r="C284" s="860"/>
      <c r="D284" s="860"/>
      <c r="E284" s="109"/>
      <c r="F284" s="109"/>
      <c r="G284" s="109"/>
      <c r="H284" s="109"/>
      <c r="I284" s="109"/>
    </row>
    <row r="285" spans="1:9">
      <c r="A285" s="818"/>
      <c r="B285" s="929" t="s">
        <v>1884</v>
      </c>
      <c r="C285" s="930" t="s">
        <v>526</v>
      </c>
      <c r="D285" s="931" t="s">
        <v>1885</v>
      </c>
      <c r="E285" s="930" t="s">
        <v>1886</v>
      </c>
      <c r="F285" s="929" t="s">
        <v>1884</v>
      </c>
      <c r="G285" s="931" t="s">
        <v>526</v>
      </c>
      <c r="H285" s="932" t="s">
        <v>1885</v>
      </c>
      <c r="I285" s="930" t="s">
        <v>1886</v>
      </c>
    </row>
    <row r="286" spans="1:9">
      <c r="A286" s="818"/>
      <c r="B286" s="831">
        <v>2</v>
      </c>
      <c r="C286" s="829">
        <v>10.41</v>
      </c>
      <c r="D286" s="832"/>
      <c r="E286" s="833" t="s">
        <v>1965</v>
      </c>
      <c r="F286" s="831">
        <v>1</v>
      </c>
      <c r="G286" s="829">
        <v>16.100000000000001</v>
      </c>
      <c r="H286" s="832"/>
      <c r="I286" s="833" t="s">
        <v>1998</v>
      </c>
    </row>
    <row r="287" spans="1:9">
      <c r="A287" s="818"/>
      <c r="B287" s="831"/>
      <c r="C287" s="829">
        <v>2.73</v>
      </c>
      <c r="D287" s="832">
        <f>B286*C286*C287</f>
        <v>56.8386</v>
      </c>
      <c r="E287" s="833"/>
      <c r="F287" s="831"/>
      <c r="G287" s="829">
        <v>3.06</v>
      </c>
      <c r="H287" s="832">
        <f>F286*G286*G287</f>
        <v>49.266000000000005</v>
      </c>
      <c r="I287" s="833" t="s">
        <v>1999</v>
      </c>
    </row>
    <row r="288" spans="1:9">
      <c r="A288" s="818"/>
      <c r="B288" s="831"/>
      <c r="C288" s="829"/>
      <c r="D288" s="832"/>
      <c r="E288" s="833"/>
      <c r="F288" s="831"/>
      <c r="G288" s="829"/>
      <c r="H288" s="832"/>
      <c r="I288" s="833"/>
    </row>
    <row r="289" spans="1:9">
      <c r="A289" s="818"/>
      <c r="B289" s="831">
        <v>2</v>
      </c>
      <c r="C289" s="829">
        <v>13.21</v>
      </c>
      <c r="D289" s="832"/>
      <c r="E289" s="833" t="s">
        <v>1965</v>
      </c>
      <c r="F289" s="831">
        <v>1</v>
      </c>
      <c r="G289" s="829">
        <v>0.9</v>
      </c>
      <c r="H289" s="832"/>
      <c r="I289" s="833" t="s">
        <v>72</v>
      </c>
    </row>
    <row r="290" spans="1:9">
      <c r="A290" s="818"/>
      <c r="B290" s="831"/>
      <c r="C290" s="829">
        <v>1.2</v>
      </c>
      <c r="D290" s="832">
        <f>B289*C289*C290</f>
        <v>31.704000000000001</v>
      </c>
      <c r="E290" s="833"/>
      <c r="F290" s="831"/>
      <c r="G290" s="829">
        <v>2.73</v>
      </c>
      <c r="H290" s="832">
        <f>-F289*G290*G289</f>
        <v>-2.4569999999999999</v>
      </c>
      <c r="I290" s="833"/>
    </row>
    <row r="291" spans="1:9">
      <c r="A291" s="818"/>
      <c r="B291" s="435"/>
      <c r="C291" s="435"/>
      <c r="D291" s="435"/>
      <c r="E291" s="435"/>
      <c r="F291" s="831"/>
      <c r="G291" s="829"/>
      <c r="H291" s="832"/>
      <c r="I291" s="833"/>
    </row>
    <row r="292" spans="1:9">
      <c r="A292" s="818"/>
      <c r="B292" s="831">
        <v>14</v>
      </c>
      <c r="C292" s="829">
        <v>1.5</v>
      </c>
      <c r="D292" s="832"/>
      <c r="E292" s="833"/>
      <c r="F292" s="831">
        <v>1</v>
      </c>
      <c r="G292" s="829">
        <v>1.5</v>
      </c>
      <c r="H292" s="832"/>
      <c r="I292" s="833" t="s">
        <v>360</v>
      </c>
    </row>
    <row r="293" spans="1:9">
      <c r="A293" s="818"/>
      <c r="B293" s="831"/>
      <c r="C293" s="829">
        <v>1.73</v>
      </c>
      <c r="D293" s="832"/>
      <c r="E293" s="833" t="s">
        <v>1995</v>
      </c>
      <c r="F293" s="831"/>
      <c r="G293" s="829">
        <v>1.73</v>
      </c>
      <c r="H293" s="832">
        <f>-F292*G293*G292</f>
        <v>-2.5949999999999998</v>
      </c>
      <c r="I293" s="833"/>
    </row>
    <row r="294" spans="1:9">
      <c r="A294" s="818"/>
      <c r="B294" s="831"/>
      <c r="C294" s="829"/>
      <c r="D294" s="832">
        <f>-B292*C292*C293</f>
        <v>-36.33</v>
      </c>
      <c r="E294" s="833"/>
      <c r="F294" s="831"/>
      <c r="G294" s="829"/>
      <c r="H294" s="832"/>
      <c r="I294" s="833"/>
    </row>
    <row r="295" spans="1:9">
      <c r="A295" s="818"/>
      <c r="B295" s="831">
        <v>5</v>
      </c>
      <c r="C295" s="829">
        <v>1.3</v>
      </c>
      <c r="D295" s="832"/>
      <c r="E295" s="833"/>
      <c r="F295" s="831">
        <v>1</v>
      </c>
      <c r="G295" s="829">
        <v>12.4</v>
      </c>
      <c r="H295" s="832"/>
      <c r="I295" s="833" t="s">
        <v>2000</v>
      </c>
    </row>
    <row r="296" spans="1:9">
      <c r="A296" s="818"/>
      <c r="B296" s="831"/>
      <c r="C296" s="829">
        <v>1.73</v>
      </c>
      <c r="D296" s="832"/>
      <c r="E296" s="833" t="s">
        <v>1996</v>
      </c>
      <c r="F296" s="831"/>
      <c r="G296" s="829">
        <v>3.06</v>
      </c>
      <c r="H296" s="832">
        <f>F295*G295*G296</f>
        <v>37.944000000000003</v>
      </c>
      <c r="I296" s="833" t="s">
        <v>2001</v>
      </c>
    </row>
    <row r="297" spans="1:9">
      <c r="A297" s="818"/>
      <c r="B297" s="831"/>
      <c r="C297" s="829"/>
      <c r="D297" s="832">
        <f>-B295*C295*C296</f>
        <v>-11.244999999999999</v>
      </c>
      <c r="E297" s="833"/>
      <c r="F297" s="831"/>
      <c r="G297" s="829"/>
      <c r="H297" s="832"/>
      <c r="I297" s="833"/>
    </row>
    <row r="298" spans="1:9">
      <c r="A298" s="818"/>
      <c r="B298" s="831">
        <v>1</v>
      </c>
      <c r="C298" s="829">
        <v>1.69</v>
      </c>
      <c r="D298" s="832"/>
      <c r="E298" s="833"/>
      <c r="F298" s="831">
        <v>1</v>
      </c>
      <c r="G298" s="829">
        <v>0.9</v>
      </c>
      <c r="H298" s="832"/>
      <c r="I298" s="833" t="s">
        <v>72</v>
      </c>
    </row>
    <row r="299" spans="1:9">
      <c r="A299" s="818"/>
      <c r="B299" s="831"/>
      <c r="C299" s="829">
        <v>0.6</v>
      </c>
      <c r="D299" s="832"/>
      <c r="E299" s="833" t="s">
        <v>74</v>
      </c>
      <c r="F299" s="831"/>
      <c r="G299" s="829">
        <v>2.73</v>
      </c>
      <c r="H299" s="832">
        <f>-F298*G298*G299</f>
        <v>-2.4569999999999999</v>
      </c>
      <c r="I299" s="833"/>
    </row>
    <row r="300" spans="1:9">
      <c r="A300" s="818"/>
      <c r="B300" s="831"/>
      <c r="C300" s="829"/>
      <c r="D300" s="832">
        <f>-B298*C298*C299</f>
        <v>-1.014</v>
      </c>
      <c r="E300" s="833"/>
      <c r="F300" s="831"/>
      <c r="G300" s="829"/>
      <c r="H300" s="832"/>
      <c r="I300" s="833"/>
    </row>
    <row r="301" spans="1:9">
      <c r="A301" s="818"/>
      <c r="B301" s="831">
        <v>1</v>
      </c>
      <c r="C301" s="829">
        <v>1.25</v>
      </c>
      <c r="D301" s="832"/>
      <c r="E301" s="833"/>
      <c r="F301" s="831">
        <v>1</v>
      </c>
      <c r="G301" s="829">
        <v>1.3</v>
      </c>
      <c r="H301" s="832"/>
      <c r="I301" s="833" t="s">
        <v>355</v>
      </c>
    </row>
    <row r="302" spans="1:9">
      <c r="A302" s="818"/>
      <c r="B302" s="831"/>
      <c r="C302" s="829">
        <v>0.6</v>
      </c>
      <c r="D302" s="832"/>
      <c r="E302" s="833" t="s">
        <v>353</v>
      </c>
      <c r="F302" s="831"/>
      <c r="G302" s="829">
        <v>1.73</v>
      </c>
      <c r="H302" s="832">
        <f>-F301*G302*G301</f>
        <v>-2.2490000000000001</v>
      </c>
      <c r="I302" s="833"/>
    </row>
    <row r="303" spans="1:9">
      <c r="A303" s="818"/>
      <c r="B303" s="831"/>
      <c r="C303" s="829"/>
      <c r="D303" s="832">
        <f>-B301*C301*C302</f>
        <v>-0.75</v>
      </c>
      <c r="E303" s="833"/>
      <c r="F303" s="831"/>
      <c r="G303" s="829"/>
      <c r="H303" s="832"/>
      <c r="I303" s="833" t="s">
        <v>2004</v>
      </c>
    </row>
    <row r="304" spans="1:9">
      <c r="A304" s="818"/>
      <c r="B304" s="831">
        <v>1</v>
      </c>
      <c r="C304" s="829">
        <v>1.8</v>
      </c>
      <c r="D304" s="832"/>
      <c r="E304" s="833"/>
      <c r="F304" s="831">
        <v>3</v>
      </c>
      <c r="G304" s="829">
        <v>13.6</v>
      </c>
      <c r="H304" s="832"/>
      <c r="I304" s="833" t="s">
        <v>2005</v>
      </c>
    </row>
    <row r="305" spans="1:10">
      <c r="A305" s="818"/>
      <c r="B305" s="831"/>
      <c r="C305" s="829">
        <v>0.6</v>
      </c>
      <c r="D305" s="832"/>
      <c r="E305" s="833" t="s">
        <v>1968</v>
      </c>
      <c r="F305" s="831"/>
      <c r="G305" s="829">
        <v>3.06</v>
      </c>
      <c r="H305" s="832">
        <f>F304*G305*G304</f>
        <v>124.848</v>
      </c>
      <c r="I305" s="833"/>
    </row>
    <row r="306" spans="1:10">
      <c r="A306" s="818"/>
      <c r="B306" s="831"/>
      <c r="C306" s="829"/>
      <c r="D306" s="832">
        <f>-B304*C304*C305</f>
        <v>-1.08</v>
      </c>
      <c r="E306" s="833"/>
      <c r="F306" s="831"/>
      <c r="G306" s="829"/>
      <c r="H306" s="832"/>
      <c r="I306" s="833"/>
    </row>
    <row r="307" spans="1:10">
      <c r="A307" s="818"/>
      <c r="B307" s="831">
        <v>1</v>
      </c>
      <c r="C307" s="829">
        <v>2.9</v>
      </c>
      <c r="D307" s="832"/>
      <c r="E307" s="833"/>
      <c r="F307" s="831">
        <v>3</v>
      </c>
      <c r="G307" s="829">
        <v>0.9</v>
      </c>
      <c r="H307" s="832"/>
      <c r="I307" s="833" t="s">
        <v>347</v>
      </c>
    </row>
    <row r="308" spans="1:10">
      <c r="A308" s="818"/>
      <c r="B308" s="831"/>
      <c r="C308" s="829">
        <v>0.6</v>
      </c>
      <c r="D308" s="832"/>
      <c r="E308" s="833" t="s">
        <v>1969</v>
      </c>
      <c r="F308" s="831"/>
      <c r="G308" s="829">
        <v>2.73</v>
      </c>
      <c r="H308" s="832">
        <f t="shared" ref="H308:H311" si="1">-F307*G308*G307</f>
        <v>-7.3709999999999996</v>
      </c>
      <c r="I308" s="833"/>
    </row>
    <row r="309" spans="1:10">
      <c r="A309" s="818"/>
      <c r="B309" s="831"/>
      <c r="C309" s="829"/>
      <c r="D309" s="832">
        <f>-B307*C307*C308</f>
        <v>-1.74</v>
      </c>
      <c r="E309" s="833"/>
      <c r="F309" s="831"/>
      <c r="G309" s="829"/>
      <c r="H309" s="832"/>
      <c r="I309" s="833"/>
      <c r="J309" s="818"/>
    </row>
    <row r="310" spans="1:10">
      <c r="A310" s="818"/>
      <c r="B310" s="831">
        <v>2</v>
      </c>
      <c r="C310" s="829">
        <v>1.4</v>
      </c>
      <c r="D310" s="832"/>
      <c r="E310" s="833"/>
      <c r="F310" s="831">
        <v>3</v>
      </c>
      <c r="G310" s="829">
        <v>1.5</v>
      </c>
      <c r="H310" s="832"/>
      <c r="I310" s="833" t="s">
        <v>360</v>
      </c>
      <c r="J310" s="818"/>
    </row>
    <row r="311" spans="1:10">
      <c r="A311" s="818"/>
      <c r="B311" s="831"/>
      <c r="C311" s="829">
        <v>2.73</v>
      </c>
      <c r="D311" s="832"/>
      <c r="E311" s="833" t="s">
        <v>351</v>
      </c>
      <c r="F311" s="831"/>
      <c r="G311" s="829">
        <v>1.73</v>
      </c>
      <c r="H311" s="832">
        <f t="shared" si="1"/>
        <v>-7.7849999999999993</v>
      </c>
      <c r="I311" s="833"/>
      <c r="J311" s="818"/>
    </row>
    <row r="312" spans="1:10">
      <c r="A312" s="818"/>
      <c r="B312" s="831"/>
      <c r="C312" s="829"/>
      <c r="D312" s="832">
        <f>-B310*C310*C311</f>
        <v>-7.6439999999999992</v>
      </c>
      <c r="E312" s="833"/>
      <c r="F312" s="831"/>
      <c r="G312" s="829"/>
      <c r="H312" s="832"/>
      <c r="I312" s="833"/>
      <c r="J312" s="818"/>
    </row>
    <row r="313" spans="1:10">
      <c r="A313" s="818"/>
      <c r="B313" s="831"/>
      <c r="C313" s="829"/>
      <c r="D313" s="832"/>
      <c r="E313" s="833"/>
      <c r="F313" s="831">
        <v>1</v>
      </c>
      <c r="G313" s="829">
        <v>12.06</v>
      </c>
      <c r="H313" s="832"/>
      <c r="I313" s="833" t="s">
        <v>183</v>
      </c>
      <c r="J313" s="818"/>
    </row>
    <row r="314" spans="1:10">
      <c r="A314" s="818"/>
      <c r="B314" s="839"/>
      <c r="C314" s="839"/>
      <c r="D314" s="838">
        <f>SUM(D287:D312)+SUM(H281:H283)</f>
        <v>211.64959999999999</v>
      </c>
      <c r="E314" s="845" t="s">
        <v>2182</v>
      </c>
      <c r="F314" s="831"/>
      <c r="G314" s="829">
        <v>3.06</v>
      </c>
      <c r="H314" s="832">
        <f>F313*G314*G313</f>
        <v>36.903600000000004</v>
      </c>
      <c r="I314" s="833" t="s">
        <v>2009</v>
      </c>
      <c r="J314" s="818"/>
    </row>
    <row r="315" spans="1:10">
      <c r="A315" s="818"/>
      <c r="B315" s="831"/>
      <c r="C315" s="829"/>
      <c r="D315" s="832"/>
      <c r="E315" s="833"/>
      <c r="F315" s="831"/>
      <c r="G315" s="829"/>
      <c r="H315" s="832"/>
      <c r="I315" s="833"/>
      <c r="J315" s="818"/>
    </row>
    <row r="316" spans="1:10">
      <c r="A316" s="818"/>
      <c r="B316" s="831"/>
      <c r="C316" s="829"/>
      <c r="D316" s="832"/>
      <c r="E316" s="844" t="s">
        <v>358</v>
      </c>
      <c r="F316" s="831">
        <v>1</v>
      </c>
      <c r="G316" s="829">
        <v>0.8</v>
      </c>
      <c r="H316" s="832"/>
      <c r="I316" s="833" t="s">
        <v>363</v>
      </c>
      <c r="J316" s="818"/>
    </row>
    <row r="317" spans="1:10">
      <c r="A317" s="818"/>
      <c r="B317" s="831"/>
      <c r="C317" s="829"/>
      <c r="D317" s="832"/>
      <c r="E317" s="844" t="s">
        <v>2141</v>
      </c>
      <c r="F317" s="831"/>
      <c r="G317" s="829">
        <v>2.73</v>
      </c>
      <c r="H317" s="832">
        <f>-F316*G317*G316</f>
        <v>-2.1840000000000002</v>
      </c>
      <c r="I317" s="833"/>
      <c r="J317" s="818"/>
    </row>
    <row r="318" spans="1:10">
      <c r="A318" s="818"/>
      <c r="B318" s="831">
        <v>1</v>
      </c>
      <c r="C318" s="829">
        <v>17.239999999999998</v>
      </c>
      <c r="D318" s="832"/>
      <c r="E318" s="833" t="s">
        <v>1991</v>
      </c>
      <c r="F318" s="831"/>
      <c r="G318" s="829"/>
      <c r="H318" s="832"/>
      <c r="I318" s="833"/>
      <c r="J318" s="818"/>
    </row>
    <row r="319" spans="1:10">
      <c r="A319" s="818"/>
      <c r="B319" s="831"/>
      <c r="C319" s="829">
        <v>2.73</v>
      </c>
      <c r="D319" s="832">
        <f>B318*C318*C319</f>
        <v>47.065199999999997</v>
      </c>
      <c r="E319" s="833" t="s">
        <v>1992</v>
      </c>
      <c r="F319" s="831">
        <v>1</v>
      </c>
      <c r="G319" s="829">
        <v>1.8</v>
      </c>
      <c r="H319" s="832"/>
      <c r="I319" s="833" t="s">
        <v>2010</v>
      </c>
      <c r="J319" s="818"/>
    </row>
    <row r="320" spans="1:10">
      <c r="A320" s="818"/>
      <c r="B320" s="831"/>
      <c r="C320" s="829"/>
      <c r="D320" s="832"/>
      <c r="E320" s="833"/>
      <c r="F320" s="831"/>
      <c r="G320" s="829">
        <v>1.73</v>
      </c>
      <c r="H320" s="832">
        <f>-F319*G320*G319</f>
        <v>-3.1139999999999999</v>
      </c>
      <c r="I320" s="833"/>
      <c r="J320" s="818"/>
    </row>
    <row r="321" spans="1:10">
      <c r="A321" s="818"/>
      <c r="B321" s="831">
        <v>1</v>
      </c>
      <c r="C321" s="829">
        <v>0.9</v>
      </c>
      <c r="D321" s="832"/>
      <c r="E321" s="833" t="s">
        <v>347</v>
      </c>
      <c r="F321" s="831"/>
      <c r="G321" s="829"/>
      <c r="H321" s="832"/>
      <c r="I321" s="833"/>
      <c r="J321" s="818"/>
    </row>
    <row r="322" spans="1:10">
      <c r="A322" s="818"/>
      <c r="B322" s="831"/>
      <c r="C322" s="829">
        <v>2.73</v>
      </c>
      <c r="D322" s="832">
        <f>-B321*C322*C321</f>
        <v>-2.4569999999999999</v>
      </c>
      <c r="E322" s="833"/>
      <c r="F322" s="831">
        <v>2</v>
      </c>
      <c r="G322" s="829">
        <v>5.2</v>
      </c>
      <c r="H322" s="832"/>
      <c r="I322" s="833" t="s">
        <v>84</v>
      </c>
      <c r="J322" s="818"/>
    </row>
    <row r="323" spans="1:10">
      <c r="A323" s="818"/>
      <c r="B323" s="831"/>
      <c r="C323" s="829"/>
      <c r="D323" s="832"/>
      <c r="E323" s="833"/>
      <c r="F323" s="831"/>
      <c r="G323" s="829">
        <v>3.06</v>
      </c>
      <c r="H323" s="832">
        <f>F322*G323*G322</f>
        <v>31.824000000000002</v>
      </c>
      <c r="I323" s="833" t="s">
        <v>2012</v>
      </c>
      <c r="J323" s="818"/>
    </row>
    <row r="324" spans="1:10">
      <c r="A324" s="818"/>
      <c r="B324" s="831">
        <v>2</v>
      </c>
      <c r="C324" s="829">
        <v>1.3</v>
      </c>
      <c r="D324" s="832"/>
      <c r="E324" s="833" t="s">
        <v>355</v>
      </c>
      <c r="F324" s="831"/>
      <c r="G324" s="829"/>
      <c r="H324" s="832"/>
      <c r="I324" s="833"/>
      <c r="J324" s="818"/>
    </row>
    <row r="325" spans="1:10">
      <c r="A325" s="818"/>
      <c r="B325" s="831"/>
      <c r="C325" s="829">
        <v>1.73</v>
      </c>
      <c r="D325" s="832">
        <f>-B324*C325*C324</f>
        <v>-4.4980000000000002</v>
      </c>
      <c r="E325" s="833"/>
      <c r="F325" s="831">
        <v>2</v>
      </c>
      <c r="G325" s="829">
        <v>0.8</v>
      </c>
      <c r="H325" s="832"/>
      <c r="I325" s="833" t="s">
        <v>99</v>
      </c>
      <c r="J325" s="818"/>
    </row>
    <row r="326" spans="1:10">
      <c r="A326" s="818"/>
      <c r="B326" s="831"/>
      <c r="C326" s="829"/>
      <c r="D326" s="832"/>
      <c r="E326" s="833"/>
      <c r="F326" s="831"/>
      <c r="G326" s="829">
        <v>2.73</v>
      </c>
      <c r="H326" s="832">
        <f>-F325*G326*G325</f>
        <v>-4.3680000000000003</v>
      </c>
      <c r="I326" s="833"/>
      <c r="J326" s="818"/>
    </row>
    <row r="327" spans="1:10">
      <c r="A327" s="818"/>
      <c r="B327" s="831">
        <v>1</v>
      </c>
      <c r="C327" s="829">
        <v>14.1</v>
      </c>
      <c r="D327" s="832"/>
      <c r="E327" s="833" t="s">
        <v>1993</v>
      </c>
      <c r="F327" s="831"/>
      <c r="G327" s="829"/>
      <c r="H327" s="832"/>
      <c r="I327" s="833"/>
      <c r="J327" s="818"/>
    </row>
    <row r="328" spans="1:10">
      <c r="A328" s="818"/>
      <c r="B328" s="831"/>
      <c r="C328" s="829">
        <v>3.06</v>
      </c>
      <c r="D328" s="832">
        <f>B327*C327*C328</f>
        <v>43.146000000000001</v>
      </c>
      <c r="E328" s="833" t="s">
        <v>1994</v>
      </c>
      <c r="F328" s="831">
        <v>2</v>
      </c>
      <c r="G328" s="829">
        <v>0.9</v>
      </c>
      <c r="H328" s="832"/>
      <c r="I328" s="833" t="s">
        <v>98</v>
      </c>
      <c r="J328" s="818"/>
    </row>
    <row r="329" spans="1:10">
      <c r="A329" s="818"/>
      <c r="B329" s="831"/>
      <c r="C329" s="829"/>
      <c r="D329" s="832"/>
      <c r="E329" s="833"/>
      <c r="F329" s="831"/>
      <c r="G329" s="829">
        <v>2.73</v>
      </c>
      <c r="H329" s="832">
        <f>-F328*G329*G328</f>
        <v>-4.9139999999999997</v>
      </c>
      <c r="I329" s="833"/>
      <c r="J329" s="818"/>
    </row>
    <row r="330" spans="1:10">
      <c r="A330" s="818"/>
      <c r="B330" s="831">
        <v>1</v>
      </c>
      <c r="C330" s="829">
        <v>0.9</v>
      </c>
      <c r="D330" s="832"/>
      <c r="E330" s="833" t="s">
        <v>72</v>
      </c>
      <c r="F330" s="435"/>
      <c r="G330" s="435"/>
      <c r="H330" s="435"/>
      <c r="I330" s="435"/>
      <c r="J330" s="818"/>
    </row>
    <row r="331" spans="1:10">
      <c r="A331" s="818"/>
      <c r="B331" s="831"/>
      <c r="C331" s="829">
        <v>2.73</v>
      </c>
      <c r="D331" s="832">
        <f>-B330*C331*C330</f>
        <v>-2.4569999999999999</v>
      </c>
      <c r="E331" s="833"/>
      <c r="F331" s="831">
        <v>2</v>
      </c>
      <c r="G331" s="829">
        <v>8.2799999999999994</v>
      </c>
      <c r="H331" s="832"/>
      <c r="I331" s="833" t="s">
        <v>2015</v>
      </c>
      <c r="J331" s="818"/>
    </row>
    <row r="332" spans="1:10">
      <c r="A332" s="818"/>
      <c r="B332" s="831"/>
      <c r="C332" s="829"/>
      <c r="D332" s="832"/>
      <c r="E332" s="833"/>
      <c r="F332" s="831"/>
      <c r="G332" s="829">
        <v>1.73</v>
      </c>
      <c r="H332" s="832">
        <f>F331*G332*G331</f>
        <v>28.648799999999998</v>
      </c>
      <c r="I332" s="833"/>
      <c r="J332" s="818"/>
    </row>
    <row r="333" spans="1:10">
      <c r="A333" s="818"/>
      <c r="B333" s="831">
        <v>1</v>
      </c>
      <c r="C333" s="829">
        <v>1.5</v>
      </c>
      <c r="D333" s="832"/>
      <c r="E333" s="833" t="s">
        <v>360</v>
      </c>
      <c r="F333" s="831"/>
      <c r="G333" s="829"/>
      <c r="H333" s="832"/>
      <c r="I333" s="833"/>
      <c r="J333" s="818"/>
    </row>
    <row r="334" spans="1:10">
      <c r="A334" s="818"/>
      <c r="B334" s="831"/>
      <c r="C334" s="829">
        <v>1.73</v>
      </c>
      <c r="D334" s="832">
        <f>-B333*C334*C333</f>
        <v>-2.5949999999999998</v>
      </c>
      <c r="E334" s="833"/>
      <c r="F334" s="831">
        <v>2</v>
      </c>
      <c r="G334" s="829">
        <v>0.8</v>
      </c>
      <c r="H334" s="832"/>
      <c r="I334" s="833" t="s">
        <v>99</v>
      </c>
      <c r="J334" s="818"/>
    </row>
    <row r="335" spans="1:10">
      <c r="A335" s="818"/>
      <c r="B335" s="831"/>
      <c r="C335" s="829"/>
      <c r="D335" s="832"/>
      <c r="E335" s="833"/>
      <c r="F335" s="831"/>
      <c r="G335" s="829">
        <v>1.1299999999999999</v>
      </c>
      <c r="H335" s="832">
        <f>-F334*G335*G334</f>
        <v>-1.8079999999999998</v>
      </c>
      <c r="I335" s="833"/>
      <c r="J335" s="818"/>
    </row>
    <row r="336" spans="1:10">
      <c r="A336" s="818"/>
      <c r="B336" s="831">
        <v>1</v>
      </c>
      <c r="C336" s="829">
        <v>14.1</v>
      </c>
      <c r="D336" s="832"/>
      <c r="E336" s="833" t="s">
        <v>1997</v>
      </c>
      <c r="F336" s="831"/>
      <c r="G336" s="829"/>
      <c r="H336" s="832"/>
      <c r="I336" s="833"/>
      <c r="J336" s="818"/>
    </row>
    <row r="337" spans="1:10">
      <c r="A337" s="818"/>
      <c r="B337" s="831"/>
      <c r="C337" s="829">
        <v>3.06</v>
      </c>
      <c r="D337" s="832">
        <f>B336*C336*C337</f>
        <v>43.146000000000001</v>
      </c>
      <c r="E337" s="833" t="s">
        <v>1994</v>
      </c>
      <c r="F337" s="831">
        <v>4</v>
      </c>
      <c r="G337" s="829">
        <v>0.7</v>
      </c>
      <c r="H337" s="832"/>
      <c r="I337" s="833" t="s">
        <v>361</v>
      </c>
      <c r="J337" s="818"/>
    </row>
    <row r="338" spans="1:10">
      <c r="A338" s="818"/>
      <c r="B338" s="831"/>
      <c r="C338" s="829"/>
      <c r="D338" s="832"/>
      <c r="E338" s="833"/>
      <c r="F338" s="831"/>
      <c r="G338" s="829">
        <v>1.1299999999999999</v>
      </c>
      <c r="H338" s="832">
        <f>-F337*G338*G337</f>
        <v>-3.1639999999999997</v>
      </c>
      <c r="I338" s="833"/>
      <c r="J338" s="818"/>
    </row>
    <row r="339" spans="1:10">
      <c r="A339" s="818"/>
      <c r="B339" s="831">
        <v>1</v>
      </c>
      <c r="C339" s="829">
        <v>0.9</v>
      </c>
      <c r="D339" s="832"/>
      <c r="E339" s="833" t="s">
        <v>72</v>
      </c>
      <c r="F339" s="831"/>
      <c r="G339" s="829"/>
      <c r="H339" s="832"/>
      <c r="I339" s="833"/>
      <c r="J339" s="818"/>
    </row>
    <row r="340" spans="1:10">
      <c r="A340" s="818"/>
      <c r="B340" s="831"/>
      <c r="C340" s="829">
        <v>2.73</v>
      </c>
      <c r="D340" s="832">
        <f>-B339*C340*C339</f>
        <v>-2.4569999999999999</v>
      </c>
      <c r="E340" s="833"/>
      <c r="F340" s="831">
        <v>2</v>
      </c>
      <c r="G340" s="829">
        <v>1</v>
      </c>
      <c r="H340" s="832"/>
      <c r="I340" s="833" t="s">
        <v>2017</v>
      </c>
      <c r="J340" s="818"/>
    </row>
    <row r="341" spans="1:10">
      <c r="A341" s="818"/>
      <c r="B341" s="435"/>
      <c r="C341" s="435"/>
      <c r="D341" s="435"/>
      <c r="E341" s="435"/>
      <c r="F341" s="831"/>
      <c r="G341" s="829">
        <v>0.6</v>
      </c>
      <c r="H341" s="832">
        <f>-F340*G341*G340</f>
        <v>-1.2</v>
      </c>
      <c r="I341" s="833"/>
      <c r="J341" s="818"/>
    </row>
    <row r="342" spans="1:10">
      <c r="A342" s="818"/>
      <c r="B342" s="831">
        <v>1</v>
      </c>
      <c r="C342" s="829">
        <v>1.5</v>
      </c>
      <c r="D342" s="832"/>
      <c r="E342" s="833" t="s">
        <v>360</v>
      </c>
      <c r="F342" s="831"/>
      <c r="G342" s="829"/>
      <c r="H342" s="832"/>
      <c r="I342" s="833"/>
      <c r="J342" s="818"/>
    </row>
    <row r="343" spans="1:10" ht="16.5" customHeight="1">
      <c r="A343" s="818"/>
      <c r="B343" s="831"/>
      <c r="C343" s="829">
        <v>1.73</v>
      </c>
      <c r="D343" s="832">
        <f>-B342*C343*C342</f>
        <v>-2.5949999999999998</v>
      </c>
      <c r="E343" s="833"/>
      <c r="F343" s="831">
        <v>1</v>
      </c>
      <c r="G343" s="829">
        <v>27.6</v>
      </c>
      <c r="H343" s="832"/>
      <c r="I343" s="833" t="s">
        <v>2002</v>
      </c>
      <c r="J343" s="818"/>
    </row>
    <row r="344" spans="1:10" ht="16.5" customHeight="1">
      <c r="A344" s="818"/>
      <c r="B344" s="849"/>
      <c r="C344" s="850"/>
      <c r="D344" s="851"/>
      <c r="E344" s="852"/>
      <c r="F344" s="849"/>
      <c r="G344" s="850">
        <v>1.73</v>
      </c>
      <c r="H344" s="851">
        <f>F343*G344*G343</f>
        <v>47.748000000000005</v>
      </c>
      <c r="I344" s="852" t="s">
        <v>2003</v>
      </c>
      <c r="J344" s="818"/>
    </row>
    <row r="345" spans="1:10">
      <c r="A345" s="818"/>
      <c r="B345" s="853" t="s">
        <v>1884</v>
      </c>
      <c r="C345" s="854" t="s">
        <v>526</v>
      </c>
      <c r="D345" s="855" t="s">
        <v>1885</v>
      </c>
      <c r="E345" s="854" t="s">
        <v>1886</v>
      </c>
      <c r="F345" s="853" t="s">
        <v>1884</v>
      </c>
      <c r="G345" s="855" t="s">
        <v>526</v>
      </c>
      <c r="H345" s="856" t="s">
        <v>1885</v>
      </c>
      <c r="I345" s="854" t="s">
        <v>1886</v>
      </c>
    </row>
    <row r="346" spans="1:10">
      <c r="A346" s="818"/>
      <c r="B346" s="831">
        <v>4</v>
      </c>
      <c r="C346" s="829">
        <v>0.7</v>
      </c>
      <c r="D346" s="832"/>
      <c r="E346" s="833" t="s">
        <v>361</v>
      </c>
      <c r="F346" s="831">
        <v>1</v>
      </c>
      <c r="G346" s="829">
        <v>1.3</v>
      </c>
      <c r="H346" s="832"/>
      <c r="I346" s="833" t="s">
        <v>365</v>
      </c>
    </row>
    <row r="347" spans="1:10">
      <c r="A347" s="818"/>
      <c r="B347" s="831"/>
      <c r="C347" s="829">
        <v>1.1299999999999999</v>
      </c>
      <c r="D347" s="832">
        <f>-B346*C347*C346</f>
        <v>-3.1639999999999997</v>
      </c>
      <c r="E347" s="833"/>
      <c r="F347" s="831"/>
      <c r="G347" s="829">
        <v>1.73</v>
      </c>
      <c r="H347" s="832">
        <f>-F346*G347*G346</f>
        <v>-2.2490000000000001</v>
      </c>
      <c r="I347" s="833"/>
    </row>
    <row r="348" spans="1:10">
      <c r="A348" s="818"/>
      <c r="B348" s="831"/>
      <c r="C348" s="829"/>
      <c r="D348" s="832"/>
      <c r="E348" s="833"/>
      <c r="F348" s="831"/>
      <c r="G348" s="829"/>
      <c r="H348" s="832"/>
      <c r="I348" s="833"/>
    </row>
    <row r="349" spans="1:10">
      <c r="A349" s="818"/>
      <c r="B349" s="831">
        <v>1</v>
      </c>
      <c r="C349" s="829">
        <v>2.9</v>
      </c>
      <c r="D349" s="832"/>
      <c r="E349" s="833" t="s">
        <v>2006</v>
      </c>
      <c r="F349" s="831">
        <v>1</v>
      </c>
      <c r="G349" s="829">
        <v>16</v>
      </c>
      <c r="H349" s="832"/>
      <c r="I349" s="833" t="s">
        <v>2025</v>
      </c>
      <c r="J349" s="818"/>
    </row>
    <row r="350" spans="1:10">
      <c r="A350" s="818"/>
      <c r="B350" s="831"/>
      <c r="C350" s="829">
        <v>0.6</v>
      </c>
      <c r="D350" s="832">
        <f>-B349*C350*C349</f>
        <v>-1.74</v>
      </c>
      <c r="E350" s="833"/>
      <c r="F350" s="831"/>
      <c r="G350" s="829">
        <v>3.06</v>
      </c>
      <c r="H350" s="832">
        <f>F349*G350*G349</f>
        <v>48.96</v>
      </c>
      <c r="I350" s="833" t="s">
        <v>2026</v>
      </c>
      <c r="J350" s="818"/>
    </row>
    <row r="351" spans="1:10">
      <c r="A351" s="818"/>
      <c r="B351" s="831"/>
      <c r="C351" s="829"/>
      <c r="D351" s="832"/>
      <c r="E351" s="833"/>
      <c r="F351" s="831"/>
      <c r="G351" s="829"/>
      <c r="H351" s="832"/>
      <c r="I351" s="833"/>
      <c r="J351" s="818"/>
    </row>
    <row r="352" spans="1:10">
      <c r="A352" s="818"/>
      <c r="B352" s="831">
        <v>1</v>
      </c>
      <c r="C352" s="829">
        <v>1.25</v>
      </c>
      <c r="D352" s="832"/>
      <c r="E352" s="833" t="s">
        <v>362</v>
      </c>
      <c r="F352" s="831">
        <v>1</v>
      </c>
      <c r="G352" s="829">
        <v>0.8</v>
      </c>
      <c r="H352" s="832"/>
      <c r="I352" s="833" t="s">
        <v>363</v>
      </c>
      <c r="J352" s="818"/>
    </row>
    <row r="353" spans="1:10">
      <c r="A353" s="818"/>
      <c r="B353" s="831"/>
      <c r="C353" s="829">
        <v>0.6</v>
      </c>
      <c r="D353" s="832">
        <f>-B352*C353*C352</f>
        <v>-0.75</v>
      </c>
      <c r="E353" s="833"/>
      <c r="F353" s="831"/>
      <c r="G353" s="829">
        <v>2.73</v>
      </c>
      <c r="H353" s="832">
        <f>-F352*G353*G352</f>
        <v>-2.1840000000000002</v>
      </c>
      <c r="I353" s="833"/>
      <c r="J353" s="818"/>
    </row>
    <row r="354" spans="1:10">
      <c r="A354" s="818"/>
      <c r="B354" s="831"/>
      <c r="C354" s="829"/>
      <c r="D354" s="832"/>
      <c r="E354" s="833" t="s">
        <v>2007</v>
      </c>
      <c r="F354" s="831"/>
      <c r="G354" s="829"/>
      <c r="H354" s="832"/>
      <c r="I354" s="833"/>
      <c r="J354" s="818"/>
    </row>
    <row r="355" spans="1:10">
      <c r="A355" s="818"/>
      <c r="B355" s="831">
        <v>1</v>
      </c>
      <c r="C355" s="829">
        <v>9.1999999999999993</v>
      </c>
      <c r="D355" s="832"/>
      <c r="E355" s="833" t="s">
        <v>2008</v>
      </c>
      <c r="F355" s="831">
        <v>1</v>
      </c>
      <c r="G355" s="829">
        <v>0.7</v>
      </c>
      <c r="H355" s="832"/>
      <c r="I355" s="833" t="s">
        <v>51</v>
      </c>
      <c r="J355" s="818"/>
    </row>
    <row r="356" spans="1:10">
      <c r="A356" s="818"/>
      <c r="B356" s="831"/>
      <c r="C356" s="829">
        <v>1.73</v>
      </c>
      <c r="D356" s="832">
        <f>B355*C356*C355</f>
        <v>15.915999999999999</v>
      </c>
      <c r="E356" s="833"/>
      <c r="F356" s="831"/>
      <c r="G356" s="829">
        <v>2.73</v>
      </c>
      <c r="H356" s="832">
        <f>-F355*G356*G355</f>
        <v>-1.9109999999999998</v>
      </c>
      <c r="I356" s="833"/>
      <c r="J356" s="818"/>
    </row>
    <row r="357" spans="1:10">
      <c r="A357" s="818"/>
      <c r="B357" s="831"/>
      <c r="C357" s="829"/>
      <c r="D357" s="832"/>
      <c r="E357" s="833"/>
      <c r="F357" s="831"/>
      <c r="G357" s="829"/>
      <c r="H357" s="832"/>
      <c r="I357" s="833"/>
      <c r="J357" s="818"/>
    </row>
    <row r="358" spans="1:10">
      <c r="A358" s="818"/>
      <c r="B358" s="831">
        <v>1</v>
      </c>
      <c r="C358" s="829">
        <v>1</v>
      </c>
      <c r="D358" s="832"/>
      <c r="E358" s="833" t="s">
        <v>356</v>
      </c>
      <c r="F358" s="831">
        <v>1</v>
      </c>
      <c r="G358" s="829">
        <v>1.2</v>
      </c>
      <c r="H358" s="832"/>
      <c r="I358" s="833" t="s">
        <v>170</v>
      </c>
      <c r="J358" s="818"/>
    </row>
    <row r="359" spans="1:10">
      <c r="A359" s="818"/>
      <c r="B359" s="831"/>
      <c r="C359" s="829">
        <v>1.1299999999999999</v>
      </c>
      <c r="D359" s="832">
        <f>-B358*C359*C358</f>
        <v>-1.1299999999999999</v>
      </c>
      <c r="E359" s="833"/>
      <c r="F359" s="831"/>
      <c r="G359" s="829">
        <v>2.73</v>
      </c>
      <c r="H359" s="832">
        <f>-F358*G359*G358</f>
        <v>-3.2759999999999998</v>
      </c>
      <c r="I359" s="833"/>
      <c r="J359" s="818"/>
    </row>
    <row r="360" spans="1:10">
      <c r="A360" s="818"/>
      <c r="B360" s="831"/>
      <c r="C360" s="829"/>
      <c r="D360" s="832"/>
      <c r="E360" s="833"/>
      <c r="F360" s="831"/>
      <c r="G360" s="829"/>
      <c r="H360" s="832"/>
      <c r="I360" s="833"/>
      <c r="J360" s="818"/>
    </row>
    <row r="361" spans="1:10">
      <c r="A361" s="818"/>
      <c r="B361" s="831">
        <v>1</v>
      </c>
      <c r="C361" s="829">
        <v>1.25</v>
      </c>
      <c r="D361" s="832"/>
      <c r="E361" s="833" t="s">
        <v>353</v>
      </c>
      <c r="F361" s="831">
        <v>1</v>
      </c>
      <c r="G361" s="829">
        <v>0.9</v>
      </c>
      <c r="H361" s="832"/>
      <c r="I361" s="833" t="s">
        <v>347</v>
      </c>
      <c r="J361" s="818"/>
    </row>
    <row r="362" spans="1:10">
      <c r="A362" s="818"/>
      <c r="B362" s="831"/>
      <c r="C362" s="829">
        <v>0.6</v>
      </c>
      <c r="D362" s="832">
        <f>-B361*C362*C361</f>
        <v>-0.75</v>
      </c>
      <c r="E362" s="833"/>
      <c r="F362" s="831"/>
      <c r="G362" s="829">
        <v>2.73</v>
      </c>
      <c r="H362" s="832">
        <f>-F361*G362*G361</f>
        <v>-2.4569999999999999</v>
      </c>
      <c r="I362" s="833"/>
      <c r="J362" s="818"/>
    </row>
    <row r="363" spans="1:10">
      <c r="A363" s="818"/>
      <c r="B363" s="831"/>
      <c r="C363" s="829"/>
      <c r="D363" s="832"/>
      <c r="E363" s="833"/>
      <c r="F363" s="831"/>
      <c r="G363" s="829"/>
      <c r="H363" s="832"/>
      <c r="I363" s="833"/>
      <c r="J363" s="818"/>
    </row>
    <row r="364" spans="1:10">
      <c r="A364" s="818"/>
      <c r="B364" s="831">
        <v>4</v>
      </c>
      <c r="C364" s="829">
        <v>0.6</v>
      </c>
      <c r="D364" s="832"/>
      <c r="E364" s="833" t="s">
        <v>2011</v>
      </c>
      <c r="F364" s="831">
        <v>1</v>
      </c>
      <c r="G364" s="829">
        <v>1.3</v>
      </c>
      <c r="H364" s="832"/>
      <c r="I364" s="833" t="s">
        <v>365</v>
      </c>
      <c r="J364" s="818"/>
    </row>
    <row r="365" spans="1:10">
      <c r="A365" s="818"/>
      <c r="B365" s="831"/>
      <c r="C365" s="829">
        <v>0.7</v>
      </c>
      <c r="D365" s="832">
        <f>B364*C365*C364</f>
        <v>1.68</v>
      </c>
      <c r="E365" s="833"/>
      <c r="F365" s="831"/>
      <c r="G365" s="829">
        <v>1.73</v>
      </c>
      <c r="H365" s="832">
        <f>-F364*G365*G364</f>
        <v>-2.2490000000000001</v>
      </c>
      <c r="I365" s="833"/>
      <c r="J365" s="818"/>
    </row>
    <row r="366" spans="1:10">
      <c r="A366" s="818"/>
      <c r="B366" s="831"/>
      <c r="C366" s="829"/>
      <c r="D366" s="832"/>
      <c r="E366" s="833"/>
      <c r="F366" s="831"/>
      <c r="G366" s="829"/>
      <c r="H366" s="832"/>
      <c r="I366" s="833"/>
      <c r="J366" s="818"/>
    </row>
    <row r="367" spans="1:10">
      <c r="A367" s="818"/>
      <c r="B367" s="831">
        <v>1</v>
      </c>
      <c r="C367" s="829">
        <v>75.2</v>
      </c>
      <c r="D367" s="832"/>
      <c r="E367" s="833" t="s">
        <v>160</v>
      </c>
      <c r="F367" s="831">
        <v>1</v>
      </c>
      <c r="G367" s="829">
        <v>18.739999999999998</v>
      </c>
      <c r="H367" s="832"/>
      <c r="I367" s="833" t="s">
        <v>2031</v>
      </c>
      <c r="J367" s="818"/>
    </row>
    <row r="368" spans="1:10">
      <c r="A368" s="818"/>
      <c r="B368" s="831"/>
      <c r="C368" s="829">
        <v>3.06</v>
      </c>
      <c r="D368" s="832">
        <f>B367*C367*C368</f>
        <v>230.11200000000002</v>
      </c>
      <c r="E368" s="833" t="s">
        <v>2013</v>
      </c>
      <c r="F368" s="831"/>
      <c r="G368" s="829">
        <v>3.06</v>
      </c>
      <c r="H368" s="832">
        <f>F367*G368*G367</f>
        <v>57.344399999999993</v>
      </c>
      <c r="I368" s="833" t="s">
        <v>2032</v>
      </c>
      <c r="J368" s="818"/>
    </row>
    <row r="369" spans="1:10">
      <c r="A369" s="818"/>
      <c r="B369" s="831"/>
      <c r="C369" s="829"/>
      <c r="D369" s="832"/>
      <c r="E369" s="833"/>
      <c r="F369" s="831"/>
      <c r="G369" s="829"/>
      <c r="H369" s="832"/>
      <c r="I369" s="833"/>
      <c r="J369" s="818"/>
    </row>
    <row r="370" spans="1:10">
      <c r="A370" s="818"/>
      <c r="B370" s="831">
        <v>15</v>
      </c>
      <c r="C370" s="829">
        <v>0.9</v>
      </c>
      <c r="D370" s="832"/>
      <c r="E370" s="833" t="s">
        <v>2014</v>
      </c>
      <c r="F370" s="831">
        <v>1</v>
      </c>
      <c r="G370" s="829">
        <v>0.8</v>
      </c>
      <c r="H370" s="832"/>
      <c r="I370" s="833" t="s">
        <v>363</v>
      </c>
      <c r="J370" s="818"/>
    </row>
    <row r="371" spans="1:10">
      <c r="A371" s="818"/>
      <c r="B371" s="831"/>
      <c r="C371" s="829">
        <v>2.73</v>
      </c>
      <c r="D371" s="832">
        <f>-B370*C370*C371</f>
        <v>-36.854999999999997</v>
      </c>
      <c r="E371" s="833"/>
      <c r="F371" s="831"/>
      <c r="G371" s="829">
        <v>2.73</v>
      </c>
      <c r="H371" s="832">
        <f>-F370*G371*G370</f>
        <v>-2.1840000000000002</v>
      </c>
      <c r="I371" s="833"/>
      <c r="J371" s="818"/>
    </row>
    <row r="372" spans="1:10">
      <c r="A372" s="818"/>
      <c r="B372" s="831"/>
      <c r="C372" s="829"/>
      <c r="D372" s="832"/>
      <c r="E372" s="833"/>
      <c r="F372" s="831"/>
      <c r="G372" s="829"/>
      <c r="H372" s="832"/>
      <c r="I372" s="833"/>
      <c r="J372" s="818"/>
    </row>
    <row r="373" spans="1:10">
      <c r="A373" s="818"/>
      <c r="B373" s="831">
        <v>2</v>
      </c>
      <c r="C373" s="829">
        <v>1.4</v>
      </c>
      <c r="D373" s="832"/>
      <c r="E373" s="833" t="s">
        <v>2016</v>
      </c>
      <c r="F373" s="831">
        <v>1</v>
      </c>
      <c r="G373" s="829">
        <v>0.9</v>
      </c>
      <c r="H373" s="832"/>
      <c r="I373" s="833" t="s">
        <v>347</v>
      </c>
      <c r="J373" s="818"/>
    </row>
    <row r="374" spans="1:10">
      <c r="A374" s="818"/>
      <c r="B374" s="831"/>
      <c r="C374" s="829">
        <v>2.73</v>
      </c>
      <c r="D374" s="832">
        <f>-B373*C374*C373</f>
        <v>-7.6439999999999992</v>
      </c>
      <c r="E374" s="833"/>
      <c r="F374" s="831"/>
      <c r="G374" s="829">
        <v>2.73</v>
      </c>
      <c r="H374" s="832">
        <f>-F373*G374*G373</f>
        <v>-2.4569999999999999</v>
      </c>
      <c r="I374" s="833"/>
      <c r="J374" s="818"/>
    </row>
    <row r="375" spans="1:10">
      <c r="A375" s="818"/>
      <c r="B375" s="831"/>
      <c r="C375" s="829"/>
      <c r="D375" s="832"/>
      <c r="E375" s="833"/>
      <c r="F375" s="831"/>
      <c r="G375" s="829"/>
      <c r="H375" s="832"/>
      <c r="I375" s="833"/>
      <c r="J375" s="818"/>
    </row>
    <row r="376" spans="1:10">
      <c r="A376" s="818"/>
      <c r="B376" s="831">
        <v>1</v>
      </c>
      <c r="C376" s="829">
        <v>1.2</v>
      </c>
      <c r="D376" s="832"/>
      <c r="E376" s="833" t="s">
        <v>170</v>
      </c>
      <c r="F376" s="831">
        <v>1</v>
      </c>
      <c r="G376" s="829">
        <v>1.5</v>
      </c>
      <c r="H376" s="832"/>
      <c r="I376" s="833" t="s">
        <v>360</v>
      </c>
      <c r="J376" s="818"/>
    </row>
    <row r="377" spans="1:10">
      <c r="A377" s="818"/>
      <c r="B377" s="831"/>
      <c r="C377" s="829">
        <v>2.73</v>
      </c>
      <c r="D377" s="832">
        <f>-B376*C377*C376</f>
        <v>-3.2759999999999998</v>
      </c>
      <c r="E377" s="833"/>
      <c r="F377" s="831"/>
      <c r="G377" s="829">
        <v>1.73</v>
      </c>
      <c r="H377" s="832">
        <f>-F376*G377*G376</f>
        <v>-2.5949999999999998</v>
      </c>
      <c r="I377" s="833"/>
      <c r="J377" s="818"/>
    </row>
    <row r="378" spans="1:10">
      <c r="A378" s="818"/>
      <c r="B378" s="831"/>
      <c r="C378" s="829"/>
      <c r="D378" s="832"/>
      <c r="E378" s="833"/>
      <c r="F378" s="831"/>
      <c r="G378" s="829"/>
      <c r="H378" s="832"/>
      <c r="I378" s="833"/>
      <c r="J378" s="818"/>
    </row>
    <row r="379" spans="1:10">
      <c r="A379" s="818"/>
      <c r="B379" s="831">
        <v>1</v>
      </c>
      <c r="C379" s="829">
        <v>1</v>
      </c>
      <c r="D379" s="832"/>
      <c r="E379" s="833" t="s">
        <v>356</v>
      </c>
      <c r="F379" s="831">
        <v>1</v>
      </c>
      <c r="G379" s="829">
        <v>15.2</v>
      </c>
      <c r="H379" s="832"/>
      <c r="I379" s="833" t="s">
        <v>2020</v>
      </c>
      <c r="J379" s="818"/>
    </row>
    <row r="380" spans="1:10">
      <c r="A380" s="818"/>
      <c r="B380" s="831"/>
      <c r="C380" s="829">
        <v>2.73</v>
      </c>
      <c r="D380" s="832">
        <f>-B379*C380*C379</f>
        <v>-2.73</v>
      </c>
      <c r="E380" s="833"/>
      <c r="F380" s="831"/>
      <c r="G380" s="829">
        <v>3.06</v>
      </c>
      <c r="H380" s="832">
        <f>F379*G380*G379</f>
        <v>46.512</v>
      </c>
      <c r="I380" s="833" t="s">
        <v>2021</v>
      </c>
      <c r="J380" s="818"/>
    </row>
    <row r="381" spans="1:10">
      <c r="A381" s="818"/>
      <c r="B381" s="831"/>
      <c r="C381" s="829"/>
      <c r="D381" s="832"/>
      <c r="E381" s="833"/>
      <c r="F381" s="831"/>
      <c r="G381" s="829"/>
      <c r="H381" s="832"/>
      <c r="I381" s="833"/>
      <c r="J381" s="818"/>
    </row>
    <row r="382" spans="1:10">
      <c r="A382" s="818"/>
      <c r="B382" s="831">
        <v>1</v>
      </c>
      <c r="C382" s="829">
        <v>2.2999999999999998</v>
      </c>
      <c r="D382" s="832"/>
      <c r="E382" s="833" t="s">
        <v>62</v>
      </c>
      <c r="F382" s="831">
        <v>1</v>
      </c>
      <c r="G382" s="829">
        <v>2.2999999999999998</v>
      </c>
      <c r="H382" s="832"/>
      <c r="I382" s="833" t="s">
        <v>62</v>
      </c>
      <c r="J382" s="818"/>
    </row>
    <row r="383" spans="1:10">
      <c r="A383" s="818"/>
      <c r="B383" s="831"/>
      <c r="C383" s="829">
        <v>2.73</v>
      </c>
      <c r="D383" s="832">
        <f>-B382*C383*C382</f>
        <v>-6.2789999999999999</v>
      </c>
      <c r="E383" s="833"/>
      <c r="F383" s="831"/>
      <c r="G383" s="829">
        <v>2.73</v>
      </c>
      <c r="H383" s="832">
        <f>-F382*G383*G382</f>
        <v>-6.2789999999999999</v>
      </c>
      <c r="I383" s="833"/>
      <c r="J383" s="818"/>
    </row>
    <row r="384" spans="1:10">
      <c r="A384" s="818"/>
      <c r="B384" s="435"/>
      <c r="C384" s="435"/>
      <c r="D384" s="435"/>
      <c r="E384" s="435"/>
      <c r="F384" s="435"/>
      <c r="G384" s="435"/>
      <c r="H384" s="435"/>
      <c r="I384" s="435"/>
      <c r="J384" s="818"/>
    </row>
    <row r="385" spans="1:10">
      <c r="A385" s="818"/>
      <c r="B385" s="831">
        <v>1</v>
      </c>
      <c r="C385" s="829">
        <v>9.4600000000000009</v>
      </c>
      <c r="D385" s="832"/>
      <c r="E385" s="833" t="s">
        <v>2018</v>
      </c>
      <c r="F385" s="831">
        <v>1</v>
      </c>
      <c r="G385" s="829">
        <v>1.5</v>
      </c>
      <c r="H385" s="832"/>
      <c r="I385" s="833" t="s">
        <v>360</v>
      </c>
      <c r="J385" s="818"/>
    </row>
    <row r="386" spans="1:10">
      <c r="A386" s="818"/>
      <c r="B386" s="831"/>
      <c r="C386" s="829">
        <v>3.06</v>
      </c>
      <c r="D386" s="832">
        <f>B385*C386*C385</f>
        <v>28.947600000000005</v>
      </c>
      <c r="E386" s="833" t="s">
        <v>2019</v>
      </c>
      <c r="F386" s="831"/>
      <c r="G386" s="829">
        <v>1.73</v>
      </c>
      <c r="H386" s="832">
        <f>-F385*G386*G385</f>
        <v>-2.5949999999999998</v>
      </c>
      <c r="I386" s="833"/>
      <c r="J386" s="818"/>
    </row>
    <row r="387" spans="1:10">
      <c r="A387" s="818"/>
      <c r="B387" s="831"/>
      <c r="C387" s="829"/>
      <c r="D387" s="832"/>
      <c r="E387" s="833"/>
      <c r="F387" s="831"/>
      <c r="G387" s="829"/>
      <c r="H387" s="832"/>
      <c r="I387" s="833"/>
      <c r="J387" s="818"/>
    </row>
    <row r="388" spans="1:10">
      <c r="A388" s="818"/>
      <c r="B388" s="831">
        <v>1</v>
      </c>
      <c r="C388" s="829">
        <v>0.9</v>
      </c>
      <c r="D388" s="832"/>
      <c r="E388" s="833" t="s">
        <v>72</v>
      </c>
      <c r="F388" s="831">
        <v>1</v>
      </c>
      <c r="G388" s="829">
        <v>17.5</v>
      </c>
      <c r="H388" s="832"/>
      <c r="I388" s="833" t="s">
        <v>2023</v>
      </c>
      <c r="J388" s="818"/>
    </row>
    <row r="389" spans="1:10">
      <c r="A389" s="818"/>
      <c r="B389" s="831"/>
      <c r="C389" s="829">
        <v>2.73</v>
      </c>
      <c r="D389" s="832">
        <f>-B388*C389*C388</f>
        <v>-2.4569999999999999</v>
      </c>
      <c r="E389" s="833"/>
      <c r="F389" s="831"/>
      <c r="G389" s="829">
        <v>3.06</v>
      </c>
      <c r="H389" s="832">
        <f>F388*G389*G388</f>
        <v>53.550000000000004</v>
      </c>
      <c r="I389" s="833" t="s">
        <v>2024</v>
      </c>
      <c r="J389" s="818"/>
    </row>
    <row r="390" spans="1:10">
      <c r="A390" s="818"/>
      <c r="B390" s="435"/>
      <c r="C390" s="435"/>
      <c r="D390" s="435"/>
      <c r="E390" s="435"/>
      <c r="F390" s="831"/>
      <c r="G390" s="829"/>
      <c r="H390" s="832"/>
      <c r="I390" s="833"/>
      <c r="J390" s="818"/>
    </row>
    <row r="391" spans="1:10">
      <c r="A391" s="818"/>
      <c r="B391" s="831">
        <v>1</v>
      </c>
      <c r="C391" s="829">
        <v>1.5</v>
      </c>
      <c r="D391" s="832"/>
      <c r="E391" s="833" t="s">
        <v>360</v>
      </c>
      <c r="F391" s="831">
        <v>1</v>
      </c>
      <c r="G391" s="829">
        <v>0.9</v>
      </c>
      <c r="H391" s="832"/>
      <c r="I391" s="833" t="s">
        <v>347</v>
      </c>
      <c r="J391" s="818"/>
    </row>
    <row r="392" spans="1:10">
      <c r="A392" s="818"/>
      <c r="B392" s="831"/>
      <c r="C392" s="829">
        <v>1.73</v>
      </c>
      <c r="D392" s="832">
        <f>-B391*C392*C391</f>
        <v>-2.5949999999999998</v>
      </c>
      <c r="E392" s="833"/>
      <c r="F392" s="831"/>
      <c r="G392" s="829">
        <v>2.73</v>
      </c>
      <c r="H392" s="832">
        <f>-F391*G392*G391</f>
        <v>-2.4569999999999999</v>
      </c>
      <c r="I392" s="833"/>
      <c r="J392" s="818"/>
    </row>
    <row r="393" spans="1:10">
      <c r="A393" s="818"/>
      <c r="B393" s="831"/>
      <c r="C393" s="829"/>
      <c r="D393" s="832"/>
      <c r="E393" s="833"/>
      <c r="F393" s="435"/>
      <c r="G393" s="435"/>
      <c r="H393" s="435"/>
      <c r="I393" s="435"/>
      <c r="J393" s="818"/>
    </row>
    <row r="394" spans="1:10">
      <c r="A394" s="818"/>
      <c r="B394" s="831">
        <v>1</v>
      </c>
      <c r="C394" s="829">
        <v>8.36</v>
      </c>
      <c r="D394" s="832"/>
      <c r="E394" s="833" t="s">
        <v>364</v>
      </c>
      <c r="F394" s="831">
        <v>2</v>
      </c>
      <c r="G394" s="829">
        <v>1.5</v>
      </c>
      <c r="H394" s="832"/>
      <c r="I394" s="833" t="s">
        <v>212</v>
      </c>
      <c r="J394" s="818"/>
    </row>
    <row r="395" spans="1:10">
      <c r="A395" s="818"/>
      <c r="B395" s="831"/>
      <c r="C395" s="829">
        <v>3.06</v>
      </c>
      <c r="D395" s="832">
        <f>B394*C395*C394</f>
        <v>25.581599999999998</v>
      </c>
      <c r="E395" s="833" t="s">
        <v>2022</v>
      </c>
      <c r="F395" s="831"/>
      <c r="G395" s="829">
        <v>1.73</v>
      </c>
      <c r="H395" s="832">
        <f>-F394*G395*G394</f>
        <v>-5.1899999999999995</v>
      </c>
      <c r="I395" s="833"/>
      <c r="J395" s="818"/>
    </row>
    <row r="396" spans="1:10">
      <c r="A396" s="818"/>
      <c r="B396" s="435"/>
      <c r="C396" s="435"/>
      <c r="D396" s="435"/>
      <c r="E396" s="435"/>
      <c r="F396" s="831"/>
      <c r="G396" s="829"/>
      <c r="H396" s="832"/>
      <c r="I396" s="833"/>
      <c r="J396" s="818"/>
    </row>
    <row r="397" spans="1:10">
      <c r="A397" s="818"/>
      <c r="B397" s="831">
        <v>1</v>
      </c>
      <c r="C397" s="829">
        <v>0.7</v>
      </c>
      <c r="D397" s="832"/>
      <c r="E397" s="833" t="s">
        <v>204</v>
      </c>
      <c r="F397" s="831">
        <v>1</v>
      </c>
      <c r="G397" s="829">
        <v>15.1</v>
      </c>
      <c r="H397" s="832"/>
      <c r="I397" s="833" t="s">
        <v>2027</v>
      </c>
      <c r="J397" s="818"/>
    </row>
    <row r="398" spans="1:10">
      <c r="A398" s="818"/>
      <c r="B398" s="831"/>
      <c r="C398" s="829">
        <v>2.73</v>
      </c>
      <c r="D398" s="832">
        <f>-B397*C398*C397</f>
        <v>-1.9109999999999998</v>
      </c>
      <c r="E398" s="833"/>
      <c r="F398" s="831"/>
      <c r="G398" s="829">
        <v>3.06</v>
      </c>
      <c r="H398" s="832">
        <f>F397*G398*G397</f>
        <v>46.206000000000003</v>
      </c>
      <c r="I398" s="833" t="s">
        <v>2028</v>
      </c>
      <c r="J398" s="818"/>
    </row>
    <row r="399" spans="1:10">
      <c r="A399" s="818"/>
      <c r="B399" s="849"/>
      <c r="C399" s="850"/>
      <c r="D399" s="851"/>
      <c r="E399" s="852"/>
      <c r="F399" s="849"/>
      <c r="G399" s="850"/>
      <c r="H399" s="851"/>
      <c r="I399" s="852"/>
      <c r="J399" s="818"/>
    </row>
    <row r="400" spans="1:10">
      <c r="A400" s="818"/>
      <c r="B400" s="853" t="s">
        <v>1884</v>
      </c>
      <c r="C400" s="854" t="s">
        <v>526</v>
      </c>
      <c r="D400" s="855" t="s">
        <v>1885</v>
      </c>
      <c r="E400" s="854" t="s">
        <v>1886</v>
      </c>
      <c r="F400" s="853" t="s">
        <v>1884</v>
      </c>
      <c r="G400" s="855" t="s">
        <v>526</v>
      </c>
      <c r="H400" s="856" t="s">
        <v>1885</v>
      </c>
      <c r="I400" s="854" t="s">
        <v>1886</v>
      </c>
    </row>
    <row r="401" spans="1:10">
      <c r="A401" s="818"/>
      <c r="B401" s="831">
        <v>1</v>
      </c>
      <c r="C401" s="829">
        <v>0.9</v>
      </c>
      <c r="D401" s="832"/>
      <c r="E401" s="833" t="s">
        <v>347</v>
      </c>
      <c r="F401" s="831">
        <v>1</v>
      </c>
      <c r="G401" s="829">
        <v>4</v>
      </c>
      <c r="H401" s="832"/>
      <c r="I401" s="833" t="s">
        <v>2000</v>
      </c>
    </row>
    <row r="402" spans="1:10">
      <c r="A402" s="818"/>
      <c r="B402" s="831"/>
      <c r="C402" s="829">
        <v>2.73</v>
      </c>
      <c r="D402" s="832">
        <f>-B401*C402*C401</f>
        <v>-2.4569999999999999</v>
      </c>
      <c r="E402" s="833"/>
      <c r="F402" s="831"/>
      <c r="G402" s="829">
        <v>2.25</v>
      </c>
      <c r="H402" s="832">
        <f>G401*G402*F401</f>
        <v>9</v>
      </c>
      <c r="I402" s="833"/>
    </row>
    <row r="403" spans="1:10">
      <c r="A403" s="818"/>
      <c r="B403" s="831"/>
      <c r="C403" s="829"/>
      <c r="D403" s="832"/>
      <c r="E403" s="833"/>
      <c r="F403" s="831"/>
      <c r="G403" s="829"/>
      <c r="H403" s="832"/>
      <c r="I403" s="833"/>
    </row>
    <row r="404" spans="1:10">
      <c r="A404" s="818"/>
      <c r="B404" s="831">
        <v>1</v>
      </c>
      <c r="C404" s="829">
        <v>1.5</v>
      </c>
      <c r="D404" s="832"/>
      <c r="E404" s="833" t="s">
        <v>212</v>
      </c>
      <c r="F404" s="831">
        <v>2</v>
      </c>
      <c r="G404" s="829">
        <v>4</v>
      </c>
      <c r="H404" s="832"/>
      <c r="I404" s="833" t="s">
        <v>2040</v>
      </c>
    </row>
    <row r="405" spans="1:10">
      <c r="A405" s="818"/>
      <c r="B405" s="831"/>
      <c r="C405" s="829">
        <v>1.73</v>
      </c>
      <c r="D405" s="832">
        <f>-B404*C405*C404</f>
        <v>-2.5949999999999998</v>
      </c>
      <c r="E405" s="833"/>
      <c r="F405" s="831"/>
      <c r="G405" s="829">
        <v>2.65</v>
      </c>
      <c r="H405" s="832">
        <f>G405*G404*F404</f>
        <v>21.2</v>
      </c>
      <c r="I405" s="833"/>
    </row>
    <row r="406" spans="1:10">
      <c r="A406" s="818"/>
      <c r="B406" s="831"/>
      <c r="C406" s="829"/>
      <c r="D406" s="832"/>
      <c r="E406" s="833"/>
      <c r="F406" s="831"/>
      <c r="G406" s="829"/>
      <c r="H406" s="832"/>
      <c r="I406" s="833"/>
    </row>
    <row r="407" spans="1:10">
      <c r="A407" s="818"/>
      <c r="B407" s="831">
        <v>1</v>
      </c>
      <c r="C407" s="829">
        <v>17.600000000000001</v>
      </c>
      <c r="D407" s="832"/>
      <c r="E407" s="833" t="s">
        <v>2029</v>
      </c>
      <c r="F407" s="831">
        <v>1</v>
      </c>
      <c r="G407" s="829">
        <v>4</v>
      </c>
      <c r="H407" s="832"/>
      <c r="I407" s="833" t="s">
        <v>183</v>
      </c>
    </row>
    <row r="408" spans="1:10">
      <c r="A408" s="818"/>
      <c r="B408" s="831"/>
      <c r="C408" s="829">
        <v>3.06</v>
      </c>
      <c r="D408" s="832">
        <f>B407*C408*C407</f>
        <v>53.856000000000009</v>
      </c>
      <c r="E408" s="833" t="s">
        <v>2030</v>
      </c>
      <c r="F408" s="831"/>
      <c r="G408" s="829">
        <v>2.08</v>
      </c>
      <c r="H408" s="832">
        <f>G407*G408*F407</f>
        <v>8.32</v>
      </c>
      <c r="I408" s="833"/>
    </row>
    <row r="409" spans="1:10">
      <c r="A409" s="818"/>
      <c r="B409" s="831"/>
      <c r="C409" s="829"/>
      <c r="D409" s="832"/>
      <c r="E409" s="833"/>
      <c r="F409" s="831"/>
      <c r="G409" s="829"/>
      <c r="H409" s="832"/>
      <c r="I409" s="833"/>
    </row>
    <row r="410" spans="1:10">
      <c r="A410" s="818"/>
      <c r="B410" s="831">
        <v>1</v>
      </c>
      <c r="C410" s="829">
        <v>0.9</v>
      </c>
      <c r="D410" s="832"/>
      <c r="E410" s="833" t="s">
        <v>347</v>
      </c>
      <c r="F410" s="831">
        <v>2</v>
      </c>
      <c r="G410" s="829">
        <v>3.8</v>
      </c>
      <c r="H410" s="832"/>
      <c r="I410" s="833" t="s">
        <v>84</v>
      </c>
    </row>
    <row r="411" spans="1:10">
      <c r="A411" s="818"/>
      <c r="B411" s="831"/>
      <c r="C411" s="829">
        <v>2.73</v>
      </c>
      <c r="D411" s="832">
        <f>-B410*C411*C410</f>
        <v>-2.4569999999999999</v>
      </c>
      <c r="E411" s="833"/>
      <c r="F411" s="831"/>
      <c r="G411" s="829">
        <v>1.43</v>
      </c>
      <c r="H411" s="832">
        <f>G410*G411*F410</f>
        <v>10.867999999999999</v>
      </c>
      <c r="I411" s="833"/>
    </row>
    <row r="412" spans="1:10">
      <c r="A412" s="818"/>
      <c r="B412" s="831"/>
      <c r="C412" s="829"/>
      <c r="D412" s="832"/>
      <c r="E412" s="833"/>
      <c r="F412" s="435"/>
      <c r="G412" s="435"/>
      <c r="H412" s="435"/>
      <c r="I412" s="435"/>
    </row>
    <row r="413" spans="1:10">
      <c r="A413" s="818"/>
      <c r="B413" s="831">
        <v>1</v>
      </c>
      <c r="C413" s="829">
        <v>1.5</v>
      </c>
      <c r="D413" s="832"/>
      <c r="E413" s="833" t="s">
        <v>212</v>
      </c>
      <c r="F413" s="831">
        <v>1</v>
      </c>
      <c r="G413" s="829">
        <v>3.7</v>
      </c>
      <c r="H413" s="832"/>
      <c r="I413" s="833" t="s">
        <v>84</v>
      </c>
    </row>
    <row r="414" spans="1:10">
      <c r="A414" s="818"/>
      <c r="B414" s="831"/>
      <c r="C414" s="829">
        <v>1.73</v>
      </c>
      <c r="D414" s="832">
        <f>-B413*C414*C413</f>
        <v>-2.5949999999999998</v>
      </c>
      <c r="E414" s="833"/>
      <c r="F414" s="831"/>
      <c r="G414" s="829">
        <v>2.7</v>
      </c>
      <c r="H414" s="832">
        <f>G413*G414*F413</f>
        <v>9.990000000000002</v>
      </c>
      <c r="I414" s="833"/>
    </row>
    <row r="415" spans="1:10">
      <c r="A415" s="818"/>
      <c r="B415" s="831"/>
      <c r="C415" s="829"/>
      <c r="D415" s="832"/>
      <c r="E415" s="833"/>
      <c r="F415" s="831"/>
      <c r="G415" s="829"/>
      <c r="H415" s="832"/>
      <c r="I415" s="833"/>
    </row>
    <row r="416" spans="1:10">
      <c r="A416" s="818"/>
      <c r="B416" s="831">
        <v>1</v>
      </c>
      <c r="C416" s="829">
        <v>17.600000000000001</v>
      </c>
      <c r="D416" s="832"/>
      <c r="E416" s="833" t="s">
        <v>2033</v>
      </c>
      <c r="F416" s="831">
        <v>1</v>
      </c>
      <c r="G416" s="829">
        <v>33.299999999999997</v>
      </c>
      <c r="H416" s="832"/>
      <c r="I416" s="833" t="s">
        <v>160</v>
      </c>
      <c r="J416" s="818"/>
    </row>
    <row r="417" spans="1:10">
      <c r="A417" s="818"/>
      <c r="B417" s="831"/>
      <c r="C417" s="829">
        <v>3.06</v>
      </c>
      <c r="D417" s="832">
        <f>B416*C417*C416</f>
        <v>53.856000000000009</v>
      </c>
      <c r="E417" s="833" t="s">
        <v>2030</v>
      </c>
      <c r="F417" s="831"/>
      <c r="G417" s="829">
        <v>2.5</v>
      </c>
      <c r="H417" s="832">
        <f>G416*G417*F416</f>
        <v>83.25</v>
      </c>
      <c r="I417" s="833"/>
      <c r="J417" s="818"/>
    </row>
    <row r="418" spans="1:10">
      <c r="A418" s="818"/>
      <c r="B418" s="435"/>
      <c r="C418" s="435"/>
      <c r="D418" s="435"/>
      <c r="E418" s="435"/>
      <c r="F418" s="831"/>
      <c r="G418" s="829"/>
      <c r="H418" s="832"/>
      <c r="I418" s="833"/>
      <c r="J418" s="818"/>
    </row>
    <row r="419" spans="1:10">
      <c r="A419" s="818"/>
      <c r="B419" s="831">
        <v>1</v>
      </c>
      <c r="C419" s="829">
        <v>0.9</v>
      </c>
      <c r="D419" s="832"/>
      <c r="E419" s="833" t="s">
        <v>347</v>
      </c>
      <c r="F419" s="831">
        <v>1</v>
      </c>
      <c r="G419" s="829">
        <v>2.2000000000000002</v>
      </c>
      <c r="H419" s="832"/>
      <c r="I419" s="833" t="s">
        <v>2018</v>
      </c>
      <c r="J419" s="818"/>
    </row>
    <row r="420" spans="1:10">
      <c r="A420" s="818"/>
      <c r="B420" s="831"/>
      <c r="C420" s="829">
        <v>2.73</v>
      </c>
      <c r="D420" s="832">
        <f>-B419*C420*C419</f>
        <v>-2.4569999999999999</v>
      </c>
      <c r="E420" s="833"/>
      <c r="F420" s="831"/>
      <c r="G420" s="829">
        <v>2.5299999999999998</v>
      </c>
      <c r="H420" s="832">
        <f>G419*G420*F419</f>
        <v>5.5659999999999998</v>
      </c>
      <c r="I420" s="833"/>
      <c r="J420" s="818"/>
    </row>
    <row r="421" spans="1:10">
      <c r="A421" s="818"/>
      <c r="B421" s="831"/>
      <c r="C421" s="829"/>
      <c r="D421" s="832"/>
      <c r="E421" s="833"/>
      <c r="F421" s="435"/>
      <c r="G421" s="435"/>
      <c r="H421" s="435"/>
      <c r="I421" s="435"/>
      <c r="J421" s="818"/>
    </row>
    <row r="422" spans="1:10">
      <c r="A422" s="818"/>
      <c r="B422" s="831">
        <v>1</v>
      </c>
      <c r="C422" s="829">
        <v>1.5</v>
      </c>
      <c r="D422" s="832"/>
      <c r="E422" s="833" t="s">
        <v>212</v>
      </c>
      <c r="F422" s="831">
        <v>1</v>
      </c>
      <c r="G422" s="829">
        <v>1.95</v>
      </c>
      <c r="H422" s="832"/>
      <c r="I422" s="833" t="s">
        <v>364</v>
      </c>
      <c r="J422" s="818"/>
    </row>
    <row r="423" spans="1:10">
      <c r="A423" s="818"/>
      <c r="B423" s="831"/>
      <c r="C423" s="829">
        <v>1.73</v>
      </c>
      <c r="D423" s="832">
        <f>-B422*C423*C422</f>
        <v>-2.5949999999999998</v>
      </c>
      <c r="E423" s="833"/>
      <c r="F423" s="831"/>
      <c r="G423" s="829">
        <v>2.5299999999999998</v>
      </c>
      <c r="H423" s="832">
        <f>G422*G423*F422</f>
        <v>4.9334999999999996</v>
      </c>
      <c r="I423" s="833"/>
      <c r="J423" s="818"/>
    </row>
    <row r="424" spans="1:10">
      <c r="A424" s="818"/>
      <c r="B424" s="435"/>
      <c r="C424" s="435"/>
      <c r="D424" s="435"/>
      <c r="E424" s="435"/>
      <c r="F424" s="831"/>
      <c r="G424" s="829"/>
      <c r="H424" s="832"/>
      <c r="I424" s="833"/>
      <c r="J424" s="818"/>
    </row>
    <row r="425" spans="1:10">
      <c r="A425" s="818"/>
      <c r="B425" s="831">
        <v>24</v>
      </c>
      <c r="C425" s="829">
        <v>0.2</v>
      </c>
      <c r="D425" s="832"/>
      <c r="E425" s="833" t="s">
        <v>220</v>
      </c>
      <c r="F425" s="831">
        <v>1</v>
      </c>
      <c r="G425" s="829">
        <v>4</v>
      </c>
      <c r="H425" s="832"/>
      <c r="I425" s="833" t="s">
        <v>2025</v>
      </c>
      <c r="J425" s="818"/>
    </row>
    <row r="426" spans="1:10">
      <c r="A426" s="818"/>
      <c r="B426" s="831"/>
      <c r="C426" s="829">
        <v>2.73</v>
      </c>
      <c r="D426" s="832">
        <f>B425*C426*C425</f>
        <v>13.103999999999999</v>
      </c>
      <c r="E426" s="833"/>
      <c r="F426" s="831"/>
      <c r="G426" s="829">
        <v>3.8</v>
      </c>
      <c r="H426" s="832">
        <f>G425*G426*F425</f>
        <v>15.2</v>
      </c>
      <c r="I426" s="833"/>
      <c r="J426" s="818"/>
    </row>
    <row r="427" spans="1:10">
      <c r="A427" s="818"/>
      <c r="B427" s="831"/>
      <c r="C427" s="829"/>
      <c r="D427" s="832"/>
      <c r="E427" s="833"/>
      <c r="F427" s="435"/>
      <c r="G427" s="435"/>
      <c r="H427" s="435"/>
      <c r="I427" s="435"/>
      <c r="J427" s="818"/>
    </row>
    <row r="428" spans="1:10">
      <c r="A428" s="818"/>
      <c r="B428" s="831">
        <v>2</v>
      </c>
      <c r="C428" s="829">
        <v>35.1</v>
      </c>
      <c r="D428" s="832"/>
      <c r="E428" s="833"/>
      <c r="F428" s="831">
        <v>1</v>
      </c>
      <c r="G428" s="829">
        <v>4</v>
      </c>
      <c r="H428" s="832"/>
      <c r="I428" s="833" t="s">
        <v>2031</v>
      </c>
      <c r="J428" s="818"/>
    </row>
    <row r="429" spans="1:10">
      <c r="A429" s="818"/>
      <c r="B429" s="831"/>
      <c r="C429" s="829">
        <v>0.3</v>
      </c>
      <c r="D429" s="832">
        <f>C429*C428*B428</f>
        <v>21.06</v>
      </c>
      <c r="E429" s="833" t="s">
        <v>2034</v>
      </c>
      <c r="F429" s="831"/>
      <c r="G429" s="829">
        <v>5.17</v>
      </c>
      <c r="H429" s="832">
        <f>G428*G429*F428</f>
        <v>20.68</v>
      </c>
      <c r="I429" s="833"/>
      <c r="J429" s="818"/>
    </row>
    <row r="430" spans="1:10">
      <c r="A430" s="818"/>
      <c r="B430" s="831"/>
      <c r="C430" s="829"/>
      <c r="D430" s="832"/>
      <c r="E430" s="833"/>
      <c r="F430" s="435"/>
      <c r="G430" s="435"/>
      <c r="H430" s="435"/>
      <c r="I430" s="435"/>
      <c r="J430" s="818"/>
    </row>
    <row r="431" spans="1:10">
      <c r="A431" s="818"/>
      <c r="B431" s="831">
        <v>2</v>
      </c>
      <c r="C431" s="829">
        <v>11.21</v>
      </c>
      <c r="D431" s="832"/>
      <c r="E431" s="833"/>
      <c r="F431" s="831">
        <v>1</v>
      </c>
      <c r="G431" s="829">
        <v>4</v>
      </c>
      <c r="H431" s="832"/>
      <c r="I431" s="833" t="s">
        <v>2020</v>
      </c>
      <c r="J431" s="818"/>
    </row>
    <row r="432" spans="1:10">
      <c r="A432" s="818"/>
      <c r="B432" s="831"/>
      <c r="C432" s="829">
        <v>0.3</v>
      </c>
      <c r="D432" s="832">
        <f>C432*C431*B431</f>
        <v>6.726</v>
      </c>
      <c r="E432" s="833" t="s">
        <v>2035</v>
      </c>
      <c r="F432" s="831"/>
      <c r="G432" s="829">
        <v>3.4</v>
      </c>
      <c r="H432" s="832">
        <f>G431*G432*F431</f>
        <v>13.6</v>
      </c>
      <c r="I432" s="833"/>
      <c r="J432" s="818"/>
    </row>
    <row r="433" spans="1:10">
      <c r="A433" s="818"/>
      <c r="B433" s="831"/>
      <c r="C433" s="829"/>
      <c r="D433" s="832"/>
      <c r="E433" s="833"/>
      <c r="F433" s="831"/>
      <c r="G433" s="829"/>
      <c r="H433" s="832"/>
      <c r="I433" s="833"/>
      <c r="J433" s="818"/>
    </row>
    <row r="434" spans="1:10">
      <c r="A434" s="818"/>
      <c r="B434" s="831">
        <v>5</v>
      </c>
      <c r="C434" s="829">
        <v>10.5</v>
      </c>
      <c r="D434" s="832"/>
      <c r="E434" s="833"/>
      <c r="F434" s="831">
        <v>1</v>
      </c>
      <c r="G434" s="829">
        <v>4</v>
      </c>
      <c r="H434" s="832"/>
      <c r="I434" s="833" t="s">
        <v>2023</v>
      </c>
      <c r="J434" s="818"/>
    </row>
    <row r="435" spans="1:10">
      <c r="A435" s="818"/>
      <c r="B435" s="831"/>
      <c r="C435" s="829">
        <v>0.8</v>
      </c>
      <c r="D435" s="832">
        <f>C435*C434*B434</f>
        <v>42</v>
      </c>
      <c r="E435" s="833" t="s">
        <v>2036</v>
      </c>
      <c r="F435" s="831"/>
      <c r="G435" s="829">
        <v>4.55</v>
      </c>
      <c r="H435" s="832">
        <f>G434*G435*F434</f>
        <v>18.2</v>
      </c>
      <c r="I435" s="833"/>
      <c r="J435" s="818"/>
    </row>
    <row r="436" spans="1:10">
      <c r="A436" s="818"/>
      <c r="B436" s="831"/>
      <c r="C436" s="829"/>
      <c r="D436" s="832"/>
      <c r="E436" s="833"/>
      <c r="F436" s="831"/>
      <c r="G436" s="829"/>
      <c r="H436" s="832"/>
      <c r="I436" s="833"/>
      <c r="J436" s="818"/>
    </row>
    <row r="437" spans="1:10">
      <c r="A437" s="818"/>
      <c r="B437" s="831">
        <v>1</v>
      </c>
      <c r="C437" s="829">
        <v>6.5</v>
      </c>
      <c r="D437" s="832"/>
      <c r="E437" s="833"/>
      <c r="F437" s="831">
        <v>1</v>
      </c>
      <c r="G437" s="829">
        <v>4</v>
      </c>
      <c r="H437" s="832"/>
      <c r="I437" s="833" t="s">
        <v>2027</v>
      </c>
      <c r="J437" s="818"/>
    </row>
    <row r="438" spans="1:10">
      <c r="A438" s="818"/>
      <c r="B438" s="831"/>
      <c r="C438" s="829">
        <v>0.8</v>
      </c>
      <c r="D438" s="832">
        <f>B437*C438*C437</f>
        <v>5.2</v>
      </c>
      <c r="E438" s="833"/>
      <c r="F438" s="831"/>
      <c r="G438" s="829">
        <v>3.35</v>
      </c>
      <c r="H438" s="832">
        <f>G437*G438*F437</f>
        <v>13.4</v>
      </c>
      <c r="I438" s="833"/>
      <c r="J438" s="818"/>
    </row>
    <row r="439" spans="1:10">
      <c r="A439" s="818"/>
      <c r="B439" s="831"/>
      <c r="C439" s="829"/>
      <c r="D439" s="832"/>
      <c r="E439" s="833"/>
      <c r="F439" s="435"/>
      <c r="G439" s="435"/>
      <c r="H439" s="435"/>
      <c r="I439" s="435"/>
      <c r="J439" s="818"/>
    </row>
    <row r="440" spans="1:10">
      <c r="A440" s="818"/>
      <c r="B440" s="839"/>
      <c r="C440" s="839"/>
      <c r="D440" s="838">
        <f>SUM(D401:D439)+SUM(H347:H399)+SUM(D346:D399)+SUM(H286:H330)+SUM(D318:D343)+SUM(H281:H284)</f>
        <v>1166.5914000000002</v>
      </c>
      <c r="E440" s="845" t="s">
        <v>2183</v>
      </c>
      <c r="F440" s="831">
        <v>1</v>
      </c>
      <c r="G440" s="829">
        <v>4</v>
      </c>
      <c r="H440" s="832"/>
      <c r="I440" s="833" t="s">
        <v>2029</v>
      </c>
      <c r="J440" s="818"/>
    </row>
    <row r="441" spans="1:10">
      <c r="A441" s="818"/>
      <c r="B441" s="831"/>
      <c r="C441" s="829"/>
      <c r="D441" s="832"/>
      <c r="E441" s="833"/>
      <c r="F441" s="831"/>
      <c r="G441" s="829">
        <v>4.5999999999999996</v>
      </c>
      <c r="H441" s="832">
        <f>G440*G441*F440</f>
        <v>18.399999999999999</v>
      </c>
      <c r="I441" s="833"/>
      <c r="J441" s="818"/>
    </row>
    <row r="442" spans="1:10">
      <c r="A442" s="818"/>
      <c r="B442" s="839"/>
      <c r="C442" s="839"/>
      <c r="D442" s="838">
        <v>63.02</v>
      </c>
      <c r="E442" s="845" t="s">
        <v>1229</v>
      </c>
      <c r="F442" s="831"/>
      <c r="G442" s="829"/>
      <c r="H442" s="832"/>
      <c r="I442" s="833"/>
      <c r="J442" s="818"/>
    </row>
    <row r="443" spans="1:10">
      <c r="A443" s="818"/>
      <c r="B443" s="435"/>
      <c r="C443" s="435"/>
      <c r="D443" s="435"/>
      <c r="E443" s="435"/>
      <c r="F443" s="831">
        <v>1</v>
      </c>
      <c r="G443" s="829">
        <v>4</v>
      </c>
      <c r="H443" s="832"/>
      <c r="I443" s="833" t="s">
        <v>2033</v>
      </c>
      <c r="J443" s="818"/>
    </row>
    <row r="444" spans="1:10">
      <c r="A444" s="818"/>
      <c r="B444" s="839"/>
      <c r="C444" s="839"/>
      <c r="D444" s="838">
        <f>D440-D442</f>
        <v>1103.5714000000003</v>
      </c>
      <c r="E444" s="845" t="s">
        <v>2184</v>
      </c>
      <c r="F444" s="831"/>
      <c r="G444" s="829">
        <v>4.8</v>
      </c>
      <c r="H444" s="832">
        <f>G443*G444*F443</f>
        <v>19.2</v>
      </c>
      <c r="I444" s="833"/>
      <c r="J444" s="818"/>
    </row>
    <row r="445" spans="1:10">
      <c r="A445" s="818"/>
      <c r="B445" s="435"/>
      <c r="C445" s="435"/>
      <c r="D445" s="435"/>
      <c r="E445" s="435"/>
      <c r="F445" s="831"/>
      <c r="G445" s="829"/>
      <c r="H445" s="832"/>
      <c r="I445" s="833"/>
      <c r="J445" s="818"/>
    </row>
    <row r="446" spans="1:10">
      <c r="A446" s="818"/>
      <c r="B446" s="831"/>
      <c r="C446" s="829"/>
      <c r="D446" s="832"/>
      <c r="E446" s="844" t="s">
        <v>2037</v>
      </c>
      <c r="F446" s="831">
        <v>1</v>
      </c>
      <c r="G446" s="829">
        <v>4</v>
      </c>
      <c r="H446" s="832"/>
      <c r="I446" s="833" t="s">
        <v>2039</v>
      </c>
      <c r="J446" s="818"/>
    </row>
    <row r="447" spans="1:10">
      <c r="A447" s="818"/>
      <c r="B447" s="831">
        <v>1</v>
      </c>
      <c r="C447" s="829">
        <v>4</v>
      </c>
      <c r="D447" s="832"/>
      <c r="E447" s="833" t="s">
        <v>2038</v>
      </c>
      <c r="F447" s="831"/>
      <c r="G447" s="829">
        <v>2.85</v>
      </c>
      <c r="H447" s="832">
        <f>G446*G447*F446</f>
        <v>11.4</v>
      </c>
      <c r="I447" s="833"/>
      <c r="J447" s="818"/>
    </row>
    <row r="448" spans="1:10">
      <c r="A448" s="818"/>
      <c r="B448" s="831"/>
      <c r="C448" s="829">
        <v>4.47</v>
      </c>
      <c r="D448" s="832">
        <f>C447*C448*B447</f>
        <v>17.88</v>
      </c>
      <c r="E448" s="833"/>
      <c r="F448" s="857"/>
      <c r="G448" s="857"/>
      <c r="H448" s="933">
        <f>SUM(H402:H447)+SUM(D448:D457)</f>
        <v>339.48749999999995</v>
      </c>
      <c r="I448" s="859" t="s">
        <v>2144</v>
      </c>
      <c r="J448" s="818"/>
    </row>
    <row r="449" spans="1:10">
      <c r="A449" s="818"/>
      <c r="B449" s="831"/>
      <c r="C449" s="829"/>
      <c r="D449" s="832"/>
      <c r="E449" s="833"/>
      <c r="F449" s="435"/>
      <c r="G449" s="435"/>
      <c r="H449" s="435"/>
      <c r="I449" s="435"/>
      <c r="J449" s="818"/>
    </row>
    <row r="450" spans="1:10">
      <c r="A450" s="818"/>
      <c r="B450" s="831">
        <v>1</v>
      </c>
      <c r="C450" s="829">
        <v>4</v>
      </c>
      <c r="D450" s="832"/>
      <c r="E450" s="833" t="s">
        <v>1993</v>
      </c>
      <c r="F450" s="435"/>
      <c r="G450" s="435"/>
      <c r="H450" s="435"/>
      <c r="I450" s="435"/>
      <c r="J450" s="818"/>
    </row>
    <row r="451" spans="1:10">
      <c r="A451" s="818"/>
      <c r="B451" s="831"/>
      <c r="C451" s="829">
        <v>3</v>
      </c>
      <c r="D451" s="832">
        <f>C450*C451*B450</f>
        <v>12</v>
      </c>
      <c r="E451" s="833"/>
      <c r="F451" s="435"/>
      <c r="G451" s="435"/>
      <c r="H451" s="435"/>
      <c r="I451" s="435"/>
      <c r="J451" s="818"/>
    </row>
    <row r="452" spans="1:10">
      <c r="A452" s="818"/>
      <c r="B452" s="831"/>
      <c r="C452" s="829"/>
      <c r="D452" s="832"/>
      <c r="E452" s="833"/>
      <c r="F452" s="435"/>
      <c r="G452" s="435"/>
      <c r="H452" s="435"/>
      <c r="I452" s="435"/>
      <c r="J452" s="818"/>
    </row>
    <row r="453" spans="1:10">
      <c r="A453" s="818"/>
      <c r="B453" s="831">
        <v>1</v>
      </c>
      <c r="C453" s="829">
        <v>4</v>
      </c>
      <c r="D453" s="832"/>
      <c r="E453" s="833" t="s">
        <v>1997</v>
      </c>
      <c r="F453" s="435"/>
      <c r="G453" s="435"/>
      <c r="H453" s="435"/>
      <c r="I453" s="435"/>
      <c r="J453" s="818"/>
    </row>
    <row r="454" spans="1:10">
      <c r="A454" s="818"/>
      <c r="B454" s="831"/>
      <c r="C454" s="829">
        <v>2.8</v>
      </c>
      <c r="D454" s="832">
        <f>C453*C454*B453</f>
        <v>11.2</v>
      </c>
      <c r="E454" s="833"/>
      <c r="F454" s="435"/>
      <c r="G454" s="435"/>
      <c r="H454" s="435"/>
      <c r="I454" s="435"/>
      <c r="J454" s="818"/>
    </row>
    <row r="455" spans="1:10">
      <c r="A455" s="818"/>
      <c r="B455" s="435"/>
      <c r="C455" s="435"/>
      <c r="D455" s="435"/>
      <c r="E455" s="435"/>
      <c r="F455" s="435"/>
      <c r="G455" s="435"/>
      <c r="H455" s="435"/>
      <c r="I455" s="435"/>
      <c r="J455" s="818"/>
    </row>
    <row r="456" spans="1:10">
      <c r="A456" s="818"/>
      <c r="B456" s="831">
        <v>1</v>
      </c>
      <c r="C456" s="829">
        <v>4</v>
      </c>
      <c r="D456" s="832"/>
      <c r="E456" s="833" t="s">
        <v>1998</v>
      </c>
      <c r="F456" s="435"/>
      <c r="G456" s="435"/>
      <c r="H456" s="435"/>
      <c r="I456" s="435"/>
      <c r="J456" s="818"/>
    </row>
    <row r="457" spans="1:10">
      <c r="A457" s="818"/>
      <c r="B457" s="831"/>
      <c r="C457" s="829">
        <v>3.8</v>
      </c>
      <c r="D457" s="832">
        <f>C456*C457*B456</f>
        <v>15.2</v>
      </c>
      <c r="E457" s="833"/>
      <c r="F457" s="435"/>
      <c r="G457" s="435"/>
      <c r="H457" s="435"/>
      <c r="I457" s="435"/>
      <c r="J457" s="818"/>
    </row>
    <row r="458" spans="1:10">
      <c r="A458" s="818"/>
      <c r="B458" s="435"/>
      <c r="C458" s="435"/>
      <c r="D458" s="435"/>
      <c r="E458" s="435"/>
      <c r="F458" s="435"/>
      <c r="G458" s="435"/>
      <c r="H458" s="435"/>
      <c r="I458" s="435"/>
      <c r="J458" s="818"/>
    </row>
    <row r="459" spans="1:10">
      <c r="A459" s="818"/>
      <c r="B459" s="109"/>
      <c r="C459" s="109"/>
      <c r="D459" s="109"/>
      <c r="E459" s="109"/>
      <c r="F459" s="109"/>
      <c r="G459" s="109"/>
      <c r="H459" s="109"/>
      <c r="I459" s="109"/>
      <c r="J459" s="818"/>
    </row>
    <row r="460" spans="1:10">
      <c r="A460" s="818"/>
      <c r="B460" s="853" t="s">
        <v>1884</v>
      </c>
      <c r="C460" s="854" t="s">
        <v>526</v>
      </c>
      <c r="D460" s="855" t="s">
        <v>1885</v>
      </c>
      <c r="E460" s="854" t="s">
        <v>1886</v>
      </c>
      <c r="F460" s="853" t="s">
        <v>1884</v>
      </c>
      <c r="G460" s="855" t="s">
        <v>526</v>
      </c>
      <c r="H460" s="856" t="s">
        <v>1885</v>
      </c>
      <c r="I460" s="854" t="s">
        <v>1886</v>
      </c>
    </row>
    <row r="461" spans="1:10">
      <c r="A461" s="818"/>
      <c r="B461" s="831"/>
      <c r="C461" s="829"/>
      <c r="D461" s="832"/>
      <c r="E461" s="833" t="s">
        <v>2145</v>
      </c>
      <c r="F461" s="831">
        <v>1</v>
      </c>
      <c r="G461" s="829">
        <v>4</v>
      </c>
      <c r="H461" s="832"/>
      <c r="I461" s="833" t="s">
        <v>2025</v>
      </c>
    </row>
    <row r="462" spans="1:10">
      <c r="A462" s="818"/>
      <c r="B462" s="831"/>
      <c r="C462" s="829"/>
      <c r="D462" s="832"/>
      <c r="E462" s="833" t="s">
        <v>2041</v>
      </c>
      <c r="F462" s="831"/>
      <c r="G462" s="829">
        <v>4</v>
      </c>
      <c r="H462" s="832">
        <f>G461*G462*F461</f>
        <v>16</v>
      </c>
      <c r="I462" s="833"/>
    </row>
    <row r="463" spans="1:10">
      <c r="A463" s="818"/>
      <c r="B463" s="831">
        <v>1</v>
      </c>
      <c r="C463" s="829">
        <f>13*6+21+30</f>
        <v>129</v>
      </c>
      <c r="D463" s="832"/>
      <c r="E463" s="833"/>
      <c r="F463" s="831"/>
      <c r="G463" s="829"/>
      <c r="H463" s="832"/>
      <c r="I463" s="833"/>
    </row>
    <row r="464" spans="1:10">
      <c r="A464" s="818"/>
      <c r="B464" s="831"/>
      <c r="C464" s="829">
        <f>0.2*0.6</f>
        <v>0.12</v>
      </c>
      <c r="D464" s="832">
        <f>C464*C463*B463</f>
        <v>15.479999999999999</v>
      </c>
      <c r="E464" s="833"/>
      <c r="F464" s="831">
        <v>1</v>
      </c>
      <c r="G464" s="829">
        <v>4</v>
      </c>
      <c r="H464" s="832"/>
      <c r="I464" s="833" t="s">
        <v>2031</v>
      </c>
    </row>
    <row r="465" spans="1:10">
      <c r="A465" s="818"/>
      <c r="B465" s="831"/>
      <c r="C465" s="829"/>
      <c r="D465" s="832"/>
      <c r="E465" s="833"/>
      <c r="F465" s="831"/>
      <c r="G465" s="829">
        <v>5.37</v>
      </c>
      <c r="H465" s="832">
        <f>G464*G465*F464</f>
        <v>21.48</v>
      </c>
      <c r="I465" s="833"/>
    </row>
    <row r="466" spans="1:10">
      <c r="A466" s="818"/>
      <c r="B466" s="831">
        <v>1</v>
      </c>
      <c r="C466" s="829">
        <f>16*5</f>
        <v>80</v>
      </c>
      <c r="D466" s="832"/>
      <c r="E466" s="833"/>
      <c r="F466" s="831"/>
      <c r="G466" s="829"/>
      <c r="H466" s="832"/>
      <c r="I466" s="833"/>
    </row>
    <row r="467" spans="1:10">
      <c r="A467" s="818"/>
      <c r="B467" s="831"/>
      <c r="C467" s="829">
        <f>0.2*0.6</f>
        <v>0.12</v>
      </c>
      <c r="D467" s="832">
        <f>C467*C466*B466</f>
        <v>9.6</v>
      </c>
      <c r="E467" s="833"/>
      <c r="F467" s="831">
        <v>1</v>
      </c>
      <c r="G467" s="829">
        <v>4</v>
      </c>
      <c r="H467" s="832"/>
      <c r="I467" s="833" t="s">
        <v>2044</v>
      </c>
    </row>
    <row r="468" spans="1:10">
      <c r="A468" s="818"/>
      <c r="B468" s="831"/>
      <c r="C468" s="829"/>
      <c r="D468" s="832"/>
      <c r="E468" s="833"/>
      <c r="F468" s="831"/>
      <c r="G468" s="829">
        <v>3.6</v>
      </c>
      <c r="H468" s="832">
        <f>G467*G468*F467</f>
        <v>14.4</v>
      </c>
      <c r="I468" s="833"/>
    </row>
    <row r="469" spans="1:10">
      <c r="A469" s="818"/>
      <c r="B469" s="831">
        <v>1</v>
      </c>
      <c r="C469" s="829">
        <f>16*5</f>
        <v>80</v>
      </c>
      <c r="D469" s="832"/>
      <c r="E469" s="833" t="s">
        <v>2043</v>
      </c>
      <c r="F469" s="831"/>
      <c r="G469" s="829"/>
      <c r="H469" s="832"/>
      <c r="I469" s="833"/>
    </row>
    <row r="470" spans="1:10">
      <c r="A470" s="818"/>
      <c r="B470" s="831"/>
      <c r="C470" s="829">
        <f>0.2*0.6</f>
        <v>0.12</v>
      </c>
      <c r="D470" s="832">
        <f>C470*C469*B469</f>
        <v>9.6</v>
      </c>
      <c r="E470" s="833"/>
      <c r="F470" s="831">
        <v>1</v>
      </c>
      <c r="G470" s="829">
        <v>4</v>
      </c>
      <c r="H470" s="832"/>
      <c r="I470" s="833" t="s">
        <v>2023</v>
      </c>
    </row>
    <row r="471" spans="1:10">
      <c r="A471" s="818"/>
      <c r="B471" s="831"/>
      <c r="C471" s="829"/>
      <c r="D471" s="832"/>
      <c r="E471" s="833"/>
      <c r="F471" s="831"/>
      <c r="G471" s="829">
        <v>4.75</v>
      </c>
      <c r="H471" s="832">
        <f>G470*G471*F470</f>
        <v>19</v>
      </c>
      <c r="I471" s="833"/>
    </row>
    <row r="472" spans="1:10">
      <c r="A472" s="818"/>
      <c r="B472" s="831">
        <v>1</v>
      </c>
      <c r="C472" s="829">
        <f>12*6+14*4+8</f>
        <v>136</v>
      </c>
      <c r="D472" s="832"/>
      <c r="E472" s="833"/>
      <c r="F472" s="831"/>
      <c r="G472" s="829"/>
      <c r="H472" s="832"/>
      <c r="I472" s="833"/>
    </row>
    <row r="473" spans="1:10">
      <c r="A473" s="818"/>
      <c r="B473" s="831"/>
      <c r="C473" s="829">
        <f>0.2*0.6</f>
        <v>0.12</v>
      </c>
      <c r="D473" s="832">
        <f>C473*C472*B472</f>
        <v>16.32</v>
      </c>
      <c r="E473" s="833"/>
      <c r="F473" s="831">
        <v>1</v>
      </c>
      <c r="G473" s="829">
        <v>4</v>
      </c>
      <c r="H473" s="832"/>
      <c r="I473" s="833" t="s">
        <v>2027</v>
      </c>
    </row>
    <row r="474" spans="1:10">
      <c r="A474" s="818"/>
      <c r="B474" s="831"/>
      <c r="C474" s="829"/>
      <c r="D474" s="832"/>
      <c r="E474" s="833"/>
      <c r="F474" s="831"/>
      <c r="G474" s="829">
        <v>3.55</v>
      </c>
      <c r="H474" s="832">
        <f>G473*G474*F473</f>
        <v>14.2</v>
      </c>
      <c r="I474" s="833"/>
    </row>
    <row r="475" spans="1:10">
      <c r="A475" s="818"/>
      <c r="B475" s="831">
        <v>1</v>
      </c>
      <c r="C475" s="829">
        <f>15*6+5+16*6</f>
        <v>191</v>
      </c>
      <c r="D475" s="832"/>
      <c r="E475" s="833"/>
      <c r="F475" s="831"/>
      <c r="G475" s="829"/>
      <c r="H475" s="832"/>
      <c r="I475" s="833"/>
    </row>
    <row r="476" spans="1:10">
      <c r="A476" s="818"/>
      <c r="B476" s="831"/>
      <c r="C476" s="829">
        <f>0.2*0.6</f>
        <v>0.12</v>
      </c>
      <c r="D476" s="832">
        <f>C476*C475*B475</f>
        <v>22.919999999999998</v>
      </c>
      <c r="E476" s="833"/>
      <c r="F476" s="831">
        <v>1</v>
      </c>
      <c r="G476" s="829">
        <v>4</v>
      </c>
      <c r="H476" s="832"/>
      <c r="I476" s="833" t="s">
        <v>2045</v>
      </c>
    </row>
    <row r="477" spans="1:10">
      <c r="A477" s="818"/>
      <c r="B477" s="831"/>
      <c r="C477" s="829"/>
      <c r="D477" s="832"/>
      <c r="E477" s="833"/>
      <c r="F477" s="831"/>
      <c r="G477" s="829">
        <v>4.8</v>
      </c>
      <c r="H477" s="832">
        <f>G476*G477*F476</f>
        <v>19.2</v>
      </c>
      <c r="I477" s="833"/>
      <c r="J477" s="818"/>
    </row>
    <row r="478" spans="1:10">
      <c r="A478" s="818"/>
      <c r="B478" s="839"/>
      <c r="C478" s="839"/>
      <c r="D478" s="838">
        <f>SUM(D463:D477)</f>
        <v>73.92</v>
      </c>
      <c r="E478" s="845" t="s">
        <v>2146</v>
      </c>
      <c r="F478" s="831"/>
      <c r="G478" s="829"/>
      <c r="H478" s="832"/>
      <c r="I478" s="833"/>
      <c r="J478" s="818"/>
    </row>
    <row r="479" spans="1:10">
      <c r="A479" s="818"/>
      <c r="B479" s="435"/>
      <c r="C479" s="435"/>
      <c r="D479" s="435"/>
      <c r="E479" s="435"/>
      <c r="F479" s="831">
        <v>1</v>
      </c>
      <c r="G479" s="829">
        <v>4</v>
      </c>
      <c r="H479" s="832"/>
      <c r="I479" s="833" t="s">
        <v>2033</v>
      </c>
      <c r="J479" s="818"/>
    </row>
    <row r="480" spans="1:10">
      <c r="A480" s="818"/>
      <c r="B480" s="831"/>
      <c r="C480" s="829"/>
      <c r="D480" s="832"/>
      <c r="E480" s="833" t="s">
        <v>2147</v>
      </c>
      <c r="F480" s="831"/>
      <c r="G480" s="829">
        <v>4.8</v>
      </c>
      <c r="H480" s="832">
        <f>G479*G480*F479</f>
        <v>19.2</v>
      </c>
      <c r="I480" s="833"/>
      <c r="J480" s="818"/>
    </row>
    <row r="481" spans="1:10">
      <c r="A481" s="818"/>
      <c r="B481" s="831">
        <v>1</v>
      </c>
      <c r="C481" s="829">
        <v>4</v>
      </c>
      <c r="D481" s="832"/>
      <c r="E481" s="833" t="s">
        <v>2038</v>
      </c>
      <c r="F481" s="831"/>
      <c r="G481" s="829"/>
      <c r="H481" s="832"/>
      <c r="I481" s="833"/>
      <c r="J481" s="818"/>
    </row>
    <row r="482" spans="1:10">
      <c r="A482" s="818"/>
      <c r="B482" s="831"/>
      <c r="C482" s="829">
        <v>4.67</v>
      </c>
      <c r="D482" s="832">
        <f>C481*C482*B481</f>
        <v>18.68</v>
      </c>
      <c r="E482" s="833"/>
      <c r="F482" s="831">
        <v>2</v>
      </c>
      <c r="G482" s="829">
        <v>1.4</v>
      </c>
      <c r="H482" s="832"/>
      <c r="I482" s="833" t="s">
        <v>351</v>
      </c>
      <c r="J482" s="818"/>
    </row>
    <row r="483" spans="1:10">
      <c r="A483" s="818"/>
      <c r="B483" s="831"/>
      <c r="C483" s="829"/>
      <c r="D483" s="832"/>
      <c r="E483" s="833"/>
      <c r="F483" s="831"/>
      <c r="G483" s="829">
        <v>0.2</v>
      </c>
      <c r="H483" s="832">
        <f>G482*G483*F482</f>
        <v>0.55999999999999994</v>
      </c>
      <c r="I483" s="833"/>
      <c r="J483" s="818"/>
    </row>
    <row r="484" spans="1:10">
      <c r="A484" s="818"/>
      <c r="B484" s="831">
        <v>1</v>
      </c>
      <c r="C484" s="829">
        <v>4</v>
      </c>
      <c r="D484" s="832"/>
      <c r="E484" s="833" t="s">
        <v>1993</v>
      </c>
      <c r="F484" s="831"/>
      <c r="G484" s="829"/>
      <c r="H484" s="832"/>
      <c r="I484" s="833"/>
      <c r="J484" s="818"/>
    </row>
    <row r="485" spans="1:10">
      <c r="A485" s="818"/>
      <c r="B485" s="831"/>
      <c r="C485" s="829">
        <v>3</v>
      </c>
      <c r="D485" s="832">
        <f>C484*C485*B484</f>
        <v>12</v>
      </c>
      <c r="E485" s="833"/>
      <c r="F485" s="831">
        <v>1</v>
      </c>
      <c r="G485" s="829">
        <v>1</v>
      </c>
      <c r="H485" s="832"/>
      <c r="I485" s="833" t="s">
        <v>366</v>
      </c>
      <c r="J485" s="818"/>
    </row>
    <row r="486" spans="1:10">
      <c r="A486" s="818"/>
      <c r="B486" s="831"/>
      <c r="C486" s="829"/>
      <c r="D486" s="832"/>
      <c r="E486" s="833"/>
      <c r="F486" s="831"/>
      <c r="G486" s="829">
        <v>0.15</v>
      </c>
      <c r="H486" s="832">
        <f>G485*G486*F485</f>
        <v>0.15</v>
      </c>
      <c r="I486" s="833"/>
      <c r="J486" s="818"/>
    </row>
    <row r="487" spans="1:10">
      <c r="A487" s="818"/>
      <c r="B487" s="831">
        <v>1</v>
      </c>
      <c r="C487" s="829">
        <v>4</v>
      </c>
      <c r="D487" s="832"/>
      <c r="E487" s="833" t="s">
        <v>1997</v>
      </c>
      <c r="F487" s="831"/>
      <c r="G487" s="829"/>
      <c r="H487" s="832"/>
      <c r="I487" s="833"/>
      <c r="J487" s="818"/>
    </row>
    <row r="488" spans="1:10">
      <c r="A488" s="818"/>
      <c r="B488" s="831"/>
      <c r="C488" s="829">
        <v>3</v>
      </c>
      <c r="D488" s="832">
        <f>C487*C488*B487</f>
        <v>12</v>
      </c>
      <c r="E488" s="833"/>
      <c r="F488" s="831">
        <v>4</v>
      </c>
      <c r="G488" s="829">
        <v>0.8</v>
      </c>
      <c r="H488" s="832"/>
      <c r="I488" s="833" t="s">
        <v>58</v>
      </c>
      <c r="J488" s="818"/>
    </row>
    <row r="489" spans="1:10">
      <c r="A489" s="818"/>
      <c r="B489" s="831"/>
      <c r="C489" s="829"/>
      <c r="D489" s="832"/>
      <c r="E489" s="833"/>
      <c r="F489" s="831"/>
      <c r="G489" s="829">
        <v>0.15</v>
      </c>
      <c r="H489" s="832">
        <f>G488*G489*F488</f>
        <v>0.48</v>
      </c>
      <c r="I489" s="833"/>
      <c r="J489" s="818"/>
    </row>
    <row r="490" spans="1:10">
      <c r="A490" s="818"/>
      <c r="B490" s="831">
        <v>1</v>
      </c>
      <c r="C490" s="829">
        <v>4</v>
      </c>
      <c r="D490" s="832"/>
      <c r="E490" s="833" t="s">
        <v>1998</v>
      </c>
      <c r="F490" s="831"/>
      <c r="G490" s="829"/>
      <c r="H490" s="832"/>
      <c r="I490" s="833"/>
      <c r="J490" s="818"/>
    </row>
    <row r="491" spans="1:10">
      <c r="A491" s="818"/>
      <c r="B491" s="831"/>
      <c r="C491" s="829">
        <v>4</v>
      </c>
      <c r="D491" s="832">
        <f>C490*C491*B490</f>
        <v>16</v>
      </c>
      <c r="E491" s="833"/>
      <c r="F491" s="831">
        <v>5</v>
      </c>
      <c r="G491" s="829">
        <v>0.7</v>
      </c>
      <c r="H491" s="832"/>
      <c r="I491" s="833" t="s">
        <v>346</v>
      </c>
      <c r="J491" s="818"/>
    </row>
    <row r="492" spans="1:10">
      <c r="A492" s="818"/>
      <c r="B492" s="831"/>
      <c r="C492" s="829"/>
      <c r="D492" s="832"/>
      <c r="E492" s="833"/>
      <c r="F492" s="831"/>
      <c r="G492" s="829">
        <v>0.15</v>
      </c>
      <c r="H492" s="832">
        <f>G491*G492*F491</f>
        <v>0.52500000000000002</v>
      </c>
      <c r="I492" s="833"/>
      <c r="J492" s="818"/>
    </row>
    <row r="493" spans="1:10">
      <c r="A493" s="818"/>
      <c r="B493" s="831">
        <v>1</v>
      </c>
      <c r="C493" s="829">
        <v>4</v>
      </c>
      <c r="D493" s="832"/>
      <c r="E493" s="833" t="s">
        <v>2000</v>
      </c>
      <c r="F493" s="831"/>
      <c r="G493" s="829"/>
      <c r="H493" s="832"/>
      <c r="I493" s="833"/>
      <c r="J493" s="818"/>
    </row>
    <row r="494" spans="1:10">
      <c r="A494" s="818"/>
      <c r="B494" s="831"/>
      <c r="C494" s="829">
        <v>2.25</v>
      </c>
      <c r="D494" s="832">
        <f>C493*C494*B493</f>
        <v>9</v>
      </c>
      <c r="E494" s="833"/>
      <c r="F494" s="831">
        <v>16</v>
      </c>
      <c r="G494" s="829">
        <v>0.9</v>
      </c>
      <c r="H494" s="832"/>
      <c r="I494" s="833" t="s">
        <v>2048</v>
      </c>
      <c r="J494" s="818"/>
    </row>
    <row r="495" spans="1:10">
      <c r="A495" s="818"/>
      <c r="B495" s="831"/>
      <c r="C495" s="829"/>
      <c r="D495" s="832"/>
      <c r="E495" s="833"/>
      <c r="F495" s="831"/>
      <c r="G495" s="829">
        <v>0.15</v>
      </c>
      <c r="H495" s="832">
        <f>G494*G495*F494</f>
        <v>2.16</v>
      </c>
      <c r="I495" s="833"/>
      <c r="J495" s="818"/>
    </row>
    <row r="496" spans="1:10">
      <c r="A496" s="818"/>
      <c r="B496" s="831">
        <v>3</v>
      </c>
      <c r="C496" s="829">
        <v>4</v>
      </c>
      <c r="D496" s="832"/>
      <c r="E496" s="833" t="s">
        <v>2004</v>
      </c>
      <c r="F496" s="831"/>
      <c r="G496" s="829"/>
      <c r="H496" s="832"/>
      <c r="I496" s="833"/>
      <c r="J496" s="818"/>
    </row>
    <row r="497" spans="1:10">
      <c r="A497" s="818"/>
      <c r="B497" s="831"/>
      <c r="C497" s="829">
        <v>2.85</v>
      </c>
      <c r="D497" s="832">
        <f>C496*C497*B496</f>
        <v>34.200000000000003</v>
      </c>
      <c r="E497" s="833"/>
      <c r="F497" s="831">
        <v>1</v>
      </c>
      <c r="G497" s="829">
        <v>1.2</v>
      </c>
      <c r="H497" s="832"/>
      <c r="I497" s="833" t="s">
        <v>1973</v>
      </c>
      <c r="J497" s="818"/>
    </row>
    <row r="498" spans="1:10">
      <c r="A498" s="818"/>
      <c r="B498" s="831"/>
      <c r="C498" s="829"/>
      <c r="D498" s="832"/>
      <c r="E498" s="833"/>
      <c r="F498" s="831"/>
      <c r="G498" s="829">
        <v>0.15</v>
      </c>
      <c r="H498" s="832">
        <f>G497*G498*F497</f>
        <v>0.18</v>
      </c>
      <c r="I498" s="833"/>
      <c r="J498" s="818"/>
    </row>
    <row r="499" spans="1:10">
      <c r="A499" s="818"/>
      <c r="B499" s="831">
        <v>1</v>
      </c>
      <c r="C499" s="829">
        <v>4</v>
      </c>
      <c r="D499" s="832"/>
      <c r="E499" s="833" t="s">
        <v>183</v>
      </c>
      <c r="F499" s="831"/>
      <c r="G499" s="829"/>
      <c r="H499" s="832"/>
      <c r="I499" s="833"/>
      <c r="J499" s="818"/>
    </row>
    <row r="500" spans="1:10">
      <c r="A500" s="818"/>
      <c r="B500" s="831"/>
      <c r="C500" s="829">
        <v>2.08</v>
      </c>
      <c r="D500" s="832">
        <f>C499*C500*B499</f>
        <v>8.32</v>
      </c>
      <c r="E500" s="833"/>
      <c r="F500" s="831">
        <v>1</v>
      </c>
      <c r="G500" s="829">
        <v>2.2999999999999998</v>
      </c>
      <c r="H500" s="832"/>
      <c r="I500" s="833" t="s">
        <v>2044</v>
      </c>
      <c r="J500" s="818"/>
    </row>
    <row r="501" spans="1:10">
      <c r="A501" s="818"/>
      <c r="B501" s="831"/>
      <c r="C501" s="829"/>
      <c r="D501" s="832"/>
      <c r="E501" s="833"/>
      <c r="F501" s="831"/>
      <c r="G501" s="829">
        <v>0.2</v>
      </c>
      <c r="H501" s="832">
        <f>G500*G501*F500</f>
        <v>0.45999999999999996</v>
      </c>
      <c r="I501" s="833"/>
      <c r="J501" s="818"/>
    </row>
    <row r="502" spans="1:10">
      <c r="A502" s="818"/>
      <c r="B502" s="831">
        <v>2</v>
      </c>
      <c r="C502" s="829">
        <v>3.85</v>
      </c>
      <c r="D502" s="832"/>
      <c r="E502" s="833" t="s">
        <v>84</v>
      </c>
      <c r="F502" s="831"/>
      <c r="G502" s="829"/>
      <c r="H502" s="832"/>
      <c r="I502" s="833"/>
      <c r="J502" s="818"/>
    </row>
    <row r="503" spans="1:10">
      <c r="A503" s="818"/>
      <c r="B503" s="831"/>
      <c r="C503" s="829">
        <v>1.43</v>
      </c>
      <c r="D503" s="832">
        <f>C502*C503*B502</f>
        <v>11.010999999999999</v>
      </c>
      <c r="E503" s="833"/>
      <c r="F503" s="831">
        <v>1</v>
      </c>
      <c r="G503" s="829">
        <v>1.6</v>
      </c>
      <c r="H503" s="832"/>
      <c r="I503" s="833"/>
      <c r="J503" s="818"/>
    </row>
    <row r="504" spans="1:10">
      <c r="A504" s="818"/>
      <c r="B504" s="831"/>
      <c r="C504" s="829"/>
      <c r="D504" s="832"/>
      <c r="E504" s="833"/>
      <c r="F504" s="831"/>
      <c r="G504" s="829">
        <v>0.3</v>
      </c>
      <c r="H504" s="832">
        <f>G503*G504*F503</f>
        <v>0.48</v>
      </c>
      <c r="I504" s="833"/>
      <c r="J504" s="818"/>
    </row>
    <row r="505" spans="1:10">
      <c r="A505" s="818"/>
      <c r="B505" s="831">
        <v>1</v>
      </c>
      <c r="C505" s="829">
        <v>3.7</v>
      </c>
      <c r="D505" s="832"/>
      <c r="E505" s="833" t="s">
        <v>84</v>
      </c>
      <c r="F505" s="831"/>
      <c r="G505" s="829"/>
      <c r="H505" s="832"/>
      <c r="I505" s="833"/>
      <c r="J505" s="818"/>
    </row>
    <row r="506" spans="1:10">
      <c r="A506" s="818"/>
      <c r="B506" s="831"/>
      <c r="C506" s="829">
        <v>2.7</v>
      </c>
      <c r="D506" s="832">
        <f>C505*C506*B505</f>
        <v>9.990000000000002</v>
      </c>
      <c r="E506" s="833"/>
      <c r="F506" s="831">
        <v>1</v>
      </c>
      <c r="G506" s="829">
        <v>1.6</v>
      </c>
      <c r="H506" s="832"/>
      <c r="I506" s="833"/>
      <c r="J506" s="818"/>
    </row>
    <row r="507" spans="1:10">
      <c r="A507" s="818"/>
      <c r="B507" s="831"/>
      <c r="C507" s="829"/>
      <c r="D507" s="832"/>
      <c r="E507" s="833"/>
      <c r="F507" s="831"/>
      <c r="G507" s="829">
        <v>0.2</v>
      </c>
      <c r="H507" s="832">
        <f>G506*G507*F506</f>
        <v>0.32000000000000006</v>
      </c>
      <c r="I507" s="833"/>
      <c r="J507" s="818"/>
    </row>
    <row r="508" spans="1:10">
      <c r="A508" s="818"/>
      <c r="B508" s="831">
        <v>1</v>
      </c>
      <c r="C508" s="829">
        <v>34.700000000000003</v>
      </c>
      <c r="D508" s="832"/>
      <c r="E508" s="833" t="s">
        <v>160</v>
      </c>
      <c r="F508" s="831">
        <v>2</v>
      </c>
      <c r="G508" s="829">
        <v>0.2</v>
      </c>
      <c r="H508" s="832"/>
      <c r="I508" s="833"/>
      <c r="J508" s="818"/>
    </row>
    <row r="509" spans="1:10">
      <c r="A509" s="818"/>
      <c r="B509" s="831"/>
      <c r="C509" s="829">
        <v>2.5</v>
      </c>
      <c r="D509" s="832">
        <f>C508*C509*B508</f>
        <v>86.75</v>
      </c>
      <c r="E509" s="833"/>
      <c r="F509" s="831"/>
      <c r="G509" s="829">
        <v>0.3</v>
      </c>
      <c r="H509" s="832">
        <f>G508*G509*F508</f>
        <v>0.12</v>
      </c>
      <c r="I509" s="833"/>
      <c r="J509" s="818"/>
    </row>
    <row r="510" spans="1:10">
      <c r="A510" s="818"/>
      <c r="B510" s="435"/>
      <c r="C510" s="435"/>
      <c r="D510" s="435"/>
      <c r="E510" s="435"/>
      <c r="F510" s="857"/>
      <c r="G510" s="857"/>
      <c r="H510" s="858">
        <f>SUM(H461:H509)+SUM(D482:D515)</f>
        <v>357.36550000000005</v>
      </c>
      <c r="I510" s="859" t="s">
        <v>2148</v>
      </c>
      <c r="J510" s="818"/>
    </row>
    <row r="511" spans="1:10">
      <c r="A511" s="818"/>
      <c r="B511" s="831">
        <v>1</v>
      </c>
      <c r="C511" s="829">
        <v>2.2000000000000002</v>
      </c>
      <c r="D511" s="832"/>
      <c r="E511" s="833" t="s">
        <v>2042</v>
      </c>
      <c r="F511" s="435"/>
      <c r="G511" s="435"/>
      <c r="H511" s="435"/>
      <c r="I511" s="435"/>
      <c r="J511" s="818"/>
    </row>
    <row r="512" spans="1:10">
      <c r="A512" s="818"/>
      <c r="B512" s="831"/>
      <c r="C512" s="829">
        <v>2.5299999999999998</v>
      </c>
      <c r="D512" s="832">
        <f>C511*C512*B511</f>
        <v>5.5659999999999998</v>
      </c>
      <c r="E512" s="833"/>
      <c r="F512" s="435"/>
      <c r="G512" s="435"/>
      <c r="H512" s="435"/>
      <c r="I512" s="435"/>
      <c r="J512" s="818"/>
    </row>
    <row r="513" spans="1:10">
      <c r="A513" s="818"/>
      <c r="B513" s="831"/>
      <c r="C513" s="829"/>
      <c r="D513" s="832"/>
      <c r="E513" s="833"/>
      <c r="F513" s="435"/>
      <c r="G513" s="435"/>
      <c r="H513" s="435"/>
      <c r="I513" s="435"/>
      <c r="J513" s="818"/>
    </row>
    <row r="514" spans="1:10">
      <c r="A514" s="818"/>
      <c r="B514" s="831">
        <v>1</v>
      </c>
      <c r="C514" s="829">
        <v>1.95</v>
      </c>
      <c r="D514" s="832"/>
      <c r="E514" s="833" t="s">
        <v>364</v>
      </c>
      <c r="F514" s="435"/>
      <c r="G514" s="435"/>
      <c r="H514" s="435"/>
      <c r="I514" s="435"/>
      <c r="J514" s="818"/>
    </row>
    <row r="515" spans="1:10">
      <c r="A515" s="818"/>
      <c r="B515" s="831"/>
      <c r="C515" s="829">
        <v>2.5299999999999998</v>
      </c>
      <c r="D515" s="832">
        <f>C514*C515*B514</f>
        <v>4.9334999999999996</v>
      </c>
      <c r="E515" s="833"/>
      <c r="F515" s="435"/>
      <c r="G515" s="435"/>
      <c r="H515" s="435"/>
      <c r="I515" s="435"/>
      <c r="J515" s="818"/>
    </row>
    <row r="516" spans="1:10">
      <c r="A516" s="818"/>
      <c r="B516" s="849"/>
      <c r="C516" s="850"/>
      <c r="D516" s="851"/>
      <c r="E516" s="852"/>
      <c r="F516" s="109"/>
      <c r="G516" s="109"/>
      <c r="H516" s="109"/>
      <c r="I516" s="109"/>
      <c r="J516" s="818"/>
    </row>
    <row r="517" spans="1:10">
      <c r="A517" s="818"/>
      <c r="B517" s="853" t="s">
        <v>1884</v>
      </c>
      <c r="C517" s="854" t="s">
        <v>526</v>
      </c>
      <c r="D517" s="855" t="s">
        <v>1885</v>
      </c>
      <c r="E517" s="854" t="s">
        <v>1886</v>
      </c>
      <c r="F517" s="853" t="s">
        <v>1884</v>
      </c>
      <c r="G517" s="855" t="s">
        <v>526</v>
      </c>
      <c r="H517" s="856" t="s">
        <v>1885</v>
      </c>
      <c r="I517" s="854" t="s">
        <v>1886</v>
      </c>
    </row>
    <row r="518" spans="1:10">
      <c r="A518" s="818"/>
      <c r="B518" s="831"/>
      <c r="C518" s="829"/>
      <c r="D518" s="832"/>
      <c r="E518" s="844" t="s">
        <v>2149</v>
      </c>
      <c r="F518" s="831"/>
      <c r="G518" s="829"/>
      <c r="H518" s="832"/>
      <c r="I518" s="833" t="s">
        <v>2055</v>
      </c>
      <c r="J518" s="818"/>
    </row>
    <row r="519" spans="1:10">
      <c r="A519" s="818"/>
      <c r="B519" s="831">
        <v>1</v>
      </c>
      <c r="C519" s="829">
        <v>16.34</v>
      </c>
      <c r="D519" s="832"/>
      <c r="E519" s="833" t="s">
        <v>2038</v>
      </c>
      <c r="F519" s="831">
        <v>14</v>
      </c>
      <c r="G519" s="829">
        <v>1.5</v>
      </c>
      <c r="H519" s="832"/>
      <c r="I519" s="833" t="s">
        <v>464</v>
      </c>
      <c r="J519" s="818"/>
    </row>
    <row r="520" spans="1:10">
      <c r="A520" s="818"/>
      <c r="B520" s="831"/>
      <c r="C520" s="829"/>
      <c r="D520" s="832">
        <f>C519*B519</f>
        <v>16.34</v>
      </c>
      <c r="E520" s="833" t="s">
        <v>2056</v>
      </c>
      <c r="F520" s="831"/>
      <c r="G520" s="829"/>
      <c r="H520" s="832">
        <f>G519*F519</f>
        <v>21</v>
      </c>
      <c r="I520" s="833"/>
      <c r="J520" s="818"/>
    </row>
    <row r="521" spans="1:10">
      <c r="A521" s="818"/>
      <c r="B521" s="831"/>
      <c r="C521" s="829"/>
      <c r="D521" s="832"/>
      <c r="E521" s="833"/>
      <c r="F521" s="831"/>
      <c r="G521" s="829"/>
      <c r="H521" s="832"/>
      <c r="I521" s="833"/>
      <c r="J521" s="818"/>
    </row>
    <row r="522" spans="1:10">
      <c r="A522" s="818"/>
      <c r="B522" s="831">
        <v>1</v>
      </c>
      <c r="C522" s="829">
        <v>13</v>
      </c>
      <c r="D522" s="832"/>
      <c r="E522" s="833" t="s">
        <v>1993</v>
      </c>
      <c r="F522" s="831">
        <v>5</v>
      </c>
      <c r="G522" s="829">
        <v>1.3</v>
      </c>
      <c r="H522" s="832"/>
      <c r="I522" s="833" t="s">
        <v>747</v>
      </c>
      <c r="J522" s="818"/>
    </row>
    <row r="523" spans="1:10">
      <c r="A523" s="818"/>
      <c r="B523" s="831"/>
      <c r="C523" s="829"/>
      <c r="D523" s="832">
        <f>C522*B522</f>
        <v>13</v>
      </c>
      <c r="E523" s="833" t="s">
        <v>2057</v>
      </c>
      <c r="F523" s="831"/>
      <c r="G523" s="829"/>
      <c r="H523" s="832">
        <f>G522*F522</f>
        <v>6.5</v>
      </c>
      <c r="I523" s="833"/>
      <c r="J523" s="818"/>
    </row>
    <row r="524" spans="1:10">
      <c r="A524" s="818"/>
      <c r="B524" s="831"/>
      <c r="C524" s="829"/>
      <c r="D524" s="832"/>
      <c r="E524" s="833"/>
      <c r="F524" s="831"/>
      <c r="G524" s="829"/>
      <c r="H524" s="832"/>
      <c r="I524" s="833"/>
      <c r="J524" s="818"/>
    </row>
    <row r="525" spans="1:10">
      <c r="A525" s="818"/>
      <c r="B525" s="831">
        <v>1</v>
      </c>
      <c r="C525" s="829">
        <v>13</v>
      </c>
      <c r="D525" s="832"/>
      <c r="E525" s="833" t="s">
        <v>1997</v>
      </c>
      <c r="F525" s="831">
        <v>2</v>
      </c>
      <c r="G525" s="829">
        <v>1</v>
      </c>
      <c r="H525" s="832"/>
      <c r="I525" s="833" t="s">
        <v>2330</v>
      </c>
      <c r="J525" s="818"/>
    </row>
    <row r="526" spans="1:10">
      <c r="A526" s="818"/>
      <c r="B526" s="831"/>
      <c r="C526" s="829"/>
      <c r="D526" s="832">
        <f>C525*B525</f>
        <v>13</v>
      </c>
      <c r="E526" s="833" t="s">
        <v>2057</v>
      </c>
      <c r="F526" s="831"/>
      <c r="G526" s="829"/>
      <c r="H526" s="832">
        <f>G525*F525</f>
        <v>2</v>
      </c>
      <c r="I526" s="833"/>
      <c r="J526" s="818"/>
    </row>
    <row r="527" spans="1:10" s="341" customFormat="1">
      <c r="A527" s="834"/>
      <c r="B527" s="831"/>
      <c r="C527" s="829"/>
      <c r="D527" s="832"/>
      <c r="E527" s="833"/>
      <c r="F527" s="831"/>
      <c r="G527" s="829"/>
      <c r="H527" s="832"/>
      <c r="I527" s="833"/>
      <c r="J527" s="834"/>
    </row>
    <row r="528" spans="1:10">
      <c r="A528" s="818"/>
      <c r="B528" s="831">
        <v>1</v>
      </c>
      <c r="C528" s="829">
        <v>15</v>
      </c>
      <c r="D528" s="832"/>
      <c r="E528" s="833" t="s">
        <v>1998</v>
      </c>
      <c r="F528" s="839"/>
      <c r="G528" s="839"/>
      <c r="H528" s="838">
        <f>SUM(H519:H526)</f>
        <v>29.5</v>
      </c>
      <c r="I528" s="845" t="s">
        <v>2152</v>
      </c>
      <c r="J528" s="818"/>
    </row>
    <row r="529" spans="1:10">
      <c r="A529" s="818"/>
      <c r="B529" s="831"/>
      <c r="C529" s="829"/>
      <c r="D529" s="832">
        <f>C528*B528</f>
        <v>15</v>
      </c>
      <c r="E529" s="833" t="s">
        <v>2058</v>
      </c>
      <c r="F529" s="831"/>
      <c r="G529" s="829"/>
      <c r="H529" s="832"/>
      <c r="I529" s="833"/>
      <c r="J529" s="818"/>
    </row>
    <row r="530" spans="1:10">
      <c r="A530" s="818"/>
      <c r="B530" s="831"/>
      <c r="C530" s="829"/>
      <c r="D530" s="832"/>
      <c r="E530" s="833"/>
      <c r="F530" s="831"/>
      <c r="G530" s="829"/>
      <c r="H530" s="832"/>
      <c r="I530" s="833" t="s">
        <v>1922</v>
      </c>
      <c r="J530" s="818"/>
    </row>
    <row r="531" spans="1:10">
      <c r="A531" s="818"/>
      <c r="B531" s="831">
        <v>1</v>
      </c>
      <c r="C531" s="829">
        <v>11.5</v>
      </c>
      <c r="D531" s="832"/>
      <c r="E531" s="833" t="s">
        <v>2000</v>
      </c>
      <c r="F531" s="831">
        <v>2</v>
      </c>
      <c r="G531" s="829">
        <v>37.5</v>
      </c>
      <c r="H531" s="832"/>
      <c r="I531" s="833"/>
      <c r="J531" s="818"/>
    </row>
    <row r="532" spans="1:10">
      <c r="A532" s="818"/>
      <c r="B532" s="831"/>
      <c r="C532" s="829"/>
      <c r="D532" s="832">
        <f>C531*B531</f>
        <v>11.5</v>
      </c>
      <c r="E532" s="833" t="s">
        <v>2059</v>
      </c>
      <c r="F532" s="831"/>
      <c r="G532" s="829">
        <v>1.2</v>
      </c>
      <c r="H532" s="832">
        <f>G531*G532*F531</f>
        <v>90</v>
      </c>
      <c r="I532" s="833" t="s">
        <v>2063</v>
      </c>
      <c r="J532" s="818"/>
    </row>
    <row r="533" spans="1:10">
      <c r="A533" s="818"/>
      <c r="B533" s="831"/>
      <c r="C533" s="829"/>
      <c r="D533" s="832"/>
      <c r="E533" s="833"/>
      <c r="F533" s="831"/>
      <c r="G533" s="829"/>
      <c r="H533" s="832"/>
      <c r="I533" s="833"/>
      <c r="J533" s="818"/>
    </row>
    <row r="534" spans="1:10">
      <c r="A534" s="818"/>
      <c r="B534" s="831">
        <v>3</v>
      </c>
      <c r="C534" s="829">
        <v>12.7</v>
      </c>
      <c r="D534" s="832"/>
      <c r="E534" s="833" t="s">
        <v>2004</v>
      </c>
      <c r="F534" s="831">
        <v>2</v>
      </c>
      <c r="G534" s="829">
        <v>11.21</v>
      </c>
      <c r="H534" s="832"/>
      <c r="I534" s="833"/>
    </row>
    <row r="535" spans="1:10">
      <c r="A535" s="818"/>
      <c r="B535" s="831"/>
      <c r="C535" s="829"/>
      <c r="D535" s="832">
        <f>C534*B534</f>
        <v>38.099999999999994</v>
      </c>
      <c r="E535" s="833" t="s">
        <v>2060</v>
      </c>
      <c r="F535" s="831"/>
      <c r="G535" s="829">
        <v>1.2</v>
      </c>
      <c r="H535" s="832">
        <f>G534*G535*F534</f>
        <v>26.904</v>
      </c>
      <c r="I535" s="833" t="s">
        <v>2064</v>
      </c>
      <c r="J535" s="818"/>
    </row>
    <row r="536" spans="1:10">
      <c r="A536" s="818"/>
      <c r="B536" s="831"/>
      <c r="C536" s="829"/>
      <c r="D536" s="832"/>
      <c r="E536" s="833"/>
      <c r="F536" s="831"/>
      <c r="G536" s="829"/>
      <c r="H536" s="832"/>
      <c r="I536" s="833"/>
      <c r="J536" s="818"/>
    </row>
    <row r="537" spans="1:10">
      <c r="A537" s="818"/>
      <c r="B537" s="831">
        <v>1</v>
      </c>
      <c r="C537" s="829">
        <v>11.26</v>
      </c>
      <c r="D537" s="832"/>
      <c r="E537" s="833" t="s">
        <v>183</v>
      </c>
      <c r="F537" s="839"/>
      <c r="G537" s="839"/>
      <c r="H537" s="838">
        <f>SUM(H532:H536)</f>
        <v>116.904</v>
      </c>
      <c r="I537" s="845" t="s">
        <v>2153</v>
      </c>
      <c r="J537" s="818"/>
    </row>
    <row r="538" spans="1:10" ht="15.75" customHeight="1">
      <c r="A538" s="818"/>
      <c r="B538" s="831"/>
      <c r="C538" s="829"/>
      <c r="D538" s="832">
        <f>C537*B537</f>
        <v>11.26</v>
      </c>
      <c r="E538" s="833" t="s">
        <v>2061</v>
      </c>
      <c r="F538" s="435"/>
      <c r="G538" s="435"/>
      <c r="H538" s="435"/>
      <c r="I538" s="435"/>
      <c r="J538" s="818"/>
    </row>
    <row r="539" spans="1:10" ht="15.75" customHeight="1">
      <c r="A539" s="818"/>
      <c r="B539" s="831"/>
      <c r="C539" s="829"/>
      <c r="D539" s="832"/>
      <c r="E539" s="833"/>
      <c r="F539" s="831"/>
      <c r="G539" s="829"/>
      <c r="H539" s="832"/>
      <c r="I539" s="844" t="s">
        <v>2065</v>
      </c>
      <c r="J539" s="818"/>
    </row>
    <row r="540" spans="1:10">
      <c r="A540" s="818"/>
      <c r="B540" s="831">
        <v>2</v>
      </c>
      <c r="C540" s="829">
        <v>3.56</v>
      </c>
      <c r="D540" s="832"/>
      <c r="E540" s="833" t="s">
        <v>84</v>
      </c>
      <c r="F540" s="831">
        <v>2</v>
      </c>
      <c r="G540" s="829">
        <v>38.299999999999997</v>
      </c>
      <c r="H540" s="832"/>
      <c r="I540" s="833" t="s">
        <v>2066</v>
      </c>
      <c r="J540" s="818"/>
    </row>
    <row r="541" spans="1:10">
      <c r="A541" s="818"/>
      <c r="B541" s="831"/>
      <c r="C541" s="829"/>
      <c r="D541" s="832">
        <f>C540*B540</f>
        <v>7.12</v>
      </c>
      <c r="E541" s="833" t="s">
        <v>2062</v>
      </c>
      <c r="F541" s="831"/>
      <c r="G541" s="829"/>
      <c r="H541" s="832">
        <f>G540*F540</f>
        <v>76.599999999999994</v>
      </c>
      <c r="I541" s="833"/>
      <c r="J541" s="818"/>
    </row>
    <row r="542" spans="1:10">
      <c r="A542" s="818"/>
      <c r="B542" s="831"/>
      <c r="C542" s="829"/>
      <c r="D542" s="832"/>
      <c r="E542" s="833"/>
      <c r="F542" s="435"/>
      <c r="G542" s="435"/>
      <c r="H542" s="435"/>
      <c r="I542" s="435"/>
      <c r="J542" s="818"/>
    </row>
    <row r="543" spans="1:10">
      <c r="A543" s="818"/>
      <c r="B543" s="831">
        <v>1</v>
      </c>
      <c r="C543" s="829">
        <v>56.5</v>
      </c>
      <c r="D543" s="832"/>
      <c r="E543" s="833" t="s">
        <v>160</v>
      </c>
      <c r="F543" s="831">
        <v>2</v>
      </c>
      <c r="G543" s="829">
        <v>14.71</v>
      </c>
      <c r="H543" s="832"/>
      <c r="I543" s="833" t="s">
        <v>2067</v>
      </c>
      <c r="J543" s="818"/>
    </row>
    <row r="544" spans="1:10">
      <c r="A544" s="818"/>
      <c r="B544" s="831"/>
      <c r="C544" s="829"/>
      <c r="D544" s="832">
        <f>C543*B543</f>
        <v>56.5</v>
      </c>
      <c r="E544" s="833" t="s">
        <v>2150</v>
      </c>
      <c r="F544" s="831"/>
      <c r="G544" s="829"/>
      <c r="H544" s="832">
        <f>G543*F543</f>
        <v>29.42</v>
      </c>
      <c r="I544" s="833"/>
      <c r="J544" s="818"/>
    </row>
    <row r="545" spans="1:10">
      <c r="A545" s="818"/>
      <c r="B545" s="831"/>
      <c r="C545" s="829"/>
      <c r="D545" s="832"/>
      <c r="E545" s="833"/>
      <c r="F545" s="435"/>
      <c r="G545" s="435"/>
      <c r="H545" s="435"/>
      <c r="I545" s="435"/>
      <c r="J545" s="818"/>
    </row>
    <row r="546" spans="1:10">
      <c r="A546" s="818"/>
      <c r="B546" s="831">
        <v>1</v>
      </c>
      <c r="C546" s="829">
        <v>8.56</v>
      </c>
      <c r="D546" s="832"/>
      <c r="E546" s="833" t="s">
        <v>2018</v>
      </c>
      <c r="F546" s="831">
        <v>1</v>
      </c>
      <c r="G546" s="829">
        <v>1.6</v>
      </c>
      <c r="H546" s="832"/>
      <c r="I546" s="833" t="s">
        <v>2068</v>
      </c>
      <c r="J546" s="818"/>
    </row>
    <row r="547" spans="1:10">
      <c r="A547" s="818"/>
      <c r="B547" s="831"/>
      <c r="C547" s="829"/>
      <c r="D547" s="832">
        <f>C546*B546</f>
        <v>8.56</v>
      </c>
      <c r="E547" s="833" t="s">
        <v>2046</v>
      </c>
      <c r="F547" s="831"/>
      <c r="G547" s="829"/>
      <c r="H547" s="832">
        <f>-G546*F546</f>
        <v>-1.6</v>
      </c>
      <c r="I547" s="833" t="s">
        <v>2069</v>
      </c>
      <c r="J547" s="818"/>
    </row>
    <row r="548" spans="1:10">
      <c r="A548" s="818"/>
      <c r="B548" s="831"/>
      <c r="C548" s="829"/>
      <c r="D548" s="832"/>
      <c r="E548" s="833"/>
      <c r="F548" s="831"/>
      <c r="G548" s="829"/>
      <c r="H548" s="832"/>
      <c r="I548" s="833"/>
      <c r="J548" s="818"/>
    </row>
    <row r="549" spans="1:10">
      <c r="A549" s="818"/>
      <c r="B549" s="831">
        <v>1</v>
      </c>
      <c r="C549" s="829">
        <v>8.26</v>
      </c>
      <c r="D549" s="832"/>
      <c r="E549" s="833" t="s">
        <v>364</v>
      </c>
      <c r="F549" s="839"/>
      <c r="G549" s="839"/>
      <c r="H549" s="838">
        <f>SUM(H541:H547)</f>
        <v>104.42</v>
      </c>
      <c r="I549" s="845" t="s">
        <v>2154</v>
      </c>
      <c r="J549" s="818"/>
    </row>
    <row r="550" spans="1:10">
      <c r="A550" s="818"/>
      <c r="B550" s="831"/>
      <c r="C550" s="829"/>
      <c r="D550" s="832">
        <f>C549*B549</f>
        <v>8.26</v>
      </c>
      <c r="E550" s="833" t="s">
        <v>2047</v>
      </c>
      <c r="F550" s="435"/>
      <c r="G550" s="435"/>
      <c r="H550" s="435"/>
      <c r="I550" s="435"/>
      <c r="J550" s="818"/>
    </row>
    <row r="551" spans="1:10">
      <c r="A551" s="818"/>
      <c r="B551" s="831"/>
      <c r="C551" s="829"/>
      <c r="D551" s="832"/>
      <c r="E551" s="833"/>
      <c r="F551" s="831"/>
      <c r="G551" s="829"/>
      <c r="H551" s="832"/>
      <c r="I551" s="844" t="s">
        <v>2070</v>
      </c>
      <c r="J551" s="818"/>
    </row>
    <row r="552" spans="1:10">
      <c r="A552" s="818"/>
      <c r="B552" s="831">
        <v>1</v>
      </c>
      <c r="C552" s="829">
        <v>12.4</v>
      </c>
      <c r="D552" s="832"/>
      <c r="E552" s="833" t="s">
        <v>2025</v>
      </c>
      <c r="F552" s="831">
        <v>2</v>
      </c>
      <c r="G552" s="829">
        <v>38.6</v>
      </c>
      <c r="H552" s="832"/>
      <c r="I552" s="833" t="s">
        <v>2071</v>
      </c>
      <c r="J552" s="818"/>
    </row>
    <row r="553" spans="1:10">
      <c r="A553" s="818"/>
      <c r="B553" s="831"/>
      <c r="C553" s="829"/>
      <c r="D553" s="832">
        <f>C552*B552</f>
        <v>12.4</v>
      </c>
      <c r="E553" s="833" t="s">
        <v>2049</v>
      </c>
      <c r="F553" s="831"/>
      <c r="G553" s="829"/>
      <c r="H553" s="832">
        <f>G552*F552</f>
        <v>77.2</v>
      </c>
      <c r="I553" s="833"/>
      <c r="J553" s="818"/>
    </row>
    <row r="554" spans="1:10">
      <c r="A554" s="818"/>
      <c r="B554" s="831"/>
      <c r="C554" s="829"/>
      <c r="D554" s="832"/>
      <c r="E554" s="833"/>
      <c r="F554" s="435"/>
      <c r="G554" s="435"/>
      <c r="H554" s="435"/>
      <c r="I554" s="435"/>
      <c r="J554" s="818"/>
    </row>
    <row r="555" spans="1:10">
      <c r="A555" s="818"/>
      <c r="B555" s="831">
        <v>1</v>
      </c>
      <c r="C555" s="829">
        <v>17.04</v>
      </c>
      <c r="D555" s="832"/>
      <c r="E555" s="833" t="s">
        <v>2031</v>
      </c>
      <c r="F555" s="831">
        <v>2</v>
      </c>
      <c r="G555" s="829">
        <v>14.71</v>
      </c>
      <c r="H555" s="832"/>
      <c r="I555" s="833" t="s">
        <v>2072</v>
      </c>
      <c r="J555" s="818"/>
    </row>
    <row r="556" spans="1:10">
      <c r="A556" s="818"/>
      <c r="B556" s="831"/>
      <c r="C556" s="829"/>
      <c r="D556" s="832">
        <f>C555*B555</f>
        <v>17.04</v>
      </c>
      <c r="E556" s="833" t="s">
        <v>2050</v>
      </c>
      <c r="F556" s="831"/>
      <c r="G556" s="829"/>
      <c r="H556" s="832">
        <f>G555*F555</f>
        <v>29.42</v>
      </c>
      <c r="I556" s="833"/>
      <c r="J556" s="818"/>
    </row>
    <row r="557" spans="1:10">
      <c r="A557" s="818"/>
      <c r="B557" s="831"/>
      <c r="C557" s="829"/>
      <c r="D557" s="832"/>
      <c r="E557" s="833"/>
      <c r="F557" s="435"/>
      <c r="G557" s="435"/>
      <c r="H557" s="435"/>
      <c r="I557" s="435"/>
      <c r="J557" s="818"/>
    </row>
    <row r="558" spans="1:10">
      <c r="A558" s="818"/>
      <c r="B558" s="831">
        <v>1</v>
      </c>
      <c r="C558" s="829">
        <v>13.3</v>
      </c>
      <c r="D558" s="832"/>
      <c r="E558" s="833" t="s">
        <v>2020</v>
      </c>
      <c r="F558" s="831">
        <v>1</v>
      </c>
      <c r="G558" s="829">
        <v>1.6</v>
      </c>
      <c r="H558" s="832"/>
      <c r="I558" s="833" t="s">
        <v>2073</v>
      </c>
      <c r="J558" s="818"/>
    </row>
    <row r="559" spans="1:10">
      <c r="A559" s="818"/>
      <c r="B559" s="831"/>
      <c r="C559" s="829"/>
      <c r="D559" s="832">
        <f>C558*B558</f>
        <v>13.3</v>
      </c>
      <c r="E559" s="833" t="s">
        <v>2051</v>
      </c>
      <c r="F559" s="831"/>
      <c r="G559" s="829"/>
      <c r="H559" s="832">
        <f>-G558*F558</f>
        <v>-1.6</v>
      </c>
      <c r="I559" s="833"/>
      <c r="J559" s="818"/>
    </row>
    <row r="560" spans="1:10">
      <c r="A560" s="818"/>
      <c r="B560" s="831"/>
      <c r="C560" s="829"/>
      <c r="D560" s="832"/>
      <c r="E560" s="833"/>
      <c r="F560" s="831"/>
      <c r="G560" s="829"/>
      <c r="H560" s="832"/>
      <c r="I560" s="833"/>
      <c r="J560" s="818"/>
    </row>
    <row r="561" spans="1:10">
      <c r="A561" s="818"/>
      <c r="B561" s="831">
        <v>1</v>
      </c>
      <c r="C561" s="829">
        <v>16.600000000000001</v>
      </c>
      <c r="D561" s="832"/>
      <c r="E561" s="833" t="s">
        <v>2023</v>
      </c>
      <c r="F561" s="839"/>
      <c r="G561" s="839"/>
      <c r="H561" s="838">
        <f>SUM(H553:H560)</f>
        <v>105.02000000000001</v>
      </c>
      <c r="I561" s="845" t="s">
        <v>2155</v>
      </c>
      <c r="J561" s="818"/>
    </row>
    <row r="562" spans="1:10">
      <c r="A562" s="818"/>
      <c r="B562" s="831"/>
      <c r="C562" s="829"/>
      <c r="D562" s="832">
        <f>C561*B561</f>
        <v>16.600000000000001</v>
      </c>
      <c r="E562" s="833" t="s">
        <v>2052</v>
      </c>
      <c r="F562" s="831"/>
      <c r="G562" s="829"/>
      <c r="H562" s="832"/>
      <c r="I562" s="833"/>
      <c r="J562" s="818"/>
    </row>
    <row r="563" spans="1:10">
      <c r="B563" s="831"/>
      <c r="C563" s="829"/>
      <c r="D563" s="832"/>
      <c r="E563" s="833"/>
      <c r="F563" s="831"/>
      <c r="G563" s="829"/>
      <c r="H563" s="832"/>
      <c r="I563" s="844" t="s">
        <v>369</v>
      </c>
    </row>
    <row r="564" spans="1:10">
      <c r="B564" s="831">
        <v>1</v>
      </c>
      <c r="C564" s="829">
        <v>14.2</v>
      </c>
      <c r="D564" s="832"/>
      <c r="E564" s="833" t="s">
        <v>2027</v>
      </c>
      <c r="F564" s="831"/>
      <c r="G564" s="829"/>
      <c r="H564" s="832"/>
      <c r="I564" s="844" t="s">
        <v>2329</v>
      </c>
    </row>
    <row r="565" spans="1:10">
      <c r="B565" s="831"/>
      <c r="C565" s="829"/>
      <c r="D565" s="832">
        <f>C564*B564</f>
        <v>14.2</v>
      </c>
      <c r="E565" s="833" t="s">
        <v>2053</v>
      </c>
      <c r="F565" s="831"/>
      <c r="G565" s="829"/>
      <c r="H565" s="832"/>
      <c r="I565" s="844"/>
    </row>
    <row r="566" spans="1:10">
      <c r="B566" s="831"/>
      <c r="C566" s="829"/>
      <c r="D566" s="832"/>
      <c r="E566" s="833"/>
      <c r="F566" s="839"/>
      <c r="G566" s="839"/>
      <c r="H566" s="838">
        <f>D444</f>
        <v>1103.5714000000003</v>
      </c>
      <c r="I566" s="845" t="s">
        <v>2156</v>
      </c>
    </row>
    <row r="567" spans="1:10">
      <c r="B567" s="831">
        <v>1</v>
      </c>
      <c r="C567" s="829">
        <v>16.7</v>
      </c>
      <c r="D567" s="832"/>
      <c r="E567" s="833" t="s">
        <v>2029</v>
      </c>
      <c r="F567" s="831"/>
      <c r="G567" s="829"/>
      <c r="H567" s="832"/>
      <c r="I567" s="833"/>
    </row>
    <row r="568" spans="1:10">
      <c r="B568" s="831"/>
      <c r="C568" s="829"/>
      <c r="D568" s="832">
        <f>C567*B567</f>
        <v>16.7</v>
      </c>
      <c r="E568" s="833" t="s">
        <v>2054</v>
      </c>
      <c r="F568" s="831"/>
      <c r="G568" s="829"/>
      <c r="H568" s="832"/>
      <c r="I568" s="833" t="s">
        <v>272</v>
      </c>
    </row>
    <row r="569" spans="1:10">
      <c r="B569" s="831"/>
      <c r="C569" s="829"/>
      <c r="D569" s="832"/>
      <c r="E569" s="833"/>
      <c r="F569" s="839"/>
      <c r="G569" s="839"/>
      <c r="H569" s="838">
        <f>H448</f>
        <v>339.48749999999995</v>
      </c>
      <c r="I569" s="845" t="s">
        <v>2157</v>
      </c>
    </row>
    <row r="570" spans="1:10">
      <c r="B570" s="831">
        <v>1</v>
      </c>
      <c r="C570" s="829">
        <v>16.7</v>
      </c>
      <c r="D570" s="832"/>
      <c r="E570" s="833" t="s">
        <v>2033</v>
      </c>
      <c r="F570" s="831"/>
      <c r="G570" s="829"/>
      <c r="H570" s="832"/>
      <c r="I570" s="833"/>
    </row>
    <row r="571" spans="1:10">
      <c r="B571" s="831"/>
      <c r="C571" s="829"/>
      <c r="D571" s="832">
        <f>C570*B570</f>
        <v>16.7</v>
      </c>
      <c r="E571" s="833" t="s">
        <v>2030</v>
      </c>
      <c r="F571" s="831"/>
      <c r="G571" s="829"/>
      <c r="H571" s="832"/>
      <c r="I571" s="833" t="s">
        <v>273</v>
      </c>
    </row>
    <row r="572" spans="1:10">
      <c r="B572" s="831"/>
      <c r="C572" s="829"/>
      <c r="D572" s="832"/>
      <c r="E572" s="833"/>
      <c r="F572" s="839"/>
      <c r="G572" s="839"/>
      <c r="H572" s="838">
        <f>D314</f>
        <v>211.64959999999999</v>
      </c>
      <c r="I572" s="845" t="s">
        <v>2158</v>
      </c>
    </row>
    <row r="573" spans="1:10">
      <c r="B573" s="857"/>
      <c r="C573" s="857"/>
      <c r="D573" s="858">
        <f>SUM(D519:D571)</f>
        <v>305.58</v>
      </c>
      <c r="E573" s="859" t="s">
        <v>2151</v>
      </c>
      <c r="F573" s="849"/>
      <c r="G573" s="850"/>
      <c r="H573" s="851"/>
      <c r="I573" s="852"/>
    </row>
    <row r="574" spans="1:10">
      <c r="A574" s="818"/>
      <c r="B574" s="853" t="s">
        <v>1884</v>
      </c>
      <c r="C574" s="854" t="s">
        <v>526</v>
      </c>
      <c r="D574" s="855" t="s">
        <v>1885</v>
      </c>
      <c r="E574" s="854" t="s">
        <v>1886</v>
      </c>
      <c r="F574" s="853" t="s">
        <v>1884</v>
      </c>
      <c r="G574" s="855" t="s">
        <v>526</v>
      </c>
      <c r="H574" s="856" t="s">
        <v>1885</v>
      </c>
      <c r="I574" s="854" t="s">
        <v>1886</v>
      </c>
    </row>
    <row r="575" spans="1:10">
      <c r="B575" s="831"/>
      <c r="C575" s="829"/>
      <c r="D575" s="832"/>
      <c r="E575" s="844" t="s">
        <v>9</v>
      </c>
      <c r="F575" s="831"/>
      <c r="G575" s="829"/>
      <c r="H575" s="832"/>
      <c r="I575" s="844" t="s">
        <v>287</v>
      </c>
    </row>
    <row r="576" spans="1:10">
      <c r="B576" s="831"/>
      <c r="C576" s="829"/>
      <c r="D576" s="832"/>
      <c r="E576" s="844" t="s">
        <v>278</v>
      </c>
      <c r="F576" s="831"/>
      <c r="G576" s="829"/>
      <c r="H576" s="832"/>
      <c r="I576" s="844" t="s">
        <v>288</v>
      </c>
    </row>
    <row r="577" spans="2:9">
      <c r="B577" s="831"/>
      <c r="C577" s="829"/>
      <c r="D577" s="832"/>
      <c r="E577" s="844" t="s">
        <v>2075</v>
      </c>
      <c r="F577" s="831">
        <v>32</v>
      </c>
      <c r="G577" s="829">
        <v>1</v>
      </c>
      <c r="H577" s="832"/>
      <c r="I577" s="833"/>
    </row>
    <row r="578" spans="2:9">
      <c r="B578" s="831">
        <v>1</v>
      </c>
      <c r="C578" s="829">
        <v>9.65</v>
      </c>
      <c r="D578" s="832"/>
      <c r="E578" s="833"/>
      <c r="F578" s="839"/>
      <c r="G578" s="839"/>
      <c r="H578" s="838">
        <f>G577*F577</f>
        <v>32</v>
      </c>
      <c r="I578" s="845" t="s">
        <v>2169</v>
      </c>
    </row>
    <row r="579" spans="2:9">
      <c r="B579" s="839"/>
      <c r="C579" s="839"/>
      <c r="D579" s="838">
        <f>B578*C578</f>
        <v>9.65</v>
      </c>
      <c r="E579" s="845" t="s">
        <v>2159</v>
      </c>
      <c r="F579" s="831"/>
      <c r="G579" s="829"/>
      <c r="H579" s="832"/>
      <c r="I579" s="833"/>
    </row>
    <row r="580" spans="2:9">
      <c r="B580" s="831"/>
      <c r="C580" s="829"/>
      <c r="D580" s="832"/>
      <c r="E580" s="833"/>
      <c r="F580" s="831"/>
      <c r="G580" s="829"/>
      <c r="H580" s="832"/>
      <c r="I580" s="844" t="s">
        <v>390</v>
      </c>
    </row>
    <row r="581" spans="2:9">
      <c r="B581" s="831"/>
      <c r="C581" s="829"/>
      <c r="D581" s="832"/>
      <c r="E581" s="833" t="s">
        <v>370</v>
      </c>
      <c r="F581" s="831"/>
      <c r="G581" s="829"/>
      <c r="H581" s="832"/>
      <c r="I581" s="844" t="s">
        <v>391</v>
      </c>
    </row>
    <row r="582" spans="2:9">
      <c r="B582" s="831">
        <v>1</v>
      </c>
      <c r="C582" s="829">
        <v>3.8</v>
      </c>
      <c r="D582" s="832"/>
      <c r="E582" s="833"/>
      <c r="F582" s="831">
        <v>32</v>
      </c>
      <c r="G582" s="829">
        <v>1</v>
      </c>
      <c r="H582" s="832"/>
      <c r="I582" s="833"/>
    </row>
    <row r="583" spans="2:9">
      <c r="B583" s="839"/>
      <c r="C583" s="839"/>
      <c r="D583" s="838">
        <f>B582*C582</f>
        <v>3.8</v>
      </c>
      <c r="E583" s="845" t="s">
        <v>2160</v>
      </c>
      <c r="F583" s="839"/>
      <c r="G583" s="839"/>
      <c r="H583" s="838">
        <f>G582*F582</f>
        <v>32</v>
      </c>
      <c r="I583" s="845" t="s">
        <v>2170</v>
      </c>
    </row>
    <row r="584" spans="2:9">
      <c r="B584" s="831"/>
      <c r="C584" s="829"/>
      <c r="D584" s="832"/>
      <c r="E584" s="833"/>
      <c r="F584" s="831"/>
      <c r="G584" s="829"/>
      <c r="H584" s="832"/>
      <c r="I584" s="833"/>
    </row>
    <row r="585" spans="2:9">
      <c r="B585" s="831"/>
      <c r="C585" s="829"/>
      <c r="D585" s="832"/>
      <c r="E585" s="833" t="s">
        <v>371</v>
      </c>
      <c r="F585" s="831"/>
      <c r="G585" s="829"/>
      <c r="H585" s="832"/>
      <c r="I585" s="844" t="s">
        <v>392</v>
      </c>
    </row>
    <row r="586" spans="2:9">
      <c r="B586" s="831">
        <v>1</v>
      </c>
      <c r="C586" s="829">
        <v>8</v>
      </c>
      <c r="D586" s="832"/>
      <c r="E586" s="833"/>
      <c r="F586" s="831"/>
      <c r="G586" s="829"/>
      <c r="H586" s="832"/>
      <c r="I586" s="844" t="s">
        <v>2172</v>
      </c>
    </row>
    <row r="587" spans="2:9">
      <c r="B587" s="839"/>
      <c r="C587" s="839"/>
      <c r="D587" s="838">
        <f>B586*C586</f>
        <v>8</v>
      </c>
      <c r="E587" s="845" t="s">
        <v>2161</v>
      </c>
      <c r="F587" s="831">
        <v>14</v>
      </c>
      <c r="G587" s="829">
        <v>1</v>
      </c>
      <c r="H587" s="832"/>
      <c r="I587" s="833"/>
    </row>
    <row r="588" spans="2:9">
      <c r="B588" s="831"/>
      <c r="C588" s="829"/>
      <c r="D588" s="832"/>
      <c r="E588" s="833"/>
      <c r="F588" s="839"/>
      <c r="G588" s="839"/>
      <c r="H588" s="838">
        <f>G587*F587</f>
        <v>14</v>
      </c>
      <c r="I588" s="845" t="s">
        <v>2171</v>
      </c>
    </row>
    <row r="589" spans="2:9">
      <c r="B589" s="1388"/>
      <c r="C589" s="1389"/>
      <c r="D589" s="1389"/>
      <c r="E589" s="833" t="s">
        <v>2537</v>
      </c>
      <c r="F589" s="831"/>
      <c r="G589" s="829"/>
      <c r="H589" s="832"/>
      <c r="I589" s="833"/>
    </row>
    <row r="590" spans="2:9">
      <c r="B590" s="831">
        <v>1</v>
      </c>
      <c r="C590" s="829">
        <v>6.55</v>
      </c>
      <c r="D590" s="833"/>
      <c r="E590" s="833" t="s">
        <v>2332</v>
      </c>
      <c r="F590" s="831"/>
      <c r="G590" s="829"/>
      <c r="H590" s="832"/>
      <c r="I590" s="844" t="s">
        <v>8</v>
      </c>
    </row>
    <row r="591" spans="2:9">
      <c r="B591" s="839"/>
      <c r="C591" s="839"/>
      <c r="D591" s="838">
        <f>B590*C590</f>
        <v>6.55</v>
      </c>
      <c r="E591" s="845" t="s">
        <v>2333</v>
      </c>
      <c r="F591" s="831"/>
      <c r="G591" s="829"/>
      <c r="H591" s="832"/>
      <c r="I591" s="844" t="s">
        <v>2175</v>
      </c>
    </row>
    <row r="592" spans="2:9">
      <c r="B592" s="831"/>
      <c r="C592" s="829"/>
      <c r="D592" s="832"/>
      <c r="E592" s="833"/>
      <c r="F592" s="831">
        <v>30</v>
      </c>
      <c r="G592" s="829">
        <v>1</v>
      </c>
      <c r="H592" s="832"/>
      <c r="I592" s="833"/>
    </row>
    <row r="593" spans="2:9">
      <c r="B593" s="831"/>
      <c r="C593" s="829"/>
      <c r="D593" s="832"/>
      <c r="E593" s="844" t="s">
        <v>279</v>
      </c>
      <c r="F593" s="839"/>
      <c r="G593" s="839"/>
      <c r="H593" s="838">
        <f>G592*F592</f>
        <v>30</v>
      </c>
      <c r="I593" s="845" t="s">
        <v>2174</v>
      </c>
    </row>
    <row r="594" spans="2:9">
      <c r="B594" s="831"/>
      <c r="C594" s="829"/>
      <c r="D594" s="832"/>
      <c r="E594" s="844" t="s">
        <v>2077</v>
      </c>
      <c r="F594" s="831"/>
      <c r="G594" s="829"/>
      <c r="H594" s="832"/>
      <c r="I594" s="833"/>
    </row>
    <row r="595" spans="2:9">
      <c r="B595" s="831">
        <v>1</v>
      </c>
      <c r="C595" s="829">
        <v>22.31</v>
      </c>
      <c r="D595" s="831"/>
      <c r="E595" s="833" t="s">
        <v>2078</v>
      </c>
      <c r="F595" s="831"/>
      <c r="G595" s="829"/>
      <c r="H595" s="832"/>
      <c r="I595" s="844" t="s">
        <v>2176</v>
      </c>
    </row>
    <row r="596" spans="2:9">
      <c r="B596" s="839"/>
      <c r="C596" s="839"/>
      <c r="D596" s="838">
        <f>B595*C595</f>
        <v>22.31</v>
      </c>
      <c r="E596" s="845" t="s">
        <v>2162</v>
      </c>
      <c r="F596" s="831">
        <v>20</v>
      </c>
      <c r="G596" s="829">
        <v>1</v>
      </c>
      <c r="H596" s="832"/>
      <c r="I596" s="833"/>
    </row>
    <row r="597" spans="2:9">
      <c r="B597" s="831"/>
      <c r="C597" s="829"/>
      <c r="D597" s="832"/>
      <c r="E597" s="833"/>
      <c r="F597" s="839"/>
      <c r="G597" s="839"/>
      <c r="H597" s="838">
        <f>G596*F596</f>
        <v>20</v>
      </c>
      <c r="I597" s="845" t="s">
        <v>2173</v>
      </c>
    </row>
    <row r="598" spans="2:9">
      <c r="B598" s="831"/>
      <c r="C598" s="829"/>
      <c r="D598" s="832"/>
      <c r="E598" s="833" t="s">
        <v>2074</v>
      </c>
      <c r="F598" s="831"/>
      <c r="G598" s="829"/>
      <c r="H598" s="832"/>
      <c r="I598" s="833"/>
    </row>
    <row r="599" spans="2:9">
      <c r="B599" s="831">
        <v>1</v>
      </c>
      <c r="C599" s="829">
        <v>7.9</v>
      </c>
      <c r="D599" s="832"/>
      <c r="E599" s="833"/>
      <c r="F599" s="831"/>
      <c r="G599" s="829"/>
      <c r="H599" s="832"/>
      <c r="I599" s="844" t="s">
        <v>383</v>
      </c>
    </row>
    <row r="600" spans="2:9">
      <c r="B600" s="839"/>
      <c r="C600" s="839"/>
      <c r="D600" s="838">
        <f>C599*B599</f>
        <v>7.9</v>
      </c>
      <c r="E600" s="845" t="s">
        <v>2163</v>
      </c>
      <c r="F600" s="831">
        <v>7</v>
      </c>
      <c r="G600" s="829">
        <v>1</v>
      </c>
      <c r="H600" s="832"/>
      <c r="I600" s="833"/>
    </row>
    <row r="601" spans="2:9">
      <c r="B601" s="435"/>
      <c r="C601" s="435"/>
      <c r="D601" s="435"/>
      <c r="E601" s="435"/>
      <c r="F601" s="839"/>
      <c r="G601" s="839"/>
      <c r="H601" s="838">
        <f>G600*F600</f>
        <v>7</v>
      </c>
      <c r="I601" s="845" t="s">
        <v>2177</v>
      </c>
    </row>
    <row r="602" spans="2:9">
      <c r="B602" s="831"/>
      <c r="C602" s="829"/>
      <c r="D602" s="832"/>
      <c r="E602" s="833" t="s">
        <v>2076</v>
      </c>
      <c r="F602" s="831"/>
      <c r="G602" s="829"/>
      <c r="H602" s="832"/>
      <c r="I602" s="833"/>
    </row>
    <row r="603" spans="2:9">
      <c r="B603" s="831">
        <v>1</v>
      </c>
      <c r="C603" s="829">
        <v>11.6</v>
      </c>
      <c r="D603" s="832"/>
      <c r="E603" s="833"/>
      <c r="F603" s="831"/>
      <c r="G603" s="829"/>
      <c r="H603" s="832"/>
      <c r="I603" s="844" t="s">
        <v>385</v>
      </c>
    </row>
    <row r="604" spans="2:9">
      <c r="B604" s="839"/>
      <c r="C604" s="839"/>
      <c r="D604" s="838">
        <f>C603*B603</f>
        <v>11.6</v>
      </c>
      <c r="E604" s="845" t="s">
        <v>2164</v>
      </c>
      <c r="F604" s="831">
        <v>5</v>
      </c>
      <c r="G604" s="829">
        <v>1</v>
      </c>
      <c r="H604" s="832"/>
      <c r="I604" s="833"/>
    </row>
    <row r="605" spans="2:9">
      <c r="B605" s="435"/>
      <c r="C605" s="435"/>
      <c r="D605" s="435"/>
      <c r="E605" s="435"/>
      <c r="F605" s="839"/>
      <c r="G605" s="839"/>
      <c r="H605" s="838">
        <f>F604*G604</f>
        <v>5</v>
      </c>
      <c r="I605" s="845" t="s">
        <v>2178</v>
      </c>
    </row>
    <row r="606" spans="2:9">
      <c r="B606" s="831"/>
      <c r="C606" s="829"/>
      <c r="D606" s="832"/>
      <c r="E606" s="833" t="s">
        <v>372</v>
      </c>
      <c r="F606" s="831"/>
      <c r="G606" s="829"/>
      <c r="H606" s="832"/>
      <c r="I606" s="833"/>
    </row>
    <row r="607" spans="2:9">
      <c r="B607" s="831">
        <v>1</v>
      </c>
      <c r="C607" s="829">
        <v>2</v>
      </c>
      <c r="D607" s="832"/>
      <c r="E607" s="833"/>
      <c r="F607" s="831"/>
      <c r="G607" s="829"/>
      <c r="H607" s="832"/>
      <c r="I607" s="844" t="s">
        <v>387</v>
      </c>
    </row>
    <row r="608" spans="2:9">
      <c r="B608" s="839"/>
      <c r="C608" s="839"/>
      <c r="D608" s="838">
        <f>B607*C607</f>
        <v>2</v>
      </c>
      <c r="E608" s="845" t="s">
        <v>2165</v>
      </c>
      <c r="F608" s="831"/>
      <c r="G608" s="829"/>
      <c r="H608" s="832"/>
      <c r="I608" s="844" t="s">
        <v>2179</v>
      </c>
    </row>
    <row r="609" spans="2:9">
      <c r="B609" s="435"/>
      <c r="C609" s="435"/>
      <c r="D609" s="435"/>
      <c r="E609" s="435"/>
      <c r="F609" s="831">
        <v>1</v>
      </c>
      <c r="G609" s="829">
        <v>1</v>
      </c>
      <c r="H609" s="832"/>
      <c r="I609" s="844"/>
    </row>
    <row r="610" spans="2:9">
      <c r="B610" s="831"/>
      <c r="C610" s="829"/>
      <c r="D610" s="832"/>
      <c r="E610" s="844" t="s">
        <v>5</v>
      </c>
      <c r="F610" s="839"/>
      <c r="G610" s="839"/>
      <c r="H610" s="838">
        <f>F609*G609</f>
        <v>1</v>
      </c>
      <c r="I610" s="845" t="s">
        <v>2180</v>
      </c>
    </row>
    <row r="611" spans="2:9">
      <c r="B611" s="831"/>
      <c r="C611" s="829"/>
      <c r="D611" s="832"/>
      <c r="E611" s="844" t="s">
        <v>2334</v>
      </c>
      <c r="F611" s="831"/>
      <c r="G611" s="829"/>
      <c r="H611" s="832"/>
      <c r="I611" s="833"/>
    </row>
    <row r="612" spans="2:9">
      <c r="B612" s="831"/>
      <c r="C612" s="829"/>
      <c r="D612" s="832"/>
      <c r="E612" s="844" t="s">
        <v>2335</v>
      </c>
      <c r="F612" s="831"/>
      <c r="G612" s="829"/>
      <c r="H612" s="832"/>
      <c r="I612" s="844" t="s">
        <v>2323</v>
      </c>
    </row>
    <row r="613" spans="2:9">
      <c r="B613" s="831">
        <v>1</v>
      </c>
      <c r="C613" s="829">
        <v>60</v>
      </c>
      <c r="D613" s="832"/>
      <c r="E613" s="833"/>
      <c r="F613" s="831"/>
      <c r="G613" s="829"/>
      <c r="H613" s="832"/>
      <c r="I613" s="844" t="s">
        <v>2322</v>
      </c>
    </row>
    <row r="614" spans="2:9">
      <c r="B614" s="839"/>
      <c r="C614" s="839"/>
      <c r="D614" s="838">
        <f>C613*B613</f>
        <v>60</v>
      </c>
      <c r="E614" s="845" t="s">
        <v>2336</v>
      </c>
      <c r="F614" s="831">
        <v>1</v>
      </c>
      <c r="G614" s="829">
        <v>5.25</v>
      </c>
      <c r="H614" s="832"/>
      <c r="I614" s="833"/>
    </row>
    <row r="615" spans="2:9">
      <c r="B615" s="435"/>
      <c r="C615" s="435"/>
      <c r="D615" s="435"/>
      <c r="E615" s="435"/>
      <c r="F615" s="839"/>
      <c r="G615" s="839"/>
      <c r="H615" s="838">
        <f>G614*F614</f>
        <v>5.25</v>
      </c>
      <c r="I615" s="845" t="s">
        <v>2181</v>
      </c>
    </row>
    <row r="616" spans="2:9">
      <c r="B616" s="831"/>
      <c r="C616" s="829"/>
      <c r="D616" s="832"/>
      <c r="E616" s="844" t="s">
        <v>2337</v>
      </c>
      <c r="F616" s="435"/>
      <c r="G616" s="435"/>
      <c r="H616" s="435"/>
      <c r="I616" s="435"/>
    </row>
    <row r="617" spans="2:9">
      <c r="B617" s="831"/>
      <c r="C617" s="829"/>
      <c r="D617" s="832"/>
      <c r="E617" s="844" t="s">
        <v>382</v>
      </c>
      <c r="F617" s="435"/>
      <c r="G617" s="435"/>
      <c r="H617" s="435"/>
      <c r="I617" s="435"/>
    </row>
    <row r="618" spans="2:9">
      <c r="B618" s="831">
        <v>1</v>
      </c>
      <c r="C618" s="829">
        <v>15</v>
      </c>
      <c r="D618" s="832"/>
      <c r="E618" s="833"/>
      <c r="F618" s="435"/>
      <c r="G618" s="435"/>
      <c r="H618" s="435"/>
      <c r="I618" s="435"/>
    </row>
    <row r="619" spans="2:9">
      <c r="B619" s="839"/>
      <c r="C619" s="839"/>
      <c r="D619" s="838">
        <f>C618*B618</f>
        <v>15</v>
      </c>
      <c r="E619" s="845" t="s">
        <v>2166</v>
      </c>
      <c r="F619" s="435"/>
      <c r="G619" s="435"/>
      <c r="H619" s="435"/>
      <c r="I619" s="435"/>
    </row>
    <row r="620" spans="2:9">
      <c r="B620" s="831"/>
      <c r="C620" s="829"/>
      <c r="D620" s="832"/>
      <c r="E620" s="833"/>
      <c r="F620" s="831"/>
      <c r="G620" s="829"/>
      <c r="H620" s="832"/>
      <c r="I620" s="833"/>
    </row>
    <row r="621" spans="2:9">
      <c r="B621" s="831"/>
      <c r="C621" s="829"/>
      <c r="D621" s="832"/>
      <c r="E621" s="844" t="s">
        <v>384</v>
      </c>
      <c r="F621" s="831"/>
      <c r="G621" s="829"/>
      <c r="H621" s="832"/>
      <c r="I621" s="833"/>
    </row>
    <row r="622" spans="2:9">
      <c r="B622" s="831">
        <v>1</v>
      </c>
      <c r="C622" s="829">
        <v>19</v>
      </c>
      <c r="D622" s="832"/>
      <c r="E622" s="844"/>
      <c r="F622" s="831"/>
      <c r="G622" s="829"/>
      <c r="H622" s="832"/>
      <c r="I622" s="833"/>
    </row>
    <row r="623" spans="2:9">
      <c r="B623" s="839"/>
      <c r="C623" s="839"/>
      <c r="D623" s="838">
        <f>C622*B622</f>
        <v>19</v>
      </c>
      <c r="E623" s="845" t="s">
        <v>2167</v>
      </c>
      <c r="F623" s="831"/>
      <c r="G623" s="829"/>
      <c r="H623" s="832"/>
      <c r="I623" s="833"/>
    </row>
    <row r="624" spans="2:9">
      <c r="B624" s="435"/>
      <c r="C624" s="435"/>
      <c r="D624" s="435"/>
      <c r="E624" s="435"/>
      <c r="F624" s="831"/>
      <c r="G624" s="829"/>
      <c r="H624" s="832"/>
      <c r="I624" s="833"/>
    </row>
    <row r="625" spans="2:9">
      <c r="B625" s="831"/>
      <c r="C625" s="829"/>
      <c r="D625" s="832"/>
      <c r="E625" s="833" t="s">
        <v>386</v>
      </c>
      <c r="F625" s="831"/>
      <c r="G625" s="829"/>
      <c r="H625" s="832"/>
      <c r="I625" s="833"/>
    </row>
    <row r="626" spans="2:9">
      <c r="B626" s="831">
        <v>4</v>
      </c>
      <c r="C626" s="829">
        <v>1</v>
      </c>
      <c r="D626" s="832"/>
      <c r="E626" s="833"/>
      <c r="F626" s="831"/>
      <c r="G626" s="829"/>
      <c r="H626" s="832"/>
      <c r="I626" s="833"/>
    </row>
    <row r="627" spans="2:9">
      <c r="B627" s="839"/>
      <c r="C627" s="839"/>
      <c r="D627" s="838">
        <f>C626*B626</f>
        <v>4</v>
      </c>
      <c r="E627" s="845" t="s">
        <v>2168</v>
      </c>
      <c r="F627" s="831"/>
      <c r="G627" s="829"/>
      <c r="H627" s="832"/>
      <c r="I627" s="833"/>
    </row>
    <row r="628" spans="2:9">
      <c r="B628" s="435"/>
      <c r="C628" s="435"/>
      <c r="D628" s="435"/>
      <c r="E628" s="435"/>
      <c r="F628" s="831"/>
      <c r="G628" s="829"/>
      <c r="H628" s="832"/>
      <c r="I628" s="833"/>
    </row>
    <row r="629" spans="2:9">
      <c r="B629" s="849"/>
      <c r="C629" s="850"/>
      <c r="D629" s="851"/>
      <c r="E629" s="852"/>
      <c r="F629" s="849"/>
      <c r="G629" s="850"/>
      <c r="H629" s="851"/>
      <c r="I629" s="852"/>
    </row>
    <row r="630" spans="2:9">
      <c r="B630" s="841"/>
      <c r="C630" s="840"/>
      <c r="D630" s="830"/>
      <c r="E630" s="842"/>
      <c r="F630" s="841"/>
      <c r="G630" s="840"/>
      <c r="H630" s="830"/>
      <c r="I630" s="842"/>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10" manualBreakCount="10">
    <brk id="58" max="9" man="1"/>
    <brk id="110" max="16383" man="1"/>
    <brk id="166" max="16383" man="1"/>
    <brk id="224" max="16383" man="1"/>
    <brk id="284" max="16383" man="1"/>
    <brk id="344" max="16383" man="1"/>
    <brk id="399" max="16383" man="1"/>
    <brk id="459" max="16383" man="1"/>
    <brk id="516" max="16383" man="1"/>
    <brk id="57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115"/>
  <sheetViews>
    <sheetView view="pageBreakPreview" zoomScaleSheetLayoutView="100" workbookViewId="0">
      <selection activeCell="H12" sqref="H12"/>
    </sheetView>
  </sheetViews>
  <sheetFormatPr defaultRowHeight="15.75"/>
  <cols>
    <col min="1" max="1" width="4.7109375" style="158" customWidth="1"/>
    <col min="2" max="2" width="4.42578125" style="158" customWidth="1"/>
    <col min="3" max="3" width="27.85546875" style="158" customWidth="1"/>
    <col min="4" max="4" width="14.7109375" style="158" customWidth="1"/>
    <col min="5" max="5" width="7.7109375" style="158" customWidth="1"/>
    <col min="6" max="6" width="11.7109375" style="158" customWidth="1"/>
    <col min="7" max="7" width="9.140625" style="158" customWidth="1"/>
    <col min="8" max="8" width="10.42578125" style="158" customWidth="1"/>
    <col min="9" max="9" width="9.5703125" style="158" customWidth="1"/>
    <col min="10" max="10" width="6.42578125" style="158" customWidth="1"/>
    <col min="11" max="11" width="11.140625" style="158" customWidth="1"/>
    <col min="12" max="12" width="9.7109375" style="158" customWidth="1"/>
    <col min="13" max="13" width="11.28515625" style="158" customWidth="1"/>
    <col min="14" max="14" width="11" style="158" customWidth="1"/>
    <col min="15" max="15" width="5.85546875" style="158" customWidth="1"/>
    <col min="16" max="16384" width="9.140625" style="158"/>
  </cols>
  <sheetData>
    <row r="1" spans="1:17">
      <c r="A1" s="159"/>
      <c r="B1" s="2068" t="s">
        <v>1257</v>
      </c>
      <c r="C1" s="2068"/>
      <c r="D1" s="2068"/>
      <c r="E1" s="2068"/>
      <c r="F1" s="2068"/>
      <c r="G1" s="2068"/>
      <c r="K1" s="346"/>
      <c r="L1" s="789"/>
      <c r="M1" s="789"/>
      <c r="N1" s="789"/>
      <c r="O1" s="789"/>
    </row>
    <row r="2" spans="1:17">
      <c r="B2" s="2068" t="s">
        <v>1208</v>
      </c>
      <c r="C2" s="2068"/>
      <c r="D2" s="2068"/>
      <c r="E2" s="2068"/>
      <c r="F2" s="2068"/>
      <c r="G2" s="2068"/>
      <c r="K2" s="821" t="s">
        <v>1918</v>
      </c>
      <c r="L2" s="2063">
        <f ca="1">TODAY()</f>
        <v>42423</v>
      </c>
      <c r="M2" s="2063"/>
      <c r="N2" s="2063"/>
      <c r="O2" s="789"/>
    </row>
    <row r="3" spans="1:17">
      <c r="B3" s="1324" t="s">
        <v>1258</v>
      </c>
      <c r="K3" s="1285"/>
      <c r="L3" s="121" t="s">
        <v>1264</v>
      </c>
      <c r="M3" s="121"/>
      <c r="N3" s="121"/>
      <c r="O3" s="121"/>
      <c r="P3" s="121"/>
      <c r="Q3" s="121"/>
    </row>
    <row r="4" spans="1:17">
      <c r="B4" s="1324" t="s">
        <v>1209</v>
      </c>
      <c r="J4" s="1285"/>
      <c r="K4" s="1285"/>
      <c r="L4" s="1285"/>
      <c r="M4" s="1285"/>
      <c r="N4" s="1285"/>
    </row>
    <row r="5" spans="1:17">
      <c r="B5" s="1324" t="s">
        <v>2185</v>
      </c>
      <c r="C5" s="901"/>
      <c r="D5" s="901"/>
      <c r="E5" s="901"/>
      <c r="F5" s="901"/>
      <c r="G5" s="901"/>
      <c r="H5" s="346"/>
      <c r="I5" s="346"/>
      <c r="J5" s="1285"/>
      <c r="K5" s="1285"/>
      <c r="L5" s="1285"/>
      <c r="M5" s="1285"/>
      <c r="N5" s="1325"/>
    </row>
    <row r="6" spans="1:17">
      <c r="B6" s="1326"/>
      <c r="C6" s="886"/>
      <c r="D6" s="886"/>
      <c r="E6" s="886"/>
      <c r="F6" s="886"/>
      <c r="G6" s="886"/>
      <c r="H6" s="346"/>
      <c r="I6" s="346"/>
      <c r="J6" s="1285"/>
      <c r="K6" s="1285"/>
      <c r="L6" s="1285"/>
      <c r="M6" s="1285"/>
      <c r="N6" s="1325"/>
    </row>
    <row r="7" spans="1:17">
      <c r="B7" s="2064" t="s">
        <v>4</v>
      </c>
      <c r="C7" s="2064" t="s">
        <v>293</v>
      </c>
      <c r="D7" s="2064" t="s">
        <v>309</v>
      </c>
      <c r="E7" s="2064" t="s">
        <v>310</v>
      </c>
      <c r="F7" s="1282" t="s">
        <v>295</v>
      </c>
      <c r="G7" s="2064" t="s">
        <v>311</v>
      </c>
      <c r="H7" s="2064"/>
      <c r="I7" s="2064"/>
      <c r="J7" s="1282"/>
      <c r="K7" s="1282" t="s">
        <v>312</v>
      </c>
      <c r="L7" s="1282"/>
      <c r="M7" s="1282"/>
      <c r="N7" s="1282"/>
    </row>
    <row r="8" spans="1:17">
      <c r="B8" s="2064"/>
      <c r="C8" s="2064"/>
      <c r="D8" s="2064"/>
      <c r="E8" s="2064"/>
      <c r="F8" s="1282" t="s">
        <v>313</v>
      </c>
      <c r="G8" s="1282" t="s">
        <v>314</v>
      </c>
      <c r="H8" s="1282" t="s">
        <v>315</v>
      </c>
      <c r="I8" s="1282" t="s">
        <v>316</v>
      </c>
      <c r="J8" s="1282" t="s">
        <v>317</v>
      </c>
      <c r="K8" s="1282" t="s">
        <v>318</v>
      </c>
      <c r="L8" s="1282" t="s">
        <v>319</v>
      </c>
      <c r="M8" s="1282" t="s">
        <v>320</v>
      </c>
      <c r="N8" s="1282" t="s">
        <v>321</v>
      </c>
    </row>
    <row r="9" spans="1:17">
      <c r="B9" s="872"/>
      <c r="C9" s="866" t="s">
        <v>1</v>
      </c>
      <c r="D9" s="861" t="s">
        <v>396</v>
      </c>
      <c r="E9" s="861">
        <v>14</v>
      </c>
      <c r="F9" s="863">
        <v>11.88</v>
      </c>
      <c r="G9" s="861">
        <v>4</v>
      </c>
      <c r="H9" s="864">
        <v>3</v>
      </c>
      <c r="I9" s="861">
        <f t="shared" ref="I9:I20" si="0">H9*G9</f>
        <v>12</v>
      </c>
      <c r="J9" s="865" t="str">
        <f t="shared" ref="J9:J20" si="1">IF(E9=6,I9*F9,"-")</f>
        <v>-</v>
      </c>
      <c r="K9" s="865" t="str">
        <f t="shared" ref="K9:K20" si="2">IF(E9=8,I9*F9,"-")</f>
        <v>-</v>
      </c>
      <c r="L9" s="865" t="str">
        <f t="shared" ref="L9:L20" si="3">IF(E9=10,I9*F9,"-")</f>
        <v>-</v>
      </c>
      <c r="M9" s="865" t="str">
        <f t="shared" ref="M9:M20" si="4">IF(E9=12,I9*F9,"-")</f>
        <v>-</v>
      </c>
      <c r="N9" s="873">
        <f>IF(E9=14,I9*F9,"-")</f>
        <v>142.56</v>
      </c>
    </row>
    <row r="10" spans="1:17">
      <c r="B10" s="872"/>
      <c r="C10" s="861" t="s">
        <v>121</v>
      </c>
      <c r="D10" s="861" t="s">
        <v>121</v>
      </c>
      <c r="E10" s="861">
        <v>14</v>
      </c>
      <c r="F10" s="863">
        <v>10.6</v>
      </c>
      <c r="G10" s="861">
        <v>4</v>
      </c>
      <c r="H10" s="864">
        <v>3</v>
      </c>
      <c r="I10" s="861">
        <f t="shared" si="0"/>
        <v>12</v>
      </c>
      <c r="J10" s="865" t="str">
        <f t="shared" si="1"/>
        <v>-</v>
      </c>
      <c r="K10" s="865" t="str">
        <f t="shared" si="2"/>
        <v>-</v>
      </c>
      <c r="L10" s="865" t="str">
        <f t="shared" si="3"/>
        <v>-</v>
      </c>
      <c r="M10" s="865" t="str">
        <f t="shared" si="4"/>
        <v>-</v>
      </c>
      <c r="N10" s="873">
        <f t="shared" ref="N10:N20" si="5">IF(E10=14,I10*F10,"-")</f>
        <v>127.19999999999999</v>
      </c>
    </row>
    <row r="11" spans="1:17">
      <c r="B11" s="872"/>
      <c r="C11" s="861" t="s">
        <v>121</v>
      </c>
      <c r="D11" s="861" t="s">
        <v>121</v>
      </c>
      <c r="E11" s="861">
        <v>14</v>
      </c>
      <c r="F11" s="863">
        <v>7.98</v>
      </c>
      <c r="G11" s="861">
        <v>4</v>
      </c>
      <c r="H11" s="864">
        <v>3</v>
      </c>
      <c r="I11" s="861">
        <f t="shared" si="0"/>
        <v>12</v>
      </c>
      <c r="J11" s="865" t="str">
        <f t="shared" si="1"/>
        <v>-</v>
      </c>
      <c r="K11" s="865" t="str">
        <f t="shared" si="2"/>
        <v>-</v>
      </c>
      <c r="L11" s="865" t="str">
        <f t="shared" si="3"/>
        <v>-</v>
      </c>
      <c r="M11" s="865" t="str">
        <f t="shared" si="4"/>
        <v>-</v>
      </c>
      <c r="N11" s="873">
        <f t="shared" si="5"/>
        <v>95.76</v>
      </c>
    </row>
    <row r="12" spans="1:17">
      <c r="B12" s="872"/>
      <c r="C12" s="861" t="s">
        <v>121</v>
      </c>
      <c r="D12" s="861" t="s">
        <v>121</v>
      </c>
      <c r="E12" s="861">
        <v>14</v>
      </c>
      <c r="F12" s="863">
        <v>7.17</v>
      </c>
      <c r="G12" s="861">
        <v>4</v>
      </c>
      <c r="H12" s="864">
        <v>3</v>
      </c>
      <c r="I12" s="861">
        <f t="shared" si="0"/>
        <v>12</v>
      </c>
      <c r="J12" s="865" t="str">
        <f t="shared" si="1"/>
        <v>-</v>
      </c>
      <c r="K12" s="865" t="str">
        <f t="shared" si="2"/>
        <v>-</v>
      </c>
      <c r="L12" s="865" t="str">
        <f t="shared" si="3"/>
        <v>-</v>
      </c>
      <c r="M12" s="865" t="str">
        <f t="shared" si="4"/>
        <v>-</v>
      </c>
      <c r="N12" s="873">
        <f t="shared" si="5"/>
        <v>86.039999999999992</v>
      </c>
    </row>
    <row r="13" spans="1:17">
      <c r="B13" s="872"/>
      <c r="C13" s="861" t="s">
        <v>121</v>
      </c>
      <c r="D13" s="861" t="s">
        <v>121</v>
      </c>
      <c r="E13" s="861">
        <v>14</v>
      </c>
      <c r="F13" s="863">
        <v>10.1</v>
      </c>
      <c r="G13" s="861">
        <v>4</v>
      </c>
      <c r="H13" s="864">
        <v>3</v>
      </c>
      <c r="I13" s="861">
        <f t="shared" si="0"/>
        <v>12</v>
      </c>
      <c r="J13" s="865" t="str">
        <f t="shared" si="1"/>
        <v>-</v>
      </c>
      <c r="K13" s="865" t="str">
        <f t="shared" si="2"/>
        <v>-</v>
      </c>
      <c r="L13" s="865" t="str">
        <f t="shared" si="3"/>
        <v>-</v>
      </c>
      <c r="M13" s="865" t="str">
        <f t="shared" si="4"/>
        <v>-</v>
      </c>
      <c r="N13" s="873">
        <f t="shared" si="5"/>
        <v>121.19999999999999</v>
      </c>
    </row>
    <row r="14" spans="1:17">
      <c r="B14" s="872"/>
      <c r="C14" s="861" t="s">
        <v>121</v>
      </c>
      <c r="D14" s="861" t="s">
        <v>121</v>
      </c>
      <c r="E14" s="861">
        <v>14</v>
      </c>
      <c r="F14" s="863">
        <v>10.6</v>
      </c>
      <c r="G14" s="861">
        <v>4</v>
      </c>
      <c r="H14" s="864">
        <v>3</v>
      </c>
      <c r="I14" s="861">
        <f t="shared" si="0"/>
        <v>12</v>
      </c>
      <c r="J14" s="865" t="str">
        <f t="shared" si="1"/>
        <v>-</v>
      </c>
      <c r="K14" s="865" t="str">
        <f t="shared" si="2"/>
        <v>-</v>
      </c>
      <c r="L14" s="865" t="str">
        <f t="shared" si="3"/>
        <v>-</v>
      </c>
      <c r="M14" s="865" t="str">
        <f t="shared" si="4"/>
        <v>-</v>
      </c>
      <c r="N14" s="873">
        <f t="shared" si="5"/>
        <v>127.19999999999999</v>
      </c>
    </row>
    <row r="15" spans="1:17">
      <c r="B15" s="872"/>
      <c r="C15" s="861" t="s">
        <v>121</v>
      </c>
      <c r="D15" s="861" t="s">
        <v>121</v>
      </c>
      <c r="E15" s="861">
        <v>14</v>
      </c>
      <c r="F15" s="863">
        <v>7.37</v>
      </c>
      <c r="G15" s="861">
        <v>4</v>
      </c>
      <c r="H15" s="864">
        <v>3</v>
      </c>
      <c r="I15" s="861">
        <f t="shared" si="0"/>
        <v>12</v>
      </c>
      <c r="J15" s="865" t="str">
        <f t="shared" si="1"/>
        <v>-</v>
      </c>
      <c r="K15" s="865" t="str">
        <f t="shared" si="2"/>
        <v>-</v>
      </c>
      <c r="L15" s="865" t="str">
        <f t="shared" si="3"/>
        <v>-</v>
      </c>
      <c r="M15" s="865" t="str">
        <f t="shared" si="4"/>
        <v>-</v>
      </c>
      <c r="N15" s="873">
        <f t="shared" si="5"/>
        <v>88.44</v>
      </c>
    </row>
    <row r="16" spans="1:17">
      <c r="B16" s="872"/>
      <c r="C16" s="861" t="s">
        <v>121</v>
      </c>
      <c r="D16" s="861" t="s">
        <v>121</v>
      </c>
      <c r="E16" s="861">
        <v>14</v>
      </c>
      <c r="F16" s="863">
        <v>9.1999999999999993</v>
      </c>
      <c r="G16" s="861">
        <v>4</v>
      </c>
      <c r="H16" s="864">
        <v>3</v>
      </c>
      <c r="I16" s="861">
        <f t="shared" si="0"/>
        <v>12</v>
      </c>
      <c r="J16" s="865" t="str">
        <f t="shared" si="1"/>
        <v>-</v>
      </c>
      <c r="K16" s="865" t="str">
        <f t="shared" si="2"/>
        <v>-</v>
      </c>
      <c r="L16" s="865" t="str">
        <f t="shared" si="3"/>
        <v>-</v>
      </c>
      <c r="M16" s="865" t="str">
        <f t="shared" si="4"/>
        <v>-</v>
      </c>
      <c r="N16" s="873">
        <f t="shared" si="5"/>
        <v>110.39999999999999</v>
      </c>
    </row>
    <row r="17" spans="2:14">
      <c r="B17" s="872"/>
      <c r="C17" s="861" t="s">
        <v>121</v>
      </c>
      <c r="D17" s="861" t="s">
        <v>395</v>
      </c>
      <c r="E17" s="861">
        <v>8</v>
      </c>
      <c r="F17" s="863">
        <v>1.2</v>
      </c>
      <c r="G17" s="861">
        <v>4</v>
      </c>
      <c r="H17" s="864">
        <v>176</v>
      </c>
      <c r="I17" s="861">
        <f t="shared" si="0"/>
        <v>704</v>
      </c>
      <c r="J17" s="865" t="str">
        <f t="shared" si="1"/>
        <v>-</v>
      </c>
      <c r="K17" s="865">
        <f t="shared" si="2"/>
        <v>844.8</v>
      </c>
      <c r="L17" s="865" t="str">
        <f t="shared" si="3"/>
        <v>-</v>
      </c>
      <c r="M17" s="865" t="str">
        <f t="shared" si="4"/>
        <v>-</v>
      </c>
      <c r="N17" s="873" t="str">
        <f t="shared" si="5"/>
        <v>-</v>
      </c>
    </row>
    <row r="18" spans="2:14">
      <c r="B18" s="872"/>
      <c r="C18" s="862" t="s">
        <v>121</v>
      </c>
      <c r="D18" s="861" t="s">
        <v>397</v>
      </c>
      <c r="E18" s="861">
        <v>14</v>
      </c>
      <c r="F18" s="863">
        <v>11.95</v>
      </c>
      <c r="G18" s="861">
        <v>8</v>
      </c>
      <c r="H18" s="864">
        <v>3</v>
      </c>
      <c r="I18" s="861">
        <f t="shared" si="0"/>
        <v>24</v>
      </c>
      <c r="J18" s="865" t="str">
        <f t="shared" si="1"/>
        <v>-</v>
      </c>
      <c r="K18" s="865" t="str">
        <f t="shared" si="2"/>
        <v>-</v>
      </c>
      <c r="L18" s="865" t="str">
        <f t="shared" si="3"/>
        <v>-</v>
      </c>
      <c r="M18" s="865" t="str">
        <f t="shared" si="4"/>
        <v>-</v>
      </c>
      <c r="N18" s="873">
        <f t="shared" si="5"/>
        <v>286.79999999999995</v>
      </c>
    </row>
    <row r="19" spans="2:14">
      <c r="B19" s="872"/>
      <c r="C19" s="862" t="s">
        <v>121</v>
      </c>
      <c r="D19" s="861" t="s">
        <v>121</v>
      </c>
      <c r="E19" s="861">
        <v>14</v>
      </c>
      <c r="F19" s="863">
        <v>11.25</v>
      </c>
      <c r="G19" s="861">
        <v>8</v>
      </c>
      <c r="H19" s="864">
        <v>3</v>
      </c>
      <c r="I19" s="861">
        <f t="shared" si="0"/>
        <v>24</v>
      </c>
      <c r="J19" s="865" t="str">
        <f t="shared" si="1"/>
        <v>-</v>
      </c>
      <c r="K19" s="865" t="str">
        <f t="shared" si="2"/>
        <v>-</v>
      </c>
      <c r="L19" s="865" t="str">
        <f t="shared" si="3"/>
        <v>-</v>
      </c>
      <c r="M19" s="865" t="str">
        <f t="shared" si="4"/>
        <v>-</v>
      </c>
      <c r="N19" s="873">
        <f t="shared" si="5"/>
        <v>270</v>
      </c>
    </row>
    <row r="20" spans="2:14">
      <c r="B20" s="872"/>
      <c r="C20" s="862" t="s">
        <v>121</v>
      </c>
      <c r="D20" s="861" t="str">
        <f>D17</f>
        <v>st</v>
      </c>
      <c r="E20" s="861">
        <v>8</v>
      </c>
      <c r="F20" s="863">
        <v>1.2</v>
      </c>
      <c r="G20" s="861">
        <v>8</v>
      </c>
      <c r="H20" s="864">
        <v>62</v>
      </c>
      <c r="I20" s="861">
        <f t="shared" si="0"/>
        <v>496</v>
      </c>
      <c r="J20" s="865" t="str">
        <f t="shared" si="1"/>
        <v>-</v>
      </c>
      <c r="K20" s="865">
        <f t="shared" si="2"/>
        <v>595.19999999999993</v>
      </c>
      <c r="L20" s="865" t="str">
        <f t="shared" si="3"/>
        <v>-</v>
      </c>
      <c r="M20" s="865" t="str">
        <f t="shared" si="4"/>
        <v>-</v>
      </c>
      <c r="N20" s="873" t="str">
        <f t="shared" si="5"/>
        <v>-</v>
      </c>
    </row>
    <row r="21" spans="2:14">
      <c r="B21" s="872"/>
      <c r="C21" s="862"/>
      <c r="D21" s="861"/>
      <c r="E21" s="861"/>
      <c r="F21" s="863"/>
      <c r="G21" s="861"/>
      <c r="H21" s="864"/>
      <c r="I21" s="861"/>
      <c r="J21" s="865"/>
      <c r="K21" s="865"/>
      <c r="L21" s="865"/>
      <c r="M21" s="865"/>
      <c r="N21" s="873"/>
    </row>
    <row r="22" spans="2:14">
      <c r="B22" s="872"/>
      <c r="C22" s="862"/>
      <c r="D22" s="861"/>
      <c r="E22" s="861"/>
      <c r="F22" s="863"/>
      <c r="G22" s="861"/>
      <c r="H22" s="864"/>
      <c r="I22" s="861"/>
      <c r="J22" s="865"/>
      <c r="K22" s="865"/>
      <c r="L22" s="865"/>
      <c r="M22" s="865"/>
      <c r="N22" s="873"/>
    </row>
    <row r="23" spans="2:14">
      <c r="B23" s="872"/>
      <c r="C23" s="862"/>
      <c r="D23" s="861"/>
      <c r="E23" s="861"/>
      <c r="F23" s="863"/>
      <c r="G23" s="861"/>
      <c r="H23" s="864"/>
      <c r="I23" s="861"/>
      <c r="J23" s="865"/>
      <c r="K23" s="865"/>
      <c r="L23" s="865"/>
      <c r="M23" s="865"/>
      <c r="N23" s="873"/>
    </row>
    <row r="24" spans="2:14">
      <c r="B24" s="872"/>
      <c r="C24" s="862"/>
      <c r="D24" s="861"/>
      <c r="E24" s="861"/>
      <c r="F24" s="863"/>
      <c r="G24" s="861"/>
      <c r="H24" s="864"/>
      <c r="I24" s="861"/>
      <c r="J24" s="865"/>
      <c r="K24" s="865"/>
      <c r="L24" s="865"/>
      <c r="M24" s="865"/>
      <c r="N24" s="873"/>
    </row>
    <row r="25" spans="2:14">
      <c r="B25" s="872"/>
      <c r="C25" s="862"/>
      <c r="D25" s="861"/>
      <c r="E25" s="861"/>
      <c r="F25" s="863"/>
      <c r="G25" s="861"/>
      <c r="H25" s="864"/>
      <c r="I25" s="861"/>
      <c r="J25" s="865"/>
      <c r="K25" s="865"/>
      <c r="L25" s="865"/>
      <c r="M25" s="865"/>
      <c r="N25" s="873"/>
    </row>
    <row r="26" spans="2:14">
      <c r="B26" s="872"/>
      <c r="C26" s="862"/>
      <c r="D26" s="861"/>
      <c r="E26" s="861"/>
      <c r="F26" s="863"/>
      <c r="G26" s="861"/>
      <c r="H26" s="864"/>
      <c r="I26" s="861"/>
      <c r="J26" s="865"/>
      <c r="K26" s="865"/>
      <c r="L26" s="865"/>
      <c r="M26" s="865"/>
      <c r="N26" s="873"/>
    </row>
    <row r="27" spans="2:14">
      <c r="B27" s="880"/>
      <c r="C27" s="895"/>
      <c r="D27" s="895"/>
      <c r="E27" s="895"/>
      <c r="F27" s="896"/>
      <c r="G27" s="895"/>
      <c r="H27" s="895"/>
      <c r="I27" s="895"/>
      <c r="J27" s="896"/>
      <c r="K27" s="896"/>
      <c r="L27" s="896"/>
      <c r="M27" s="896"/>
      <c r="N27" s="897"/>
    </row>
    <row r="28" spans="2:14">
      <c r="B28" s="2065" t="s">
        <v>301</v>
      </c>
      <c r="C28" s="2066"/>
      <c r="D28" s="2066"/>
      <c r="E28" s="2066"/>
      <c r="F28" s="2066"/>
      <c r="G28" s="2066"/>
      <c r="H28" s="2066"/>
      <c r="I28" s="2067"/>
      <c r="J28" s="142"/>
      <c r="K28" s="119">
        <f>SUM(K9:K27)</f>
        <v>1440</v>
      </c>
      <c r="L28" s="119">
        <f>SUM(L9:L27)</f>
        <v>0</v>
      </c>
      <c r="M28" s="119">
        <f>SUM(M9:M27)</f>
        <v>0</v>
      </c>
      <c r="N28" s="119">
        <f>SUM(N9:N27)</f>
        <v>1455.6</v>
      </c>
    </row>
    <row r="29" spans="2:14">
      <c r="B29" s="2065" t="s">
        <v>302</v>
      </c>
      <c r="C29" s="2066"/>
      <c r="D29" s="2066"/>
      <c r="E29" s="2066"/>
      <c r="F29" s="2066"/>
      <c r="G29" s="2066"/>
      <c r="H29" s="2066"/>
      <c r="I29" s="2067"/>
      <c r="J29" s="898"/>
      <c r="K29" s="362" t="s">
        <v>303</v>
      </c>
      <c r="L29" s="362" t="s">
        <v>304</v>
      </c>
      <c r="M29" s="362" t="s">
        <v>305</v>
      </c>
      <c r="N29" s="362" t="s">
        <v>306</v>
      </c>
    </row>
    <row r="30" spans="2:14">
      <c r="B30" s="2065" t="s">
        <v>307</v>
      </c>
      <c r="C30" s="2066"/>
      <c r="D30" s="2066"/>
      <c r="E30" s="2066"/>
      <c r="F30" s="2066"/>
      <c r="G30" s="2066"/>
      <c r="H30" s="2066"/>
      <c r="I30" s="2067"/>
      <c r="J30" s="899"/>
      <c r="K30" s="425">
        <f>K28*K29</f>
        <v>568.80000000000007</v>
      </c>
      <c r="L30" s="425">
        <f>L28*L29</f>
        <v>0</v>
      </c>
      <c r="M30" s="425">
        <f>M28*M29</f>
        <v>0</v>
      </c>
      <c r="N30" s="425">
        <f>N28*N29</f>
        <v>1761.2759999999998</v>
      </c>
    </row>
    <row r="31" spans="2:14" ht="15" customHeight="1">
      <c r="B31" s="881"/>
      <c r="C31" s="900" t="s">
        <v>2186</v>
      </c>
      <c r="D31" s="887"/>
      <c r="E31" s="882"/>
      <c r="F31" s="883"/>
      <c r="G31" s="882"/>
      <c r="H31" s="882"/>
      <c r="I31" s="882"/>
      <c r="J31" s="882"/>
      <c r="K31" s="884"/>
      <c r="L31" s="883"/>
      <c r="M31" s="883"/>
      <c r="N31" s="885"/>
    </row>
    <row r="32" spans="2:14">
      <c r="B32" s="872">
        <v>1</v>
      </c>
      <c r="C32" s="867" t="s">
        <v>398</v>
      </c>
      <c r="D32" s="866"/>
      <c r="E32" s="867">
        <v>8</v>
      </c>
      <c r="F32" s="868">
        <v>3.63</v>
      </c>
      <c r="G32" s="867">
        <v>2</v>
      </c>
      <c r="H32" s="867">
        <v>21</v>
      </c>
      <c r="I32" s="867">
        <f>G32*H32</f>
        <v>42</v>
      </c>
      <c r="J32" s="867"/>
      <c r="K32" s="869">
        <f>F32*I32</f>
        <v>152.46</v>
      </c>
      <c r="L32" s="868"/>
      <c r="M32" s="868"/>
      <c r="N32" s="878"/>
    </row>
    <row r="33" spans="2:14" ht="15" customHeight="1">
      <c r="B33" s="872"/>
      <c r="C33" s="870" t="s">
        <v>399</v>
      </c>
      <c r="D33" s="862"/>
      <c r="E33" s="867">
        <v>8</v>
      </c>
      <c r="F33" s="868">
        <v>3.87</v>
      </c>
      <c r="G33" s="867">
        <v>2</v>
      </c>
      <c r="H33" s="867">
        <v>19</v>
      </c>
      <c r="I33" s="867">
        <f t="shared" ref="I33:I43" si="6">G33*H33</f>
        <v>38</v>
      </c>
      <c r="J33" s="867"/>
      <c r="K33" s="869">
        <f>F33*I33</f>
        <v>147.06</v>
      </c>
      <c r="L33" s="868"/>
      <c r="M33" s="868"/>
      <c r="N33" s="878"/>
    </row>
    <row r="34" spans="2:14">
      <c r="B34" s="872">
        <v>2</v>
      </c>
      <c r="C34" s="870" t="s">
        <v>398</v>
      </c>
      <c r="D34" s="861"/>
      <c r="E34" s="867">
        <v>8</v>
      </c>
      <c r="F34" s="868">
        <v>4.67</v>
      </c>
      <c r="G34" s="867">
        <v>10</v>
      </c>
      <c r="H34" s="867">
        <v>20</v>
      </c>
      <c r="I34" s="867">
        <f t="shared" si="6"/>
        <v>200</v>
      </c>
      <c r="J34" s="867"/>
      <c r="K34" s="869">
        <f t="shared" ref="K34:K43" si="7">F34*I34</f>
        <v>934</v>
      </c>
      <c r="L34" s="868"/>
      <c r="M34" s="868"/>
      <c r="N34" s="878"/>
    </row>
    <row r="35" spans="2:14">
      <c r="B35" s="872"/>
      <c r="C35" s="870" t="s">
        <v>400</v>
      </c>
      <c r="D35" s="861"/>
      <c r="E35" s="867">
        <v>8</v>
      </c>
      <c r="F35" s="868">
        <v>3.87</v>
      </c>
      <c r="G35" s="867">
        <v>10</v>
      </c>
      <c r="H35" s="867">
        <v>24</v>
      </c>
      <c r="I35" s="867">
        <f t="shared" si="6"/>
        <v>240</v>
      </c>
      <c r="J35" s="867"/>
      <c r="K35" s="869">
        <f t="shared" si="7"/>
        <v>928.80000000000007</v>
      </c>
      <c r="L35" s="868"/>
      <c r="M35" s="868"/>
      <c r="N35" s="878"/>
    </row>
    <row r="36" spans="2:14">
      <c r="B36" s="872">
        <v>3</v>
      </c>
      <c r="C36" s="870" t="s">
        <v>398</v>
      </c>
      <c r="D36" s="862"/>
      <c r="E36" s="867">
        <v>8</v>
      </c>
      <c r="F36" s="868">
        <v>5.67</v>
      </c>
      <c r="G36" s="867">
        <v>2</v>
      </c>
      <c r="H36" s="867">
        <v>20</v>
      </c>
      <c r="I36" s="867">
        <f t="shared" si="6"/>
        <v>40</v>
      </c>
      <c r="J36" s="867"/>
      <c r="K36" s="869">
        <f t="shared" si="7"/>
        <v>226.8</v>
      </c>
      <c r="L36" s="868"/>
      <c r="M36" s="868"/>
      <c r="N36" s="878"/>
    </row>
    <row r="37" spans="2:14">
      <c r="B37" s="872"/>
      <c r="C37" s="870" t="s">
        <v>401</v>
      </c>
      <c r="D37" s="861"/>
      <c r="E37" s="867">
        <v>8</v>
      </c>
      <c r="F37" s="868">
        <v>3.87</v>
      </c>
      <c r="G37" s="867">
        <v>2</v>
      </c>
      <c r="H37" s="867">
        <v>29</v>
      </c>
      <c r="I37" s="867">
        <f t="shared" si="6"/>
        <v>58</v>
      </c>
      <c r="J37" s="867"/>
      <c r="K37" s="869">
        <f t="shared" si="7"/>
        <v>224.46</v>
      </c>
      <c r="L37" s="868"/>
      <c r="M37" s="868"/>
      <c r="N37" s="878"/>
    </row>
    <row r="38" spans="2:14">
      <c r="B38" s="872">
        <v>4</v>
      </c>
      <c r="C38" s="870" t="s">
        <v>402</v>
      </c>
      <c r="D38" s="862"/>
      <c r="E38" s="867">
        <v>8</v>
      </c>
      <c r="F38" s="868">
        <v>3.57</v>
      </c>
      <c r="G38" s="867">
        <v>1</v>
      </c>
      <c r="H38" s="867">
        <v>12</v>
      </c>
      <c r="I38" s="867">
        <f t="shared" si="6"/>
        <v>12</v>
      </c>
      <c r="J38" s="867"/>
      <c r="K38" s="869">
        <f t="shared" si="7"/>
        <v>42.839999999999996</v>
      </c>
      <c r="L38" s="868"/>
      <c r="M38" s="868"/>
      <c r="N38" s="878"/>
    </row>
    <row r="39" spans="2:14">
      <c r="B39" s="872"/>
      <c r="C39" s="870"/>
      <c r="D39" s="861"/>
      <c r="E39" s="867">
        <v>8</v>
      </c>
      <c r="F39" s="868">
        <v>2.27</v>
      </c>
      <c r="G39" s="867">
        <v>1</v>
      </c>
      <c r="H39" s="867">
        <v>19</v>
      </c>
      <c r="I39" s="867">
        <f t="shared" si="6"/>
        <v>19</v>
      </c>
      <c r="J39" s="867"/>
      <c r="K39" s="869">
        <f t="shared" si="7"/>
        <v>43.13</v>
      </c>
      <c r="L39" s="868"/>
      <c r="M39" s="868"/>
      <c r="N39" s="878"/>
    </row>
    <row r="40" spans="2:14">
      <c r="B40" s="879">
        <v>5</v>
      </c>
      <c r="C40" s="870" t="s">
        <v>403</v>
      </c>
      <c r="D40" s="861"/>
      <c r="E40" s="867">
        <v>8</v>
      </c>
      <c r="F40" s="868">
        <v>4.75</v>
      </c>
      <c r="G40" s="867">
        <v>5</v>
      </c>
      <c r="H40" s="867">
        <v>21</v>
      </c>
      <c r="I40" s="867">
        <f t="shared" si="6"/>
        <v>105</v>
      </c>
      <c r="J40" s="867"/>
      <c r="K40" s="869">
        <f t="shared" si="7"/>
        <v>498.75</v>
      </c>
      <c r="L40" s="868"/>
      <c r="M40" s="868"/>
      <c r="N40" s="878"/>
    </row>
    <row r="41" spans="2:14">
      <c r="B41" s="872"/>
      <c r="C41" s="870"/>
      <c r="D41" s="861"/>
      <c r="E41" s="867">
        <v>8</v>
      </c>
      <c r="F41" s="868">
        <v>2.27</v>
      </c>
      <c r="G41" s="867">
        <v>5</v>
      </c>
      <c r="H41" s="867">
        <v>24</v>
      </c>
      <c r="I41" s="867">
        <f t="shared" si="6"/>
        <v>120</v>
      </c>
      <c r="J41" s="867"/>
      <c r="K41" s="869">
        <f t="shared" si="7"/>
        <v>272.39999999999998</v>
      </c>
      <c r="L41" s="868"/>
      <c r="M41" s="868"/>
      <c r="N41" s="878"/>
    </row>
    <row r="42" spans="2:14">
      <c r="B42" s="872">
        <v>6</v>
      </c>
      <c r="C42" s="870" t="s">
        <v>404</v>
      </c>
      <c r="D42" s="861"/>
      <c r="E42" s="867">
        <v>8</v>
      </c>
      <c r="F42" s="868">
        <v>5.67</v>
      </c>
      <c r="G42" s="867">
        <v>1</v>
      </c>
      <c r="H42" s="867">
        <v>12</v>
      </c>
      <c r="I42" s="867">
        <f t="shared" si="6"/>
        <v>12</v>
      </c>
      <c r="J42" s="867"/>
      <c r="K42" s="869">
        <f t="shared" si="7"/>
        <v>68.039999999999992</v>
      </c>
      <c r="L42" s="868"/>
      <c r="M42" s="868"/>
      <c r="N42" s="878"/>
    </row>
    <row r="43" spans="2:14">
      <c r="B43" s="872"/>
      <c r="C43" s="870"/>
      <c r="D43" s="861"/>
      <c r="E43" s="867">
        <v>8</v>
      </c>
      <c r="F43" s="868">
        <v>2.27</v>
      </c>
      <c r="G43" s="867">
        <v>1</v>
      </c>
      <c r="H43" s="867">
        <v>29</v>
      </c>
      <c r="I43" s="867">
        <f t="shared" si="6"/>
        <v>29</v>
      </c>
      <c r="J43" s="867"/>
      <c r="K43" s="869">
        <f t="shared" si="7"/>
        <v>65.83</v>
      </c>
      <c r="L43" s="868"/>
      <c r="M43" s="868"/>
      <c r="N43" s="878"/>
    </row>
    <row r="44" spans="2:14">
      <c r="B44" s="872"/>
      <c r="C44" s="870"/>
      <c r="D44" s="861"/>
      <c r="E44" s="867"/>
      <c r="F44" s="868"/>
      <c r="G44" s="867"/>
      <c r="H44" s="867"/>
      <c r="I44" s="867"/>
      <c r="J44" s="867"/>
      <c r="K44" s="867"/>
      <c r="L44" s="868"/>
      <c r="M44" s="868"/>
      <c r="N44" s="878"/>
    </row>
    <row r="45" spans="2:14">
      <c r="B45" s="872"/>
      <c r="C45" s="870"/>
      <c r="D45" s="861"/>
      <c r="E45" s="867"/>
      <c r="F45" s="868"/>
      <c r="G45" s="867"/>
      <c r="H45" s="867"/>
      <c r="I45" s="867"/>
      <c r="J45" s="867"/>
      <c r="K45" s="867"/>
      <c r="L45" s="868"/>
      <c r="M45" s="868"/>
      <c r="N45" s="878"/>
    </row>
    <row r="46" spans="2:14">
      <c r="B46" s="872"/>
      <c r="C46" s="862"/>
      <c r="D46" s="861"/>
      <c r="E46" s="861"/>
      <c r="F46" s="863"/>
      <c r="G46" s="861"/>
      <c r="H46" s="864"/>
      <c r="I46" s="861"/>
      <c r="J46" s="865"/>
      <c r="K46" s="865"/>
      <c r="L46" s="865"/>
      <c r="M46" s="865"/>
      <c r="N46" s="873"/>
    </row>
    <row r="47" spans="2:14">
      <c r="B47" s="872"/>
      <c r="C47" s="862"/>
      <c r="D47" s="861"/>
      <c r="E47" s="861"/>
      <c r="F47" s="863"/>
      <c r="G47" s="861"/>
      <c r="H47" s="864"/>
      <c r="I47" s="861"/>
      <c r="J47" s="865"/>
      <c r="K47" s="865"/>
      <c r="L47" s="865"/>
      <c r="M47" s="865"/>
      <c r="N47" s="873"/>
    </row>
    <row r="48" spans="2:14">
      <c r="B48" s="880"/>
      <c r="C48" s="895"/>
      <c r="D48" s="895"/>
      <c r="E48" s="895"/>
      <c r="F48" s="896"/>
      <c r="G48" s="895"/>
      <c r="H48" s="895"/>
      <c r="I48" s="895"/>
      <c r="J48" s="896"/>
      <c r="K48" s="896"/>
      <c r="L48" s="896"/>
      <c r="M48" s="896"/>
      <c r="N48" s="897"/>
    </row>
    <row r="49" spans="2:17">
      <c r="B49" s="2065" t="s">
        <v>301</v>
      </c>
      <c r="C49" s="2066"/>
      <c r="D49" s="2066"/>
      <c r="E49" s="2066"/>
      <c r="F49" s="2066"/>
      <c r="G49" s="2066"/>
      <c r="H49" s="2066"/>
      <c r="I49" s="2067"/>
      <c r="J49" s="142"/>
      <c r="K49" s="119">
        <f>SUM(K32:K48)</f>
        <v>3604.5700000000006</v>
      </c>
      <c r="L49" s="119">
        <f>SUM(L32:L48)</f>
        <v>0</v>
      </c>
      <c r="M49" s="119">
        <f>SUM(M32:M48)</f>
        <v>0</v>
      </c>
      <c r="N49" s="119">
        <f>SUM(N32:N48)</f>
        <v>0</v>
      </c>
    </row>
    <row r="50" spans="2:17">
      <c r="B50" s="2065" t="s">
        <v>302</v>
      </c>
      <c r="C50" s="2066"/>
      <c r="D50" s="2066"/>
      <c r="E50" s="2066"/>
      <c r="F50" s="2066"/>
      <c r="G50" s="2066"/>
      <c r="H50" s="2066"/>
      <c r="I50" s="2067"/>
      <c r="J50" s="898"/>
      <c r="K50" s="362" t="s">
        <v>303</v>
      </c>
      <c r="L50" s="362" t="s">
        <v>304</v>
      </c>
      <c r="M50" s="362" t="s">
        <v>305</v>
      </c>
      <c r="N50" s="362" t="s">
        <v>306</v>
      </c>
    </row>
    <row r="51" spans="2:17">
      <c r="B51" s="2065" t="s">
        <v>307</v>
      </c>
      <c r="C51" s="2066"/>
      <c r="D51" s="2066"/>
      <c r="E51" s="2066"/>
      <c r="F51" s="2066"/>
      <c r="G51" s="2066"/>
      <c r="H51" s="2066"/>
      <c r="I51" s="2067"/>
      <c r="J51" s="899"/>
      <c r="K51" s="425">
        <f>K49*K50</f>
        <v>1423.8051500000004</v>
      </c>
      <c r="L51" s="425">
        <f>L49*L50</f>
        <v>0</v>
      </c>
      <c r="M51" s="425">
        <f>M49*M50</f>
        <v>0</v>
      </c>
      <c r="N51" s="425">
        <f>N49*N50</f>
        <v>0</v>
      </c>
    </row>
    <row r="52" spans="2:17">
      <c r="B52" s="1283">
        <v>1</v>
      </c>
      <c r="C52" s="888" t="s">
        <v>337</v>
      </c>
      <c r="D52" s="1284"/>
      <c r="E52" s="1284">
        <v>12</v>
      </c>
      <c r="F52" s="889">
        <v>3.63</v>
      </c>
      <c r="G52" s="1284">
        <v>32</v>
      </c>
      <c r="H52" s="1284">
        <v>4</v>
      </c>
      <c r="I52" s="1284">
        <f>G52*H52</f>
        <v>128</v>
      </c>
      <c r="J52" s="889"/>
      <c r="K52" s="889"/>
      <c r="L52" s="889"/>
      <c r="M52" s="889">
        <f>I52*F52</f>
        <v>464.64</v>
      </c>
      <c r="N52" s="890"/>
    </row>
    <row r="53" spans="2:17">
      <c r="B53" s="872"/>
      <c r="C53" s="861"/>
      <c r="D53" s="861"/>
      <c r="E53" s="861">
        <v>8</v>
      </c>
      <c r="F53" s="865">
        <v>0.7</v>
      </c>
      <c r="G53" s="861">
        <v>32</v>
      </c>
      <c r="H53" s="861">
        <v>14</v>
      </c>
      <c r="I53" s="861">
        <f>G53*H53</f>
        <v>448</v>
      </c>
      <c r="J53" s="865"/>
      <c r="K53" s="865">
        <f>F53*I53</f>
        <v>313.59999999999997</v>
      </c>
      <c r="L53" s="865"/>
      <c r="M53" s="865"/>
      <c r="N53" s="873"/>
    </row>
    <row r="54" spans="2:17">
      <c r="B54" s="872">
        <v>2</v>
      </c>
      <c r="C54" s="866" t="s">
        <v>338</v>
      </c>
      <c r="D54" s="861"/>
      <c r="E54" s="861"/>
      <c r="F54" s="865"/>
      <c r="G54" s="861"/>
      <c r="H54" s="861"/>
      <c r="I54" s="861"/>
      <c r="J54" s="865"/>
      <c r="K54" s="865"/>
      <c r="L54" s="865"/>
      <c r="M54" s="865"/>
      <c r="N54" s="873"/>
    </row>
    <row r="55" spans="2:17">
      <c r="B55" s="872"/>
      <c r="C55" s="866" t="s">
        <v>339</v>
      </c>
      <c r="D55" s="861"/>
      <c r="E55" s="861">
        <v>12</v>
      </c>
      <c r="F55" s="865">
        <v>11.78</v>
      </c>
      <c r="G55" s="861">
        <v>2</v>
      </c>
      <c r="H55" s="861">
        <v>3</v>
      </c>
      <c r="I55" s="861">
        <f t="shared" ref="I55:I78" si="8">G55*H55</f>
        <v>6</v>
      </c>
      <c r="J55" s="865"/>
      <c r="K55" s="865"/>
      <c r="L55" s="865"/>
      <c r="M55" s="865">
        <f>F55*I55</f>
        <v>70.679999999999993</v>
      </c>
      <c r="N55" s="873"/>
    </row>
    <row r="56" spans="2:17">
      <c r="B56" s="872"/>
      <c r="C56" s="861"/>
      <c r="D56" s="861"/>
      <c r="E56" s="861">
        <v>12</v>
      </c>
      <c r="F56" s="865">
        <v>10.6</v>
      </c>
      <c r="G56" s="861">
        <v>2</v>
      </c>
      <c r="H56" s="861">
        <v>3</v>
      </c>
      <c r="I56" s="861">
        <f t="shared" si="8"/>
        <v>6</v>
      </c>
      <c r="J56" s="865"/>
      <c r="K56" s="865"/>
      <c r="L56" s="865"/>
      <c r="M56" s="865">
        <f t="shared" ref="M56:M62" si="9">F56*I56</f>
        <v>63.599999999999994</v>
      </c>
      <c r="N56" s="873"/>
    </row>
    <row r="57" spans="2:17">
      <c r="B57" s="872"/>
      <c r="C57" s="1327"/>
      <c r="D57" s="861"/>
      <c r="E57" s="861">
        <v>12</v>
      </c>
      <c r="F57" s="865">
        <v>7.98</v>
      </c>
      <c r="G57" s="861">
        <v>2</v>
      </c>
      <c r="H57" s="861">
        <v>3</v>
      </c>
      <c r="I57" s="861">
        <f t="shared" si="8"/>
        <v>6</v>
      </c>
      <c r="J57" s="865"/>
      <c r="K57" s="865"/>
      <c r="L57" s="865"/>
      <c r="M57" s="865">
        <f t="shared" si="9"/>
        <v>47.88</v>
      </c>
      <c r="N57" s="873"/>
    </row>
    <row r="58" spans="2:17">
      <c r="B58" s="872"/>
      <c r="C58" s="861"/>
      <c r="D58" s="861"/>
      <c r="E58" s="861">
        <v>12</v>
      </c>
      <c r="F58" s="865">
        <v>7.07</v>
      </c>
      <c r="G58" s="861">
        <v>2</v>
      </c>
      <c r="H58" s="861">
        <v>4</v>
      </c>
      <c r="I58" s="861">
        <f t="shared" si="8"/>
        <v>8</v>
      </c>
      <c r="J58" s="865"/>
      <c r="K58" s="865"/>
      <c r="L58" s="865"/>
      <c r="M58" s="865">
        <f t="shared" si="9"/>
        <v>56.56</v>
      </c>
      <c r="N58" s="873"/>
    </row>
    <row r="59" spans="2:17">
      <c r="B59" s="872"/>
      <c r="C59" s="861"/>
      <c r="D59" s="861"/>
      <c r="E59" s="861">
        <v>12</v>
      </c>
      <c r="F59" s="865">
        <v>10.1</v>
      </c>
      <c r="G59" s="861">
        <v>2</v>
      </c>
      <c r="H59" s="861">
        <v>3</v>
      </c>
      <c r="I59" s="861">
        <f t="shared" si="8"/>
        <v>6</v>
      </c>
      <c r="J59" s="865"/>
      <c r="K59" s="865"/>
      <c r="L59" s="865"/>
      <c r="M59" s="865">
        <f t="shared" si="9"/>
        <v>60.599999999999994</v>
      </c>
      <c r="N59" s="873"/>
      <c r="Q59" s="159"/>
    </row>
    <row r="60" spans="2:17">
      <c r="B60" s="872"/>
      <c r="C60" s="861"/>
      <c r="D60" s="861"/>
      <c r="E60" s="861">
        <v>12</v>
      </c>
      <c r="F60" s="865">
        <v>10.6</v>
      </c>
      <c r="G60" s="861">
        <v>2</v>
      </c>
      <c r="H60" s="861">
        <v>3</v>
      </c>
      <c r="I60" s="861">
        <f t="shared" si="8"/>
        <v>6</v>
      </c>
      <c r="J60" s="865"/>
      <c r="K60" s="865"/>
      <c r="L60" s="865"/>
      <c r="M60" s="865">
        <f t="shared" si="9"/>
        <v>63.599999999999994</v>
      </c>
      <c r="N60" s="873"/>
      <c r="Q60" s="159"/>
    </row>
    <row r="61" spans="2:17">
      <c r="B61" s="872"/>
      <c r="C61" s="861"/>
      <c r="D61" s="861"/>
      <c r="E61" s="861">
        <v>12</v>
      </c>
      <c r="F61" s="865">
        <v>7.37</v>
      </c>
      <c r="G61" s="861">
        <v>2</v>
      </c>
      <c r="H61" s="861">
        <v>3</v>
      </c>
      <c r="I61" s="861">
        <f t="shared" si="8"/>
        <v>6</v>
      </c>
      <c r="J61" s="865"/>
      <c r="K61" s="865"/>
      <c r="L61" s="865"/>
      <c r="M61" s="865">
        <f t="shared" si="9"/>
        <v>44.22</v>
      </c>
      <c r="N61" s="873"/>
      <c r="Q61" s="159"/>
    </row>
    <row r="62" spans="2:17">
      <c r="B62" s="872"/>
      <c r="C62" s="861"/>
      <c r="D62" s="861"/>
      <c r="E62" s="861">
        <v>12</v>
      </c>
      <c r="F62" s="865">
        <v>9.1999999999999993</v>
      </c>
      <c r="G62" s="861">
        <v>2</v>
      </c>
      <c r="H62" s="861">
        <v>3</v>
      </c>
      <c r="I62" s="861">
        <f t="shared" si="8"/>
        <v>6</v>
      </c>
      <c r="J62" s="865"/>
      <c r="K62" s="865"/>
      <c r="L62" s="865"/>
      <c r="M62" s="865">
        <f t="shared" si="9"/>
        <v>55.199999999999996</v>
      </c>
      <c r="N62" s="873"/>
      <c r="Q62" s="159"/>
    </row>
    <row r="63" spans="2:17">
      <c r="B63" s="872"/>
      <c r="C63" s="861"/>
      <c r="D63" s="861"/>
      <c r="E63" s="861">
        <v>8</v>
      </c>
      <c r="F63" s="865">
        <v>0.9</v>
      </c>
      <c r="G63" s="861">
        <v>2</v>
      </c>
      <c r="H63" s="861">
        <v>175</v>
      </c>
      <c r="I63" s="861">
        <f t="shared" si="8"/>
        <v>350</v>
      </c>
      <c r="J63" s="865"/>
      <c r="K63" s="865">
        <f>I63*F63</f>
        <v>315</v>
      </c>
      <c r="L63" s="865"/>
      <c r="M63" s="865"/>
      <c r="N63" s="873"/>
      <c r="Q63" s="159"/>
    </row>
    <row r="64" spans="2:17">
      <c r="B64" s="872"/>
      <c r="C64" s="866" t="s">
        <v>340</v>
      </c>
      <c r="D64" s="861"/>
      <c r="E64" s="861">
        <v>12</v>
      </c>
      <c r="F64" s="865">
        <v>11.78</v>
      </c>
      <c r="G64" s="861">
        <v>2</v>
      </c>
      <c r="H64" s="861">
        <v>3</v>
      </c>
      <c r="I64" s="861">
        <f t="shared" si="8"/>
        <v>6</v>
      </c>
      <c r="J64" s="865"/>
      <c r="K64" s="865"/>
      <c r="L64" s="865"/>
      <c r="M64" s="865">
        <f>F64*I64</f>
        <v>70.679999999999993</v>
      </c>
      <c r="N64" s="873"/>
      <c r="Q64" s="159"/>
    </row>
    <row r="65" spans="2:17">
      <c r="B65" s="872"/>
      <c r="C65" s="861"/>
      <c r="D65" s="861"/>
      <c r="E65" s="861">
        <v>12</v>
      </c>
      <c r="F65" s="865">
        <v>10.6</v>
      </c>
      <c r="G65" s="861">
        <v>2</v>
      </c>
      <c r="H65" s="861">
        <v>3</v>
      </c>
      <c r="I65" s="861">
        <f t="shared" si="8"/>
        <v>6</v>
      </c>
      <c r="J65" s="865"/>
      <c r="K65" s="865"/>
      <c r="L65" s="865"/>
      <c r="M65" s="865">
        <f t="shared" ref="M65:M74" si="10">F65*I65</f>
        <v>63.599999999999994</v>
      </c>
      <c r="N65" s="873"/>
      <c r="Q65" s="159"/>
    </row>
    <row r="66" spans="2:17">
      <c r="B66" s="872"/>
      <c r="C66" s="861"/>
      <c r="D66" s="861"/>
      <c r="E66" s="861">
        <v>12</v>
      </c>
      <c r="F66" s="865">
        <v>7.98</v>
      </c>
      <c r="G66" s="861">
        <v>2</v>
      </c>
      <c r="H66" s="861">
        <v>3</v>
      </c>
      <c r="I66" s="861">
        <f t="shared" si="8"/>
        <v>6</v>
      </c>
      <c r="J66" s="865"/>
      <c r="K66" s="865"/>
      <c r="L66" s="865"/>
      <c r="M66" s="865">
        <f t="shared" si="10"/>
        <v>47.88</v>
      </c>
      <c r="N66" s="873"/>
      <c r="Q66" s="159"/>
    </row>
    <row r="67" spans="2:17">
      <c r="B67" s="872"/>
      <c r="C67" s="861"/>
      <c r="D67" s="861"/>
      <c r="E67" s="861">
        <v>12</v>
      </c>
      <c r="F67" s="865">
        <v>7.07</v>
      </c>
      <c r="G67" s="861">
        <v>2</v>
      </c>
      <c r="H67" s="861">
        <v>4</v>
      </c>
      <c r="I67" s="861">
        <f t="shared" si="8"/>
        <v>8</v>
      </c>
      <c r="J67" s="865"/>
      <c r="K67" s="865"/>
      <c r="L67" s="865"/>
      <c r="M67" s="865">
        <f t="shared" si="10"/>
        <v>56.56</v>
      </c>
      <c r="N67" s="873"/>
      <c r="Q67" s="159"/>
    </row>
    <row r="68" spans="2:17">
      <c r="B68" s="872"/>
      <c r="C68" s="861"/>
      <c r="D68" s="861"/>
      <c r="E68" s="861">
        <v>12</v>
      </c>
      <c r="F68" s="865">
        <v>10.1</v>
      </c>
      <c r="G68" s="861">
        <v>2</v>
      </c>
      <c r="H68" s="861">
        <v>3</v>
      </c>
      <c r="I68" s="861">
        <f t="shared" si="8"/>
        <v>6</v>
      </c>
      <c r="J68" s="865"/>
      <c r="K68" s="865"/>
      <c r="L68" s="865"/>
      <c r="M68" s="865">
        <f t="shared" si="10"/>
        <v>60.599999999999994</v>
      </c>
      <c r="N68" s="873"/>
      <c r="Q68" s="159"/>
    </row>
    <row r="69" spans="2:17">
      <c r="B69" s="872"/>
      <c r="C69" s="861"/>
      <c r="D69" s="861"/>
      <c r="E69" s="861">
        <v>12</v>
      </c>
      <c r="F69" s="865">
        <v>10.6</v>
      </c>
      <c r="G69" s="861">
        <v>2</v>
      </c>
      <c r="H69" s="861">
        <v>3</v>
      </c>
      <c r="I69" s="861">
        <f t="shared" si="8"/>
        <v>6</v>
      </c>
      <c r="J69" s="865"/>
      <c r="K69" s="865"/>
      <c r="L69" s="865"/>
      <c r="M69" s="865">
        <f t="shared" si="10"/>
        <v>63.599999999999994</v>
      </c>
      <c r="N69" s="873"/>
      <c r="Q69" s="159"/>
    </row>
    <row r="70" spans="2:17">
      <c r="B70" s="872"/>
      <c r="C70" s="861"/>
      <c r="D70" s="861"/>
      <c r="E70" s="861">
        <v>12</v>
      </c>
      <c r="F70" s="865">
        <v>7.37</v>
      </c>
      <c r="G70" s="861">
        <v>2</v>
      </c>
      <c r="H70" s="861">
        <v>3</v>
      </c>
      <c r="I70" s="861">
        <f t="shared" si="8"/>
        <v>6</v>
      </c>
      <c r="J70" s="865"/>
      <c r="K70" s="865"/>
      <c r="L70" s="865"/>
      <c r="M70" s="865">
        <f t="shared" si="10"/>
        <v>44.22</v>
      </c>
      <c r="N70" s="873"/>
      <c r="Q70" s="159"/>
    </row>
    <row r="71" spans="2:17">
      <c r="B71" s="872"/>
      <c r="C71" s="861"/>
      <c r="D71" s="861"/>
      <c r="E71" s="861">
        <v>12</v>
      </c>
      <c r="F71" s="865">
        <v>9.1999999999999993</v>
      </c>
      <c r="G71" s="861">
        <v>2</v>
      </c>
      <c r="H71" s="861">
        <v>3</v>
      </c>
      <c r="I71" s="861">
        <f t="shared" si="8"/>
        <v>6</v>
      </c>
      <c r="J71" s="865"/>
      <c r="K71" s="865"/>
      <c r="L71" s="865"/>
      <c r="M71" s="865">
        <f t="shared" si="10"/>
        <v>55.199999999999996</v>
      </c>
      <c r="N71" s="873"/>
      <c r="Q71" s="159"/>
    </row>
    <row r="72" spans="2:17">
      <c r="B72" s="872"/>
      <c r="C72" s="861"/>
      <c r="D72" s="861"/>
      <c r="E72" s="861">
        <v>8</v>
      </c>
      <c r="F72" s="865">
        <v>0.9</v>
      </c>
      <c r="G72" s="861">
        <v>2</v>
      </c>
      <c r="H72" s="861">
        <v>175</v>
      </c>
      <c r="I72" s="861">
        <f t="shared" si="8"/>
        <v>350</v>
      </c>
      <c r="J72" s="865"/>
      <c r="K72" s="865">
        <f>I72*F72</f>
        <v>315</v>
      </c>
      <c r="L72" s="865"/>
      <c r="M72" s="865"/>
      <c r="N72" s="873"/>
      <c r="Q72" s="159"/>
    </row>
    <row r="73" spans="2:17">
      <c r="B73" s="872"/>
      <c r="C73" s="866" t="s">
        <v>341</v>
      </c>
      <c r="D73" s="861"/>
      <c r="E73" s="861">
        <v>12</v>
      </c>
      <c r="F73" s="865">
        <v>11.75</v>
      </c>
      <c r="G73" s="861">
        <v>2</v>
      </c>
      <c r="H73" s="861">
        <v>3</v>
      </c>
      <c r="I73" s="861">
        <f t="shared" si="8"/>
        <v>6</v>
      </c>
      <c r="J73" s="865"/>
      <c r="K73" s="865"/>
      <c r="L73" s="865"/>
      <c r="M73" s="865">
        <f t="shared" si="10"/>
        <v>70.5</v>
      </c>
      <c r="N73" s="873"/>
      <c r="Q73" s="159"/>
    </row>
    <row r="74" spans="2:17">
      <c r="B74" s="872"/>
      <c r="C74" s="861"/>
      <c r="D74" s="861"/>
      <c r="E74" s="861">
        <v>12</v>
      </c>
      <c r="F74" s="865">
        <v>11.25</v>
      </c>
      <c r="G74" s="861">
        <v>2</v>
      </c>
      <c r="H74" s="861">
        <v>3</v>
      </c>
      <c r="I74" s="861">
        <f t="shared" si="8"/>
        <v>6</v>
      </c>
      <c r="J74" s="865"/>
      <c r="K74" s="865"/>
      <c r="L74" s="865"/>
      <c r="M74" s="865">
        <f t="shared" si="10"/>
        <v>67.5</v>
      </c>
      <c r="N74" s="873"/>
      <c r="Q74" s="159"/>
    </row>
    <row r="75" spans="2:17">
      <c r="B75" s="872"/>
      <c r="C75" s="861"/>
      <c r="D75" s="861"/>
      <c r="E75" s="861">
        <v>8</v>
      </c>
      <c r="F75" s="865">
        <v>0.9</v>
      </c>
      <c r="G75" s="861">
        <v>2</v>
      </c>
      <c r="H75" s="861">
        <v>55</v>
      </c>
      <c r="I75" s="861">
        <f t="shared" si="8"/>
        <v>110</v>
      </c>
      <c r="J75" s="865"/>
      <c r="K75" s="865">
        <f>I75*F75</f>
        <v>99</v>
      </c>
      <c r="L75" s="865"/>
      <c r="M75" s="865"/>
      <c r="N75" s="873"/>
      <c r="Q75" s="159"/>
    </row>
    <row r="76" spans="2:17">
      <c r="B76" s="872"/>
      <c r="C76" s="866" t="s">
        <v>342</v>
      </c>
      <c r="D76" s="861"/>
      <c r="E76" s="861">
        <v>12</v>
      </c>
      <c r="F76" s="865">
        <v>11.75</v>
      </c>
      <c r="G76" s="861">
        <v>6</v>
      </c>
      <c r="H76" s="861">
        <v>3</v>
      </c>
      <c r="I76" s="861">
        <f t="shared" si="8"/>
        <v>18</v>
      </c>
      <c r="J76" s="865"/>
      <c r="K76" s="865"/>
      <c r="L76" s="865"/>
      <c r="M76" s="865">
        <f>F76*I76</f>
        <v>211.5</v>
      </c>
      <c r="N76" s="873"/>
      <c r="Q76" s="159"/>
    </row>
    <row r="77" spans="2:17">
      <c r="B77" s="872"/>
      <c r="C77" s="866"/>
      <c r="D77" s="861"/>
      <c r="E77" s="861">
        <v>12</v>
      </c>
      <c r="F77" s="865">
        <v>11.25</v>
      </c>
      <c r="G77" s="861">
        <v>6</v>
      </c>
      <c r="H77" s="861">
        <v>3</v>
      </c>
      <c r="I77" s="861">
        <f t="shared" si="8"/>
        <v>18</v>
      </c>
      <c r="J77" s="865"/>
      <c r="K77" s="865"/>
      <c r="L77" s="865"/>
      <c r="M77" s="865">
        <f>F77*I77</f>
        <v>202.5</v>
      </c>
      <c r="N77" s="873"/>
      <c r="Q77" s="159"/>
    </row>
    <row r="78" spans="2:17">
      <c r="B78" s="880"/>
      <c r="C78" s="895"/>
      <c r="D78" s="895"/>
      <c r="E78" s="895">
        <v>8</v>
      </c>
      <c r="F78" s="896">
        <v>0.9</v>
      </c>
      <c r="G78" s="895">
        <v>6</v>
      </c>
      <c r="H78" s="895">
        <v>55</v>
      </c>
      <c r="I78" s="895">
        <f t="shared" si="8"/>
        <v>330</v>
      </c>
      <c r="J78" s="896"/>
      <c r="K78" s="896">
        <f>I78*F78</f>
        <v>297</v>
      </c>
      <c r="L78" s="896"/>
      <c r="M78" s="896"/>
      <c r="N78" s="897"/>
      <c r="Q78" s="159"/>
    </row>
    <row r="79" spans="2:17">
      <c r="B79" s="2065" t="s">
        <v>301</v>
      </c>
      <c r="C79" s="2066"/>
      <c r="D79" s="2066"/>
      <c r="E79" s="2066"/>
      <c r="F79" s="2066"/>
      <c r="G79" s="2066"/>
      <c r="H79" s="2066"/>
      <c r="I79" s="2067"/>
      <c r="J79" s="425"/>
      <c r="K79" s="119">
        <f>SUM(K52:K78)</f>
        <v>1339.6</v>
      </c>
      <c r="L79" s="119">
        <f>SUM(L52:L78)</f>
        <v>0</v>
      </c>
      <c r="M79" s="119">
        <f>SUM(M52:M78)</f>
        <v>1941.32</v>
      </c>
      <c r="N79" s="119">
        <f>SUM(N52:N78)</f>
        <v>0</v>
      </c>
      <c r="Q79" s="159"/>
    </row>
    <row r="80" spans="2:17">
      <c r="B80" s="2065" t="s">
        <v>302</v>
      </c>
      <c r="C80" s="2066"/>
      <c r="D80" s="2066"/>
      <c r="E80" s="2066"/>
      <c r="F80" s="2066"/>
      <c r="G80" s="2066"/>
      <c r="H80" s="2066"/>
      <c r="I80" s="2067"/>
      <c r="J80" s="898"/>
      <c r="K80" s="425" t="s">
        <v>303</v>
      </c>
      <c r="L80" s="426"/>
      <c r="M80" s="425" t="s">
        <v>305</v>
      </c>
      <c r="N80" s="425" t="s">
        <v>306</v>
      </c>
      <c r="Q80" s="159"/>
    </row>
    <row r="81" spans="2:17">
      <c r="B81" s="2065" t="s">
        <v>307</v>
      </c>
      <c r="C81" s="2066"/>
      <c r="D81" s="2066"/>
      <c r="E81" s="2066"/>
      <c r="F81" s="2066"/>
      <c r="G81" s="2066"/>
      <c r="H81" s="2066"/>
      <c r="I81" s="2067"/>
      <c r="J81" s="899"/>
      <c r="K81" s="425">
        <f>K79*K80</f>
        <v>529.14199999999994</v>
      </c>
      <c r="L81" s="425">
        <f>L79*L80</f>
        <v>0</v>
      </c>
      <c r="M81" s="425">
        <f>M79*M80</f>
        <v>1723.8921599999999</v>
      </c>
      <c r="N81" s="425">
        <f>N79*N80</f>
        <v>0</v>
      </c>
      <c r="Q81" s="159"/>
    </row>
    <row r="82" spans="2:17">
      <c r="B82" s="1283"/>
      <c r="C82" s="892" t="s">
        <v>3</v>
      </c>
      <c r="D82" s="893"/>
      <c r="E82" s="875"/>
      <c r="F82" s="876"/>
      <c r="G82" s="875"/>
      <c r="H82" s="875"/>
      <c r="I82" s="875"/>
      <c r="J82" s="875"/>
      <c r="K82" s="875"/>
      <c r="L82" s="876"/>
      <c r="M82" s="876"/>
      <c r="N82" s="877"/>
      <c r="Q82" s="159"/>
    </row>
    <row r="83" spans="2:17">
      <c r="B83" s="872"/>
      <c r="C83" s="861"/>
      <c r="D83" s="861"/>
      <c r="E83" s="867">
        <v>12</v>
      </c>
      <c r="F83" s="868">
        <v>1.45</v>
      </c>
      <c r="G83" s="867">
        <v>3</v>
      </c>
      <c r="H83" s="867">
        <v>2</v>
      </c>
      <c r="I83" s="867">
        <f t="shared" ref="I83:I97" si="11">H83*G83</f>
        <v>6</v>
      </c>
      <c r="J83" s="867"/>
      <c r="K83" s="867"/>
      <c r="L83" s="868"/>
      <c r="M83" s="869">
        <f t="shared" ref="M83:M101" si="12">IF(E83=12,I83*F83,"-")</f>
        <v>8.6999999999999993</v>
      </c>
      <c r="N83" s="878"/>
      <c r="Q83" s="159"/>
    </row>
    <row r="84" spans="2:17">
      <c r="B84" s="872"/>
      <c r="C84" s="861" t="s">
        <v>250</v>
      </c>
      <c r="D84" s="861"/>
      <c r="E84" s="867">
        <v>12</v>
      </c>
      <c r="F84" s="868">
        <v>1.1499999999999999</v>
      </c>
      <c r="G84" s="867">
        <v>3</v>
      </c>
      <c r="H84" s="867">
        <v>2</v>
      </c>
      <c r="I84" s="867">
        <f t="shared" si="11"/>
        <v>6</v>
      </c>
      <c r="J84" s="867" t="str">
        <f t="shared" ref="J84:J91" si="13">IF(E84=6,I84*F84,"-")</f>
        <v>-</v>
      </c>
      <c r="K84" s="869" t="str">
        <f t="shared" ref="K84:K97" si="14">IF(E84=8,I84*F84,"-")</f>
        <v>-</v>
      </c>
      <c r="L84" s="869" t="str">
        <f t="shared" ref="L84:L91" si="15">IF(E84=10,I84*F84,"-")</f>
        <v>-</v>
      </c>
      <c r="M84" s="869">
        <f t="shared" si="12"/>
        <v>6.8999999999999995</v>
      </c>
      <c r="N84" s="894" t="str">
        <f t="shared" ref="N84:N97" si="16">IF(E84=14,I84*F84,"-")</f>
        <v>-</v>
      </c>
      <c r="Q84" s="159"/>
    </row>
    <row r="85" spans="2:17">
      <c r="B85" s="872"/>
      <c r="C85" s="862" t="s">
        <v>405</v>
      </c>
      <c r="D85" s="862"/>
      <c r="E85" s="867">
        <v>8</v>
      </c>
      <c r="F85" s="868">
        <v>0.6</v>
      </c>
      <c r="G85" s="867">
        <v>3</v>
      </c>
      <c r="H85" s="867">
        <v>7</v>
      </c>
      <c r="I85" s="867">
        <f t="shared" si="11"/>
        <v>21</v>
      </c>
      <c r="J85" s="867" t="str">
        <f t="shared" si="13"/>
        <v>-</v>
      </c>
      <c r="K85" s="869">
        <f t="shared" si="14"/>
        <v>12.6</v>
      </c>
      <c r="L85" s="869" t="str">
        <f t="shared" si="15"/>
        <v>-</v>
      </c>
      <c r="M85" s="869" t="str">
        <f t="shared" si="12"/>
        <v>-</v>
      </c>
      <c r="N85" s="894" t="str">
        <f t="shared" si="16"/>
        <v>-</v>
      </c>
      <c r="Q85" s="159"/>
    </row>
    <row r="86" spans="2:17">
      <c r="B86" s="872"/>
      <c r="C86" s="862"/>
      <c r="D86" s="862"/>
      <c r="E86" s="867">
        <v>12</v>
      </c>
      <c r="F86" s="868">
        <v>2.2000000000000002</v>
      </c>
      <c r="G86" s="867">
        <v>2</v>
      </c>
      <c r="H86" s="867">
        <v>2</v>
      </c>
      <c r="I86" s="867">
        <f t="shared" si="11"/>
        <v>4</v>
      </c>
      <c r="J86" s="867"/>
      <c r="K86" s="869"/>
      <c r="L86" s="869"/>
      <c r="M86" s="869">
        <f t="shared" si="12"/>
        <v>8.8000000000000007</v>
      </c>
      <c r="N86" s="894"/>
      <c r="Q86" s="159"/>
    </row>
    <row r="87" spans="2:17">
      <c r="B87" s="872"/>
      <c r="C87" s="861" t="s">
        <v>2092</v>
      </c>
      <c r="D87" s="861"/>
      <c r="E87" s="867">
        <v>12</v>
      </c>
      <c r="F87" s="868">
        <v>1.9</v>
      </c>
      <c r="G87" s="867">
        <v>2</v>
      </c>
      <c r="H87" s="867">
        <v>2</v>
      </c>
      <c r="I87" s="867">
        <f t="shared" si="11"/>
        <v>4</v>
      </c>
      <c r="J87" s="867" t="str">
        <f t="shared" si="13"/>
        <v>-</v>
      </c>
      <c r="K87" s="869" t="str">
        <f t="shared" si="14"/>
        <v>-</v>
      </c>
      <c r="L87" s="869" t="str">
        <f t="shared" si="15"/>
        <v>-</v>
      </c>
      <c r="M87" s="869">
        <f t="shared" si="12"/>
        <v>7.6</v>
      </c>
      <c r="N87" s="894" t="str">
        <f t="shared" si="16"/>
        <v>-</v>
      </c>
      <c r="Q87" s="159"/>
    </row>
    <row r="88" spans="2:17">
      <c r="B88" s="872"/>
      <c r="C88" s="862" t="s">
        <v>405</v>
      </c>
      <c r="D88" s="862"/>
      <c r="E88" s="867">
        <v>8</v>
      </c>
      <c r="F88" s="868">
        <v>0.6</v>
      </c>
      <c r="G88" s="867">
        <v>2</v>
      </c>
      <c r="H88" s="867">
        <v>11</v>
      </c>
      <c r="I88" s="867">
        <f t="shared" si="11"/>
        <v>22</v>
      </c>
      <c r="J88" s="867" t="str">
        <f t="shared" si="13"/>
        <v>-</v>
      </c>
      <c r="K88" s="869">
        <f t="shared" si="14"/>
        <v>13.2</v>
      </c>
      <c r="L88" s="869" t="str">
        <f t="shared" si="15"/>
        <v>-</v>
      </c>
      <c r="M88" s="869" t="str">
        <f t="shared" si="12"/>
        <v>-</v>
      </c>
      <c r="N88" s="894" t="str">
        <f t="shared" si="16"/>
        <v>-</v>
      </c>
      <c r="Q88" s="159"/>
    </row>
    <row r="89" spans="2:17">
      <c r="B89" s="872"/>
      <c r="C89" s="862"/>
      <c r="D89" s="862"/>
      <c r="E89" s="867">
        <v>12</v>
      </c>
      <c r="F89" s="868">
        <v>1.35</v>
      </c>
      <c r="G89" s="867">
        <v>1</v>
      </c>
      <c r="H89" s="867">
        <v>2</v>
      </c>
      <c r="I89" s="867">
        <f t="shared" si="11"/>
        <v>2</v>
      </c>
      <c r="J89" s="867" t="str">
        <f t="shared" si="13"/>
        <v>-</v>
      </c>
      <c r="K89" s="869" t="str">
        <f t="shared" si="14"/>
        <v>-</v>
      </c>
      <c r="L89" s="869" t="str">
        <f t="shared" si="15"/>
        <v>-</v>
      </c>
      <c r="M89" s="869">
        <f t="shared" si="12"/>
        <v>2.7</v>
      </c>
      <c r="N89" s="894" t="str">
        <f t="shared" si="16"/>
        <v>-</v>
      </c>
      <c r="Q89" s="159"/>
    </row>
    <row r="90" spans="2:17">
      <c r="B90" s="872"/>
      <c r="C90" s="861" t="s">
        <v>406</v>
      </c>
      <c r="D90" s="861"/>
      <c r="E90" s="867">
        <v>12</v>
      </c>
      <c r="F90" s="868">
        <v>1.05</v>
      </c>
      <c r="G90" s="867">
        <v>1</v>
      </c>
      <c r="H90" s="867">
        <v>2</v>
      </c>
      <c r="I90" s="867">
        <f t="shared" si="11"/>
        <v>2</v>
      </c>
      <c r="J90" s="867" t="str">
        <f t="shared" si="13"/>
        <v>-</v>
      </c>
      <c r="K90" s="869" t="str">
        <f t="shared" si="14"/>
        <v>-</v>
      </c>
      <c r="L90" s="869" t="str">
        <f t="shared" si="15"/>
        <v>-</v>
      </c>
      <c r="M90" s="869">
        <f t="shared" si="12"/>
        <v>2.1</v>
      </c>
      <c r="N90" s="894" t="str">
        <f t="shared" si="16"/>
        <v>-</v>
      </c>
      <c r="Q90" s="159"/>
    </row>
    <row r="91" spans="2:17">
      <c r="B91" s="872"/>
      <c r="C91" s="861" t="s">
        <v>405</v>
      </c>
      <c r="D91" s="861"/>
      <c r="E91" s="867">
        <v>8</v>
      </c>
      <c r="F91" s="868">
        <v>0.6</v>
      </c>
      <c r="G91" s="867">
        <v>1</v>
      </c>
      <c r="H91" s="867">
        <v>5</v>
      </c>
      <c r="I91" s="867">
        <f t="shared" si="11"/>
        <v>5</v>
      </c>
      <c r="J91" s="867" t="str">
        <f t="shared" si="13"/>
        <v>-</v>
      </c>
      <c r="K91" s="869">
        <f t="shared" si="14"/>
        <v>3</v>
      </c>
      <c r="L91" s="869" t="str">
        <f t="shared" si="15"/>
        <v>-</v>
      </c>
      <c r="M91" s="869" t="str">
        <f t="shared" si="12"/>
        <v>-</v>
      </c>
      <c r="N91" s="894" t="str">
        <f t="shared" si="16"/>
        <v>-</v>
      </c>
      <c r="Q91" s="159"/>
    </row>
    <row r="92" spans="2:17">
      <c r="B92" s="872"/>
      <c r="C92" s="861"/>
      <c r="D92" s="861"/>
      <c r="E92" s="867">
        <v>12</v>
      </c>
      <c r="F92" s="868">
        <v>1.35</v>
      </c>
      <c r="G92" s="867">
        <v>1</v>
      </c>
      <c r="H92" s="867">
        <v>2</v>
      </c>
      <c r="I92" s="867">
        <f t="shared" si="11"/>
        <v>2</v>
      </c>
      <c r="J92" s="867"/>
      <c r="K92" s="869" t="str">
        <f t="shared" si="14"/>
        <v>-</v>
      </c>
      <c r="L92" s="869"/>
      <c r="M92" s="869">
        <f t="shared" si="12"/>
        <v>2.7</v>
      </c>
      <c r="N92" s="894" t="str">
        <f t="shared" si="16"/>
        <v>-</v>
      </c>
      <c r="Q92" s="159"/>
    </row>
    <row r="93" spans="2:17">
      <c r="B93" s="872"/>
      <c r="C93" s="861" t="s">
        <v>191</v>
      </c>
      <c r="D93" s="861"/>
      <c r="E93" s="867">
        <v>12</v>
      </c>
      <c r="F93" s="868">
        <v>1.25</v>
      </c>
      <c r="G93" s="867">
        <v>1</v>
      </c>
      <c r="H93" s="867">
        <v>2</v>
      </c>
      <c r="I93" s="867">
        <f t="shared" si="11"/>
        <v>2</v>
      </c>
      <c r="J93" s="867"/>
      <c r="K93" s="869" t="str">
        <f t="shared" si="14"/>
        <v>-</v>
      </c>
      <c r="L93" s="869"/>
      <c r="M93" s="869">
        <f t="shared" si="12"/>
        <v>2.5</v>
      </c>
      <c r="N93" s="894" t="str">
        <f t="shared" si="16"/>
        <v>-</v>
      </c>
      <c r="Q93" s="159"/>
    </row>
    <row r="94" spans="2:17">
      <c r="B94" s="872"/>
      <c r="C94" s="861"/>
      <c r="D94" s="861"/>
      <c r="E94" s="867">
        <v>8</v>
      </c>
      <c r="F94" s="868">
        <v>0.7</v>
      </c>
      <c r="G94" s="867">
        <v>1</v>
      </c>
      <c r="H94" s="867">
        <v>7</v>
      </c>
      <c r="I94" s="867">
        <f t="shared" si="11"/>
        <v>7</v>
      </c>
      <c r="J94" s="867"/>
      <c r="K94" s="869">
        <f t="shared" si="14"/>
        <v>4.8999999999999995</v>
      </c>
      <c r="L94" s="869"/>
      <c r="M94" s="869" t="str">
        <f t="shared" si="12"/>
        <v>-</v>
      </c>
      <c r="N94" s="894" t="str">
        <f t="shared" si="16"/>
        <v>-</v>
      </c>
      <c r="Q94" s="159"/>
    </row>
    <row r="95" spans="2:17">
      <c r="B95" s="872"/>
      <c r="C95" s="867"/>
      <c r="D95" s="861"/>
      <c r="E95" s="867">
        <v>12</v>
      </c>
      <c r="F95" s="868">
        <v>1.95</v>
      </c>
      <c r="G95" s="867">
        <v>1</v>
      </c>
      <c r="H95" s="867">
        <v>2</v>
      </c>
      <c r="I95" s="867">
        <f t="shared" si="11"/>
        <v>2</v>
      </c>
      <c r="J95" s="867"/>
      <c r="K95" s="869" t="str">
        <f t="shared" si="14"/>
        <v>-</v>
      </c>
      <c r="L95" s="869"/>
      <c r="M95" s="869">
        <f t="shared" si="12"/>
        <v>3.9</v>
      </c>
      <c r="N95" s="894" t="str">
        <f t="shared" si="16"/>
        <v>-</v>
      </c>
      <c r="Q95" s="159"/>
    </row>
    <row r="96" spans="2:17">
      <c r="B96" s="872"/>
      <c r="C96" s="861" t="s">
        <v>362</v>
      </c>
      <c r="D96" s="861"/>
      <c r="E96" s="867">
        <v>12</v>
      </c>
      <c r="F96" s="868">
        <v>1.65</v>
      </c>
      <c r="G96" s="867">
        <v>1</v>
      </c>
      <c r="H96" s="867">
        <v>2</v>
      </c>
      <c r="I96" s="867">
        <f t="shared" si="11"/>
        <v>2</v>
      </c>
      <c r="J96" s="867"/>
      <c r="K96" s="869" t="str">
        <f t="shared" si="14"/>
        <v>-</v>
      </c>
      <c r="L96" s="869"/>
      <c r="M96" s="869">
        <f t="shared" si="12"/>
        <v>3.3</v>
      </c>
      <c r="N96" s="894" t="str">
        <f t="shared" si="16"/>
        <v>-</v>
      </c>
      <c r="Q96" s="159"/>
    </row>
    <row r="97" spans="2:18">
      <c r="B97" s="872"/>
      <c r="C97" s="861"/>
      <c r="D97" s="861"/>
      <c r="E97" s="867">
        <v>8</v>
      </c>
      <c r="F97" s="868">
        <v>0.5</v>
      </c>
      <c r="G97" s="867">
        <v>1</v>
      </c>
      <c r="H97" s="867">
        <v>9</v>
      </c>
      <c r="I97" s="867">
        <f t="shared" si="11"/>
        <v>9</v>
      </c>
      <c r="J97" s="867"/>
      <c r="K97" s="869">
        <f t="shared" si="14"/>
        <v>4.5</v>
      </c>
      <c r="L97" s="869"/>
      <c r="M97" s="869" t="str">
        <f t="shared" si="12"/>
        <v>-</v>
      </c>
      <c r="N97" s="873" t="str">
        <f t="shared" si="16"/>
        <v>-</v>
      </c>
      <c r="Q97" s="159"/>
    </row>
    <row r="98" spans="2:18">
      <c r="B98" s="872"/>
      <c r="C98" s="861"/>
      <c r="D98" s="861"/>
      <c r="E98" s="867"/>
      <c r="F98" s="868"/>
      <c r="G98" s="867"/>
      <c r="H98" s="867"/>
      <c r="I98" s="867"/>
      <c r="J98" s="867"/>
      <c r="K98" s="869"/>
      <c r="L98" s="869"/>
      <c r="M98" s="869"/>
      <c r="N98" s="873"/>
      <c r="Q98" s="159"/>
    </row>
    <row r="99" spans="2:18">
      <c r="B99" s="872"/>
      <c r="C99" s="861"/>
      <c r="D99" s="861"/>
      <c r="E99" s="867"/>
      <c r="F99" s="868"/>
      <c r="G99" s="867"/>
      <c r="H99" s="867"/>
      <c r="I99" s="867"/>
      <c r="J99" s="867"/>
      <c r="K99" s="869"/>
      <c r="L99" s="869"/>
      <c r="M99" s="869"/>
      <c r="N99" s="873"/>
      <c r="Q99" s="159"/>
    </row>
    <row r="100" spans="2:18">
      <c r="B100" s="872"/>
      <c r="C100" s="861"/>
      <c r="D100" s="861"/>
      <c r="E100" s="867"/>
      <c r="F100" s="868"/>
      <c r="G100" s="867"/>
      <c r="H100" s="867"/>
      <c r="I100" s="867"/>
      <c r="J100" s="867"/>
      <c r="K100" s="869"/>
      <c r="L100" s="869"/>
      <c r="M100" s="869"/>
      <c r="N100" s="873"/>
      <c r="Q100" s="159"/>
    </row>
    <row r="101" spans="2:18">
      <c r="B101" s="872"/>
      <c r="C101" s="862"/>
      <c r="D101" s="861"/>
      <c r="E101" s="861"/>
      <c r="F101" s="863"/>
      <c r="G101" s="861"/>
      <c r="H101" s="864"/>
      <c r="I101" s="861"/>
      <c r="J101" s="865"/>
      <c r="K101" s="865"/>
      <c r="L101" s="865"/>
      <c r="M101" s="869" t="str">
        <f t="shared" si="12"/>
        <v>-</v>
      </c>
      <c r="N101" s="873"/>
      <c r="Q101" s="159"/>
    </row>
    <row r="102" spans="2:18">
      <c r="B102" s="872"/>
      <c r="C102" s="862"/>
      <c r="D102" s="861"/>
      <c r="E102" s="861"/>
      <c r="F102" s="863"/>
      <c r="G102" s="861"/>
      <c r="H102" s="864"/>
      <c r="I102" s="861"/>
      <c r="J102" s="865"/>
      <c r="K102" s="865"/>
      <c r="L102" s="865"/>
      <c r="M102" s="865"/>
      <c r="N102" s="873"/>
      <c r="Q102" s="159"/>
    </row>
    <row r="103" spans="2:18">
      <c r="B103" s="880"/>
      <c r="C103" s="895"/>
      <c r="D103" s="895"/>
      <c r="E103" s="895"/>
      <c r="F103" s="896"/>
      <c r="G103" s="895"/>
      <c r="H103" s="895"/>
      <c r="I103" s="895"/>
      <c r="J103" s="896"/>
      <c r="K103" s="896"/>
      <c r="L103" s="896"/>
      <c r="M103" s="896"/>
      <c r="N103" s="897"/>
      <c r="Q103" s="159"/>
    </row>
    <row r="104" spans="2:18">
      <c r="B104" s="2065" t="s">
        <v>301</v>
      </c>
      <c r="C104" s="2066"/>
      <c r="D104" s="2066"/>
      <c r="E104" s="2066"/>
      <c r="F104" s="2066"/>
      <c r="G104" s="2066"/>
      <c r="H104" s="2066"/>
      <c r="I104" s="2067"/>
      <c r="J104" s="142"/>
      <c r="K104" s="119">
        <f>SUM(K82:K103)</f>
        <v>38.199999999999996</v>
      </c>
      <c r="L104" s="119">
        <f>SUM(L82:L103)</f>
        <v>0</v>
      </c>
      <c r="M104" s="119">
        <f>SUM(M82:M103)</f>
        <v>49.2</v>
      </c>
      <c r="N104" s="119">
        <f>SUM(N82:N103)</f>
        <v>0</v>
      </c>
      <c r="Q104" s="159"/>
    </row>
    <row r="105" spans="2:18">
      <c r="B105" s="2065" t="s">
        <v>302</v>
      </c>
      <c r="C105" s="2066"/>
      <c r="D105" s="2066"/>
      <c r="E105" s="2066"/>
      <c r="F105" s="2066"/>
      <c r="G105" s="2066"/>
      <c r="H105" s="2066"/>
      <c r="I105" s="2067"/>
      <c r="J105" s="898"/>
      <c r="K105" s="362" t="s">
        <v>303</v>
      </c>
      <c r="L105" s="362" t="s">
        <v>304</v>
      </c>
      <c r="M105" s="362" t="s">
        <v>305</v>
      </c>
      <c r="N105" s="362" t="s">
        <v>306</v>
      </c>
      <c r="Q105" s="159"/>
    </row>
    <row r="106" spans="2:18">
      <c r="B106" s="2065" t="s">
        <v>307</v>
      </c>
      <c r="C106" s="2066"/>
      <c r="D106" s="2066"/>
      <c r="E106" s="2066"/>
      <c r="F106" s="2066"/>
      <c r="G106" s="2066"/>
      <c r="H106" s="2066"/>
      <c r="I106" s="2067"/>
      <c r="J106" s="899"/>
      <c r="K106" s="425">
        <f>K104*K105</f>
        <v>15.088999999999999</v>
      </c>
      <c r="L106" s="425">
        <f>L104*L105</f>
        <v>0</v>
      </c>
      <c r="M106" s="425">
        <f>M104*M105</f>
        <v>43.689600000000006</v>
      </c>
      <c r="N106" s="425">
        <f>N104*N105</f>
        <v>0</v>
      </c>
      <c r="Q106" s="159"/>
    </row>
    <row r="107" spans="2:18">
      <c r="B107" s="346"/>
      <c r="C107" s="346"/>
      <c r="D107" s="346"/>
      <c r="E107" s="346"/>
      <c r="F107" s="346"/>
      <c r="G107" s="346"/>
      <c r="H107" s="346"/>
      <c r="I107" s="346"/>
      <c r="J107" s="365"/>
      <c r="K107" s="122"/>
      <c r="L107" s="122"/>
      <c r="M107" s="122"/>
      <c r="N107" s="122"/>
      <c r="Q107" s="159"/>
    </row>
    <row r="108" spans="2:18">
      <c r="P108" s="159"/>
      <c r="Q108" s="159"/>
      <c r="R108" s="159"/>
    </row>
    <row r="109" spans="2:18">
      <c r="P109" s="159"/>
      <c r="Q109" s="159"/>
      <c r="R109" s="159"/>
    </row>
    <row r="110" spans="2:18">
      <c r="P110" s="159"/>
      <c r="Q110" s="159"/>
      <c r="R110" s="159"/>
    </row>
    <row r="111" spans="2:18">
      <c r="P111" s="159"/>
      <c r="Q111" s="159"/>
      <c r="R111" s="159"/>
    </row>
    <row r="112" spans="2:18">
      <c r="P112" s="159"/>
      <c r="Q112" s="159"/>
      <c r="R112" s="159"/>
    </row>
    <row r="113" spans="16:18">
      <c r="P113" s="159"/>
      <c r="Q113" s="159"/>
      <c r="R113" s="159"/>
    </row>
    <row r="114" spans="16:18">
      <c r="P114" s="159"/>
      <c r="Q114" s="159"/>
      <c r="R114" s="159"/>
    </row>
    <row r="115" spans="16:18">
      <c r="P115" s="159"/>
      <c r="Q115" s="159"/>
      <c r="R115" s="159"/>
    </row>
  </sheetData>
  <mergeCells count="20">
    <mergeCell ref="L2:N2"/>
    <mergeCell ref="B81:I81"/>
    <mergeCell ref="B49:I49"/>
    <mergeCell ref="B50:I50"/>
    <mergeCell ref="B51:I51"/>
    <mergeCell ref="B28:I28"/>
    <mergeCell ref="B29:I29"/>
    <mergeCell ref="B30:I30"/>
    <mergeCell ref="B2:G2"/>
    <mergeCell ref="B1:G1"/>
    <mergeCell ref="B7:B8"/>
    <mergeCell ref="C7:C8"/>
    <mergeCell ref="D7:D8"/>
    <mergeCell ref="E7:E8"/>
    <mergeCell ref="G7:I7"/>
    <mergeCell ref="B104:I104"/>
    <mergeCell ref="B105:I105"/>
    <mergeCell ref="B106:I106"/>
    <mergeCell ref="B79:I79"/>
    <mergeCell ref="B80:I80"/>
  </mergeCells>
  <pageMargins left="0.3" right="0.3" top="1" bottom="0.75" header="0.3" footer="0.3"/>
  <pageSetup scale="83" orientation="landscape" r:id="rId1"/>
  <headerFooter>
    <oddHeader>Page &amp;P of &amp;N</oddHeader>
    <oddFooter xml:space="preserve">&amp;LContructor: - &amp;USelam D.Office Engineer&amp;C&amp;UConsultant: - Dawit T. Resident Engineer&amp;RClient: -___________________    </oddFooter>
  </headerFooter>
  <rowBreaks count="2" manualBreakCount="2">
    <brk id="30" max="14" man="1"/>
    <brk id="51" max="14" man="1"/>
  </rowBreaks>
  <colBreaks count="1" manualBreakCount="1">
    <brk id="17" max="244"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J48"/>
  <sheetViews>
    <sheetView view="pageBreakPreview" zoomScaleSheetLayoutView="100" workbookViewId="0">
      <selection activeCell="B11" sqref="B11:H11"/>
    </sheetView>
  </sheetViews>
  <sheetFormatPr defaultRowHeight="12.75"/>
  <cols>
    <col min="1" max="1" width="3.85546875" style="432" customWidth="1"/>
    <col min="2" max="2" width="6.28515625" style="432" customWidth="1"/>
    <col min="3" max="4" width="9.140625" style="432"/>
    <col min="5" max="5" width="19.7109375" style="432" customWidth="1"/>
    <col min="6" max="9" width="16.5703125" style="432" customWidth="1"/>
    <col min="10" max="10" width="1.85546875" style="432" customWidth="1"/>
    <col min="11" max="256" width="9.140625" style="432"/>
    <col min="257" max="257" width="4.85546875" style="432" customWidth="1"/>
    <col min="258" max="259" width="9.140625" style="432"/>
    <col min="260" max="260" width="5.85546875" style="432" customWidth="1"/>
    <col min="261" max="261" width="2.28515625" style="432" customWidth="1"/>
    <col min="262" max="262" width="16.5703125" style="432" customWidth="1"/>
    <col min="263" max="263" width="14.5703125" style="432" customWidth="1"/>
    <col min="264" max="264" width="16.5703125" style="432" customWidth="1"/>
    <col min="265" max="265" width="15.28515625" style="432" customWidth="1"/>
    <col min="266" max="512" width="9.140625" style="432"/>
    <col min="513" max="513" width="4.85546875" style="432" customWidth="1"/>
    <col min="514" max="515" width="9.140625" style="432"/>
    <col min="516" max="516" width="5.85546875" style="432" customWidth="1"/>
    <col min="517" max="517" width="2.28515625" style="432" customWidth="1"/>
    <col min="518" max="518" width="16.5703125" style="432" customWidth="1"/>
    <col min="519" max="519" width="14.5703125" style="432" customWidth="1"/>
    <col min="520" max="520" width="16.5703125" style="432" customWidth="1"/>
    <col min="521" max="521" width="15.28515625" style="432" customWidth="1"/>
    <col min="522" max="768" width="9.140625" style="432"/>
    <col min="769" max="769" width="4.85546875" style="432" customWidth="1"/>
    <col min="770" max="771" width="9.140625" style="432"/>
    <col min="772" max="772" width="5.85546875" style="432" customWidth="1"/>
    <col min="773" max="773" width="2.28515625" style="432" customWidth="1"/>
    <col min="774" max="774" width="16.5703125" style="432" customWidth="1"/>
    <col min="775" max="775" width="14.5703125" style="432" customWidth="1"/>
    <col min="776" max="776" width="16.5703125" style="432" customWidth="1"/>
    <col min="777" max="777" width="15.28515625" style="432" customWidth="1"/>
    <col min="778" max="1024" width="9.140625" style="432"/>
    <col min="1025" max="1025" width="4.85546875" style="432" customWidth="1"/>
    <col min="1026" max="1027" width="9.140625" style="432"/>
    <col min="1028" max="1028" width="5.85546875" style="432" customWidth="1"/>
    <col min="1029" max="1029" width="2.28515625" style="432" customWidth="1"/>
    <col min="1030" max="1030" width="16.5703125" style="432" customWidth="1"/>
    <col min="1031" max="1031" width="14.5703125" style="432" customWidth="1"/>
    <col min="1032" max="1032" width="16.5703125" style="432" customWidth="1"/>
    <col min="1033" max="1033" width="15.28515625" style="432" customWidth="1"/>
    <col min="1034" max="1280" width="9.140625" style="432"/>
    <col min="1281" max="1281" width="4.85546875" style="432" customWidth="1"/>
    <col min="1282" max="1283" width="9.140625" style="432"/>
    <col min="1284" max="1284" width="5.85546875" style="432" customWidth="1"/>
    <col min="1285" max="1285" width="2.28515625" style="432" customWidth="1"/>
    <col min="1286" max="1286" width="16.5703125" style="432" customWidth="1"/>
    <col min="1287" max="1287" width="14.5703125" style="432" customWidth="1"/>
    <col min="1288" max="1288" width="16.5703125" style="432" customWidth="1"/>
    <col min="1289" max="1289" width="15.28515625" style="432" customWidth="1"/>
    <col min="1290" max="1536" width="9.140625" style="432"/>
    <col min="1537" max="1537" width="4.85546875" style="432" customWidth="1"/>
    <col min="1538" max="1539" width="9.140625" style="432"/>
    <col min="1540" max="1540" width="5.85546875" style="432" customWidth="1"/>
    <col min="1541" max="1541" width="2.28515625" style="432" customWidth="1"/>
    <col min="1542" max="1542" width="16.5703125" style="432" customWidth="1"/>
    <col min="1543" max="1543" width="14.5703125" style="432" customWidth="1"/>
    <col min="1544" max="1544" width="16.5703125" style="432" customWidth="1"/>
    <col min="1545" max="1545" width="15.28515625" style="432" customWidth="1"/>
    <col min="1546" max="1792" width="9.140625" style="432"/>
    <col min="1793" max="1793" width="4.85546875" style="432" customWidth="1"/>
    <col min="1794" max="1795" width="9.140625" style="432"/>
    <col min="1796" max="1796" width="5.85546875" style="432" customWidth="1"/>
    <col min="1797" max="1797" width="2.28515625" style="432" customWidth="1"/>
    <col min="1798" max="1798" width="16.5703125" style="432" customWidth="1"/>
    <col min="1799" max="1799" width="14.5703125" style="432" customWidth="1"/>
    <col min="1800" max="1800" width="16.5703125" style="432" customWidth="1"/>
    <col min="1801" max="1801" width="15.28515625" style="432" customWidth="1"/>
    <col min="1802" max="2048" width="9.140625" style="432"/>
    <col min="2049" max="2049" width="4.85546875" style="432" customWidth="1"/>
    <col min="2050" max="2051" width="9.140625" style="432"/>
    <col min="2052" max="2052" width="5.85546875" style="432" customWidth="1"/>
    <col min="2053" max="2053" width="2.28515625" style="432" customWidth="1"/>
    <col min="2054" max="2054" width="16.5703125" style="432" customWidth="1"/>
    <col min="2055" max="2055" width="14.5703125" style="432" customWidth="1"/>
    <col min="2056" max="2056" width="16.5703125" style="432" customWidth="1"/>
    <col min="2057" max="2057" width="15.28515625" style="432" customWidth="1"/>
    <col min="2058" max="2304" width="9.140625" style="432"/>
    <col min="2305" max="2305" width="4.85546875" style="432" customWidth="1"/>
    <col min="2306" max="2307" width="9.140625" style="432"/>
    <col min="2308" max="2308" width="5.85546875" style="432" customWidth="1"/>
    <col min="2309" max="2309" width="2.28515625" style="432" customWidth="1"/>
    <col min="2310" max="2310" width="16.5703125" style="432" customWidth="1"/>
    <col min="2311" max="2311" width="14.5703125" style="432" customWidth="1"/>
    <col min="2312" max="2312" width="16.5703125" style="432" customWidth="1"/>
    <col min="2313" max="2313" width="15.28515625" style="432" customWidth="1"/>
    <col min="2314" max="2560" width="9.140625" style="432"/>
    <col min="2561" max="2561" width="4.85546875" style="432" customWidth="1"/>
    <col min="2562" max="2563" width="9.140625" style="432"/>
    <col min="2564" max="2564" width="5.85546875" style="432" customWidth="1"/>
    <col min="2565" max="2565" width="2.28515625" style="432" customWidth="1"/>
    <col min="2566" max="2566" width="16.5703125" style="432" customWidth="1"/>
    <col min="2567" max="2567" width="14.5703125" style="432" customWidth="1"/>
    <col min="2568" max="2568" width="16.5703125" style="432" customWidth="1"/>
    <col min="2569" max="2569" width="15.28515625" style="432" customWidth="1"/>
    <col min="2570" max="2816" width="9.140625" style="432"/>
    <col min="2817" max="2817" width="4.85546875" style="432" customWidth="1"/>
    <col min="2818" max="2819" width="9.140625" style="432"/>
    <col min="2820" max="2820" width="5.85546875" style="432" customWidth="1"/>
    <col min="2821" max="2821" width="2.28515625" style="432" customWidth="1"/>
    <col min="2822" max="2822" width="16.5703125" style="432" customWidth="1"/>
    <col min="2823" max="2823" width="14.5703125" style="432" customWidth="1"/>
    <col min="2824" max="2824" width="16.5703125" style="432" customWidth="1"/>
    <col min="2825" max="2825" width="15.28515625" style="432" customWidth="1"/>
    <col min="2826" max="3072" width="9.140625" style="432"/>
    <col min="3073" max="3073" width="4.85546875" style="432" customWidth="1"/>
    <col min="3074" max="3075" width="9.140625" style="432"/>
    <col min="3076" max="3076" width="5.85546875" style="432" customWidth="1"/>
    <col min="3077" max="3077" width="2.28515625" style="432" customWidth="1"/>
    <col min="3078" max="3078" width="16.5703125" style="432" customWidth="1"/>
    <col min="3079" max="3079" width="14.5703125" style="432" customWidth="1"/>
    <col min="3080" max="3080" width="16.5703125" style="432" customWidth="1"/>
    <col min="3081" max="3081" width="15.28515625" style="432" customWidth="1"/>
    <col min="3082" max="3328" width="9.140625" style="432"/>
    <col min="3329" max="3329" width="4.85546875" style="432" customWidth="1"/>
    <col min="3330" max="3331" width="9.140625" style="432"/>
    <col min="3332" max="3332" width="5.85546875" style="432" customWidth="1"/>
    <col min="3333" max="3333" width="2.28515625" style="432" customWidth="1"/>
    <col min="3334" max="3334" width="16.5703125" style="432" customWidth="1"/>
    <col min="3335" max="3335" width="14.5703125" style="432" customWidth="1"/>
    <col min="3336" max="3336" width="16.5703125" style="432" customWidth="1"/>
    <col min="3337" max="3337" width="15.28515625" style="432" customWidth="1"/>
    <col min="3338" max="3584" width="9.140625" style="432"/>
    <col min="3585" max="3585" width="4.85546875" style="432" customWidth="1"/>
    <col min="3586" max="3587" width="9.140625" style="432"/>
    <col min="3588" max="3588" width="5.85546875" style="432" customWidth="1"/>
    <col min="3589" max="3589" width="2.28515625" style="432" customWidth="1"/>
    <col min="3590" max="3590" width="16.5703125" style="432" customWidth="1"/>
    <col min="3591" max="3591" width="14.5703125" style="432" customWidth="1"/>
    <col min="3592" max="3592" width="16.5703125" style="432" customWidth="1"/>
    <col min="3593" max="3593" width="15.28515625" style="432" customWidth="1"/>
    <col min="3594" max="3840" width="9.140625" style="432"/>
    <col min="3841" max="3841" width="4.85546875" style="432" customWidth="1"/>
    <col min="3842" max="3843" width="9.140625" style="432"/>
    <col min="3844" max="3844" width="5.85546875" style="432" customWidth="1"/>
    <col min="3845" max="3845" width="2.28515625" style="432" customWidth="1"/>
    <col min="3846" max="3846" width="16.5703125" style="432" customWidth="1"/>
    <col min="3847" max="3847" width="14.5703125" style="432" customWidth="1"/>
    <col min="3848" max="3848" width="16.5703125" style="432" customWidth="1"/>
    <col min="3849" max="3849" width="15.28515625" style="432" customWidth="1"/>
    <col min="3850" max="4096" width="9.140625" style="432"/>
    <col min="4097" max="4097" width="4.85546875" style="432" customWidth="1"/>
    <col min="4098" max="4099" width="9.140625" style="432"/>
    <col min="4100" max="4100" width="5.85546875" style="432" customWidth="1"/>
    <col min="4101" max="4101" width="2.28515625" style="432" customWidth="1"/>
    <col min="4102" max="4102" width="16.5703125" style="432" customWidth="1"/>
    <col min="4103" max="4103" width="14.5703125" style="432" customWidth="1"/>
    <col min="4104" max="4104" width="16.5703125" style="432" customWidth="1"/>
    <col min="4105" max="4105" width="15.28515625" style="432" customWidth="1"/>
    <col min="4106" max="4352" width="9.140625" style="432"/>
    <col min="4353" max="4353" width="4.85546875" style="432" customWidth="1"/>
    <col min="4354" max="4355" width="9.140625" style="432"/>
    <col min="4356" max="4356" width="5.85546875" style="432" customWidth="1"/>
    <col min="4357" max="4357" width="2.28515625" style="432" customWidth="1"/>
    <col min="4358" max="4358" width="16.5703125" style="432" customWidth="1"/>
    <col min="4359" max="4359" width="14.5703125" style="432" customWidth="1"/>
    <col min="4360" max="4360" width="16.5703125" style="432" customWidth="1"/>
    <col min="4361" max="4361" width="15.28515625" style="432" customWidth="1"/>
    <col min="4362" max="4608" width="9.140625" style="432"/>
    <col min="4609" max="4609" width="4.85546875" style="432" customWidth="1"/>
    <col min="4610" max="4611" width="9.140625" style="432"/>
    <col min="4612" max="4612" width="5.85546875" style="432" customWidth="1"/>
    <col min="4613" max="4613" width="2.28515625" style="432" customWidth="1"/>
    <col min="4614" max="4614" width="16.5703125" style="432" customWidth="1"/>
    <col min="4615" max="4615" width="14.5703125" style="432" customWidth="1"/>
    <col min="4616" max="4616" width="16.5703125" style="432" customWidth="1"/>
    <col min="4617" max="4617" width="15.28515625" style="432" customWidth="1"/>
    <col min="4618" max="4864" width="9.140625" style="432"/>
    <col min="4865" max="4865" width="4.85546875" style="432" customWidth="1"/>
    <col min="4866" max="4867" width="9.140625" style="432"/>
    <col min="4868" max="4868" width="5.85546875" style="432" customWidth="1"/>
    <col min="4869" max="4869" width="2.28515625" style="432" customWidth="1"/>
    <col min="4870" max="4870" width="16.5703125" style="432" customWidth="1"/>
    <col min="4871" max="4871" width="14.5703125" style="432" customWidth="1"/>
    <col min="4872" max="4872" width="16.5703125" style="432" customWidth="1"/>
    <col min="4873" max="4873" width="15.28515625" style="432" customWidth="1"/>
    <col min="4874" max="5120" width="9.140625" style="432"/>
    <col min="5121" max="5121" width="4.85546875" style="432" customWidth="1"/>
    <col min="5122" max="5123" width="9.140625" style="432"/>
    <col min="5124" max="5124" width="5.85546875" style="432" customWidth="1"/>
    <col min="5125" max="5125" width="2.28515625" style="432" customWidth="1"/>
    <col min="5126" max="5126" width="16.5703125" style="432" customWidth="1"/>
    <col min="5127" max="5127" width="14.5703125" style="432" customWidth="1"/>
    <col min="5128" max="5128" width="16.5703125" style="432" customWidth="1"/>
    <col min="5129" max="5129" width="15.28515625" style="432" customWidth="1"/>
    <col min="5130" max="5376" width="9.140625" style="432"/>
    <col min="5377" max="5377" width="4.85546875" style="432" customWidth="1"/>
    <col min="5378" max="5379" width="9.140625" style="432"/>
    <col min="5380" max="5380" width="5.85546875" style="432" customWidth="1"/>
    <col min="5381" max="5381" width="2.28515625" style="432" customWidth="1"/>
    <col min="5382" max="5382" width="16.5703125" style="432" customWidth="1"/>
    <col min="5383" max="5383" width="14.5703125" style="432" customWidth="1"/>
    <col min="5384" max="5384" width="16.5703125" style="432" customWidth="1"/>
    <col min="5385" max="5385" width="15.28515625" style="432" customWidth="1"/>
    <col min="5386" max="5632" width="9.140625" style="432"/>
    <col min="5633" max="5633" width="4.85546875" style="432" customWidth="1"/>
    <col min="5634" max="5635" width="9.140625" style="432"/>
    <col min="5636" max="5636" width="5.85546875" style="432" customWidth="1"/>
    <col min="5637" max="5637" width="2.28515625" style="432" customWidth="1"/>
    <col min="5638" max="5638" width="16.5703125" style="432" customWidth="1"/>
    <col min="5639" max="5639" width="14.5703125" style="432" customWidth="1"/>
    <col min="5640" max="5640" width="16.5703125" style="432" customWidth="1"/>
    <col min="5641" max="5641" width="15.28515625" style="432" customWidth="1"/>
    <col min="5642" max="5888" width="9.140625" style="432"/>
    <col min="5889" max="5889" width="4.85546875" style="432" customWidth="1"/>
    <col min="5890" max="5891" width="9.140625" style="432"/>
    <col min="5892" max="5892" width="5.85546875" style="432" customWidth="1"/>
    <col min="5893" max="5893" width="2.28515625" style="432" customWidth="1"/>
    <col min="5894" max="5894" width="16.5703125" style="432" customWidth="1"/>
    <col min="5895" max="5895" width="14.5703125" style="432" customWidth="1"/>
    <col min="5896" max="5896" width="16.5703125" style="432" customWidth="1"/>
    <col min="5897" max="5897" width="15.28515625" style="432" customWidth="1"/>
    <col min="5898" max="6144" width="9.140625" style="432"/>
    <col min="6145" max="6145" width="4.85546875" style="432" customWidth="1"/>
    <col min="6146" max="6147" width="9.140625" style="432"/>
    <col min="6148" max="6148" width="5.85546875" style="432" customWidth="1"/>
    <col min="6149" max="6149" width="2.28515625" style="432" customWidth="1"/>
    <col min="6150" max="6150" width="16.5703125" style="432" customWidth="1"/>
    <col min="6151" max="6151" width="14.5703125" style="432" customWidth="1"/>
    <col min="6152" max="6152" width="16.5703125" style="432" customWidth="1"/>
    <col min="6153" max="6153" width="15.28515625" style="432" customWidth="1"/>
    <col min="6154" max="6400" width="9.140625" style="432"/>
    <col min="6401" max="6401" width="4.85546875" style="432" customWidth="1"/>
    <col min="6402" max="6403" width="9.140625" style="432"/>
    <col min="6404" max="6404" width="5.85546875" style="432" customWidth="1"/>
    <col min="6405" max="6405" width="2.28515625" style="432" customWidth="1"/>
    <col min="6406" max="6406" width="16.5703125" style="432" customWidth="1"/>
    <col min="6407" max="6407" width="14.5703125" style="432" customWidth="1"/>
    <col min="6408" max="6408" width="16.5703125" style="432" customWidth="1"/>
    <col min="6409" max="6409" width="15.28515625" style="432" customWidth="1"/>
    <col min="6410" max="6656" width="9.140625" style="432"/>
    <col min="6657" max="6657" width="4.85546875" style="432" customWidth="1"/>
    <col min="6658" max="6659" width="9.140625" style="432"/>
    <col min="6660" max="6660" width="5.85546875" style="432" customWidth="1"/>
    <col min="6661" max="6661" width="2.28515625" style="432" customWidth="1"/>
    <col min="6662" max="6662" width="16.5703125" style="432" customWidth="1"/>
    <col min="6663" max="6663" width="14.5703125" style="432" customWidth="1"/>
    <col min="6664" max="6664" width="16.5703125" style="432" customWidth="1"/>
    <col min="6665" max="6665" width="15.28515625" style="432" customWidth="1"/>
    <col min="6666" max="6912" width="9.140625" style="432"/>
    <col min="6913" max="6913" width="4.85546875" style="432" customWidth="1"/>
    <col min="6914" max="6915" width="9.140625" style="432"/>
    <col min="6916" max="6916" width="5.85546875" style="432" customWidth="1"/>
    <col min="6917" max="6917" width="2.28515625" style="432" customWidth="1"/>
    <col min="6918" max="6918" width="16.5703125" style="432" customWidth="1"/>
    <col min="6919" max="6919" width="14.5703125" style="432" customWidth="1"/>
    <col min="6920" max="6920" width="16.5703125" style="432" customWidth="1"/>
    <col min="6921" max="6921" width="15.28515625" style="432" customWidth="1"/>
    <col min="6922" max="7168" width="9.140625" style="432"/>
    <col min="7169" max="7169" width="4.85546875" style="432" customWidth="1"/>
    <col min="7170" max="7171" width="9.140625" style="432"/>
    <col min="7172" max="7172" width="5.85546875" style="432" customWidth="1"/>
    <col min="7173" max="7173" width="2.28515625" style="432" customWidth="1"/>
    <col min="7174" max="7174" width="16.5703125" style="432" customWidth="1"/>
    <col min="7175" max="7175" width="14.5703125" style="432" customWidth="1"/>
    <col min="7176" max="7176" width="16.5703125" style="432" customWidth="1"/>
    <col min="7177" max="7177" width="15.28515625" style="432" customWidth="1"/>
    <col min="7178" max="7424" width="9.140625" style="432"/>
    <col min="7425" max="7425" width="4.85546875" style="432" customWidth="1"/>
    <col min="7426" max="7427" width="9.140625" style="432"/>
    <col min="7428" max="7428" width="5.85546875" style="432" customWidth="1"/>
    <col min="7429" max="7429" width="2.28515625" style="432" customWidth="1"/>
    <col min="7430" max="7430" width="16.5703125" style="432" customWidth="1"/>
    <col min="7431" max="7431" width="14.5703125" style="432" customWidth="1"/>
    <col min="7432" max="7432" width="16.5703125" style="432" customWidth="1"/>
    <col min="7433" max="7433" width="15.28515625" style="432" customWidth="1"/>
    <col min="7434" max="7680" width="9.140625" style="432"/>
    <col min="7681" max="7681" width="4.85546875" style="432" customWidth="1"/>
    <col min="7682" max="7683" width="9.140625" style="432"/>
    <col min="7684" max="7684" width="5.85546875" style="432" customWidth="1"/>
    <col min="7685" max="7685" width="2.28515625" style="432" customWidth="1"/>
    <col min="7686" max="7686" width="16.5703125" style="432" customWidth="1"/>
    <col min="7687" max="7687" width="14.5703125" style="432" customWidth="1"/>
    <col min="7688" max="7688" width="16.5703125" style="432" customWidth="1"/>
    <col min="7689" max="7689" width="15.28515625" style="432" customWidth="1"/>
    <col min="7690" max="7936" width="9.140625" style="432"/>
    <col min="7937" max="7937" width="4.85546875" style="432" customWidth="1"/>
    <col min="7938" max="7939" width="9.140625" style="432"/>
    <col min="7940" max="7940" width="5.85546875" style="432" customWidth="1"/>
    <col min="7941" max="7941" width="2.28515625" style="432" customWidth="1"/>
    <col min="7942" max="7942" width="16.5703125" style="432" customWidth="1"/>
    <col min="7943" max="7943" width="14.5703125" style="432" customWidth="1"/>
    <col min="7944" max="7944" width="16.5703125" style="432" customWidth="1"/>
    <col min="7945" max="7945" width="15.28515625" style="432" customWidth="1"/>
    <col min="7946" max="8192" width="9.140625" style="432"/>
    <col min="8193" max="8193" width="4.85546875" style="432" customWidth="1"/>
    <col min="8194" max="8195" width="9.140625" style="432"/>
    <col min="8196" max="8196" width="5.85546875" style="432" customWidth="1"/>
    <col min="8197" max="8197" width="2.28515625" style="432" customWidth="1"/>
    <col min="8198" max="8198" width="16.5703125" style="432" customWidth="1"/>
    <col min="8199" max="8199" width="14.5703125" style="432" customWidth="1"/>
    <col min="8200" max="8200" width="16.5703125" style="432" customWidth="1"/>
    <col min="8201" max="8201" width="15.28515625" style="432" customWidth="1"/>
    <col min="8202" max="8448" width="9.140625" style="432"/>
    <col min="8449" max="8449" width="4.85546875" style="432" customWidth="1"/>
    <col min="8450" max="8451" width="9.140625" style="432"/>
    <col min="8452" max="8452" width="5.85546875" style="432" customWidth="1"/>
    <col min="8453" max="8453" width="2.28515625" style="432" customWidth="1"/>
    <col min="8454" max="8454" width="16.5703125" style="432" customWidth="1"/>
    <col min="8455" max="8455" width="14.5703125" style="432" customWidth="1"/>
    <col min="8456" max="8456" width="16.5703125" style="432" customWidth="1"/>
    <col min="8457" max="8457" width="15.28515625" style="432" customWidth="1"/>
    <col min="8458" max="8704" width="9.140625" style="432"/>
    <col min="8705" max="8705" width="4.85546875" style="432" customWidth="1"/>
    <col min="8706" max="8707" width="9.140625" style="432"/>
    <col min="8708" max="8708" width="5.85546875" style="432" customWidth="1"/>
    <col min="8709" max="8709" width="2.28515625" style="432" customWidth="1"/>
    <col min="8710" max="8710" width="16.5703125" style="432" customWidth="1"/>
    <col min="8711" max="8711" width="14.5703125" style="432" customWidth="1"/>
    <col min="8712" max="8712" width="16.5703125" style="432" customWidth="1"/>
    <col min="8713" max="8713" width="15.28515625" style="432" customWidth="1"/>
    <col min="8714" max="8960" width="9.140625" style="432"/>
    <col min="8961" max="8961" width="4.85546875" style="432" customWidth="1"/>
    <col min="8962" max="8963" width="9.140625" style="432"/>
    <col min="8964" max="8964" width="5.85546875" style="432" customWidth="1"/>
    <col min="8965" max="8965" width="2.28515625" style="432" customWidth="1"/>
    <col min="8966" max="8966" width="16.5703125" style="432" customWidth="1"/>
    <col min="8967" max="8967" width="14.5703125" style="432" customWidth="1"/>
    <col min="8968" max="8968" width="16.5703125" style="432" customWidth="1"/>
    <col min="8969" max="8969" width="15.28515625" style="432" customWidth="1"/>
    <col min="8970" max="9216" width="9.140625" style="432"/>
    <col min="9217" max="9217" width="4.85546875" style="432" customWidth="1"/>
    <col min="9218" max="9219" width="9.140625" style="432"/>
    <col min="9220" max="9220" width="5.85546875" style="432" customWidth="1"/>
    <col min="9221" max="9221" width="2.28515625" style="432" customWidth="1"/>
    <col min="9222" max="9222" width="16.5703125" style="432" customWidth="1"/>
    <col min="9223" max="9223" width="14.5703125" style="432" customWidth="1"/>
    <col min="9224" max="9224" width="16.5703125" style="432" customWidth="1"/>
    <col min="9225" max="9225" width="15.28515625" style="432" customWidth="1"/>
    <col min="9226" max="9472" width="9.140625" style="432"/>
    <col min="9473" max="9473" width="4.85546875" style="432" customWidth="1"/>
    <col min="9474" max="9475" width="9.140625" style="432"/>
    <col min="9476" max="9476" width="5.85546875" style="432" customWidth="1"/>
    <col min="9477" max="9477" width="2.28515625" style="432" customWidth="1"/>
    <col min="9478" max="9478" width="16.5703125" style="432" customWidth="1"/>
    <col min="9479" max="9479" width="14.5703125" style="432" customWidth="1"/>
    <col min="9480" max="9480" width="16.5703125" style="432" customWidth="1"/>
    <col min="9481" max="9481" width="15.28515625" style="432" customWidth="1"/>
    <col min="9482" max="9728" width="9.140625" style="432"/>
    <col min="9729" max="9729" width="4.85546875" style="432" customWidth="1"/>
    <col min="9730" max="9731" width="9.140625" style="432"/>
    <col min="9732" max="9732" width="5.85546875" style="432" customWidth="1"/>
    <col min="9733" max="9733" width="2.28515625" style="432" customWidth="1"/>
    <col min="9734" max="9734" width="16.5703125" style="432" customWidth="1"/>
    <col min="9735" max="9735" width="14.5703125" style="432" customWidth="1"/>
    <col min="9736" max="9736" width="16.5703125" style="432" customWidth="1"/>
    <col min="9737" max="9737" width="15.28515625" style="432" customWidth="1"/>
    <col min="9738" max="9984" width="9.140625" style="432"/>
    <col min="9985" max="9985" width="4.85546875" style="432" customWidth="1"/>
    <col min="9986" max="9987" width="9.140625" style="432"/>
    <col min="9988" max="9988" width="5.85546875" style="432" customWidth="1"/>
    <col min="9989" max="9989" width="2.28515625" style="432" customWidth="1"/>
    <col min="9990" max="9990" width="16.5703125" style="432" customWidth="1"/>
    <col min="9991" max="9991" width="14.5703125" style="432" customWidth="1"/>
    <col min="9992" max="9992" width="16.5703125" style="432" customWidth="1"/>
    <col min="9993" max="9993" width="15.28515625" style="432" customWidth="1"/>
    <col min="9994" max="10240" width="9.140625" style="432"/>
    <col min="10241" max="10241" width="4.85546875" style="432" customWidth="1"/>
    <col min="10242" max="10243" width="9.140625" style="432"/>
    <col min="10244" max="10244" width="5.85546875" style="432" customWidth="1"/>
    <col min="10245" max="10245" width="2.28515625" style="432" customWidth="1"/>
    <col min="10246" max="10246" width="16.5703125" style="432" customWidth="1"/>
    <col min="10247" max="10247" width="14.5703125" style="432" customWidth="1"/>
    <col min="10248" max="10248" width="16.5703125" style="432" customWidth="1"/>
    <col min="10249" max="10249" width="15.28515625" style="432" customWidth="1"/>
    <col min="10250" max="10496" width="9.140625" style="432"/>
    <col min="10497" max="10497" width="4.85546875" style="432" customWidth="1"/>
    <col min="10498" max="10499" width="9.140625" style="432"/>
    <col min="10500" max="10500" width="5.85546875" style="432" customWidth="1"/>
    <col min="10501" max="10501" width="2.28515625" style="432" customWidth="1"/>
    <col min="10502" max="10502" width="16.5703125" style="432" customWidth="1"/>
    <col min="10503" max="10503" width="14.5703125" style="432" customWidth="1"/>
    <col min="10504" max="10504" width="16.5703125" style="432" customWidth="1"/>
    <col min="10505" max="10505" width="15.28515625" style="432" customWidth="1"/>
    <col min="10506" max="10752" width="9.140625" style="432"/>
    <col min="10753" max="10753" width="4.85546875" style="432" customWidth="1"/>
    <col min="10754" max="10755" width="9.140625" style="432"/>
    <col min="10756" max="10756" width="5.85546875" style="432" customWidth="1"/>
    <col min="10757" max="10757" width="2.28515625" style="432" customWidth="1"/>
    <col min="10758" max="10758" width="16.5703125" style="432" customWidth="1"/>
    <col min="10759" max="10759" width="14.5703125" style="432" customWidth="1"/>
    <col min="10760" max="10760" width="16.5703125" style="432" customWidth="1"/>
    <col min="10761" max="10761" width="15.28515625" style="432" customWidth="1"/>
    <col min="10762" max="11008" width="9.140625" style="432"/>
    <col min="11009" max="11009" width="4.85546875" style="432" customWidth="1"/>
    <col min="11010" max="11011" width="9.140625" style="432"/>
    <col min="11012" max="11012" width="5.85546875" style="432" customWidth="1"/>
    <col min="11013" max="11013" width="2.28515625" style="432" customWidth="1"/>
    <col min="11014" max="11014" width="16.5703125" style="432" customWidth="1"/>
    <col min="11015" max="11015" width="14.5703125" style="432" customWidth="1"/>
    <col min="11016" max="11016" width="16.5703125" style="432" customWidth="1"/>
    <col min="11017" max="11017" width="15.28515625" style="432" customWidth="1"/>
    <col min="11018" max="11264" width="9.140625" style="432"/>
    <col min="11265" max="11265" width="4.85546875" style="432" customWidth="1"/>
    <col min="11266" max="11267" width="9.140625" style="432"/>
    <col min="11268" max="11268" width="5.85546875" style="432" customWidth="1"/>
    <col min="11269" max="11269" width="2.28515625" style="432" customWidth="1"/>
    <col min="11270" max="11270" width="16.5703125" style="432" customWidth="1"/>
    <col min="11271" max="11271" width="14.5703125" style="432" customWidth="1"/>
    <col min="11272" max="11272" width="16.5703125" style="432" customWidth="1"/>
    <col min="11273" max="11273" width="15.28515625" style="432" customWidth="1"/>
    <col min="11274" max="11520" width="9.140625" style="432"/>
    <col min="11521" max="11521" width="4.85546875" style="432" customWidth="1"/>
    <col min="11522" max="11523" width="9.140625" style="432"/>
    <col min="11524" max="11524" width="5.85546875" style="432" customWidth="1"/>
    <col min="11525" max="11525" width="2.28515625" style="432" customWidth="1"/>
    <col min="11526" max="11526" width="16.5703125" style="432" customWidth="1"/>
    <col min="11527" max="11527" width="14.5703125" style="432" customWidth="1"/>
    <col min="11528" max="11528" width="16.5703125" style="432" customWidth="1"/>
    <col min="11529" max="11529" width="15.28515625" style="432" customWidth="1"/>
    <col min="11530" max="11776" width="9.140625" style="432"/>
    <col min="11777" max="11777" width="4.85546875" style="432" customWidth="1"/>
    <col min="11778" max="11779" width="9.140625" style="432"/>
    <col min="11780" max="11780" width="5.85546875" style="432" customWidth="1"/>
    <col min="11781" max="11781" width="2.28515625" style="432" customWidth="1"/>
    <col min="11782" max="11782" width="16.5703125" style="432" customWidth="1"/>
    <col min="11783" max="11783" width="14.5703125" style="432" customWidth="1"/>
    <col min="11784" max="11784" width="16.5703125" style="432" customWidth="1"/>
    <col min="11785" max="11785" width="15.28515625" style="432" customWidth="1"/>
    <col min="11786" max="12032" width="9.140625" style="432"/>
    <col min="12033" max="12033" width="4.85546875" style="432" customWidth="1"/>
    <col min="12034" max="12035" width="9.140625" style="432"/>
    <col min="12036" max="12036" width="5.85546875" style="432" customWidth="1"/>
    <col min="12037" max="12037" width="2.28515625" style="432" customWidth="1"/>
    <col min="12038" max="12038" width="16.5703125" style="432" customWidth="1"/>
    <col min="12039" max="12039" width="14.5703125" style="432" customWidth="1"/>
    <col min="12040" max="12040" width="16.5703125" style="432" customWidth="1"/>
    <col min="12041" max="12041" width="15.28515625" style="432" customWidth="1"/>
    <col min="12042" max="12288" width="9.140625" style="432"/>
    <col min="12289" max="12289" width="4.85546875" style="432" customWidth="1"/>
    <col min="12290" max="12291" width="9.140625" style="432"/>
    <col min="12292" max="12292" width="5.85546875" style="432" customWidth="1"/>
    <col min="12293" max="12293" width="2.28515625" style="432" customWidth="1"/>
    <col min="12294" max="12294" width="16.5703125" style="432" customWidth="1"/>
    <col min="12295" max="12295" width="14.5703125" style="432" customWidth="1"/>
    <col min="12296" max="12296" width="16.5703125" style="432" customWidth="1"/>
    <col min="12297" max="12297" width="15.28515625" style="432" customWidth="1"/>
    <col min="12298" max="12544" width="9.140625" style="432"/>
    <col min="12545" max="12545" width="4.85546875" style="432" customWidth="1"/>
    <col min="12546" max="12547" width="9.140625" style="432"/>
    <col min="12548" max="12548" width="5.85546875" style="432" customWidth="1"/>
    <col min="12549" max="12549" width="2.28515625" style="432" customWidth="1"/>
    <col min="12550" max="12550" width="16.5703125" style="432" customWidth="1"/>
    <col min="12551" max="12551" width="14.5703125" style="432" customWidth="1"/>
    <col min="12552" max="12552" width="16.5703125" style="432" customWidth="1"/>
    <col min="12553" max="12553" width="15.28515625" style="432" customWidth="1"/>
    <col min="12554" max="12800" width="9.140625" style="432"/>
    <col min="12801" max="12801" width="4.85546875" style="432" customWidth="1"/>
    <col min="12802" max="12803" width="9.140625" style="432"/>
    <col min="12804" max="12804" width="5.85546875" style="432" customWidth="1"/>
    <col min="12805" max="12805" width="2.28515625" style="432" customWidth="1"/>
    <col min="12806" max="12806" width="16.5703125" style="432" customWidth="1"/>
    <col min="12807" max="12807" width="14.5703125" style="432" customWidth="1"/>
    <col min="12808" max="12808" width="16.5703125" style="432" customWidth="1"/>
    <col min="12809" max="12809" width="15.28515625" style="432" customWidth="1"/>
    <col min="12810" max="13056" width="9.140625" style="432"/>
    <col min="13057" max="13057" width="4.85546875" style="432" customWidth="1"/>
    <col min="13058" max="13059" width="9.140625" style="432"/>
    <col min="13060" max="13060" width="5.85546875" style="432" customWidth="1"/>
    <col min="13061" max="13061" width="2.28515625" style="432" customWidth="1"/>
    <col min="13062" max="13062" width="16.5703125" style="432" customWidth="1"/>
    <col min="13063" max="13063" width="14.5703125" style="432" customWidth="1"/>
    <col min="13064" max="13064" width="16.5703125" style="432" customWidth="1"/>
    <col min="13065" max="13065" width="15.28515625" style="432" customWidth="1"/>
    <col min="13066" max="13312" width="9.140625" style="432"/>
    <col min="13313" max="13313" width="4.85546875" style="432" customWidth="1"/>
    <col min="13314" max="13315" width="9.140625" style="432"/>
    <col min="13316" max="13316" width="5.85546875" style="432" customWidth="1"/>
    <col min="13317" max="13317" width="2.28515625" style="432" customWidth="1"/>
    <col min="13318" max="13318" width="16.5703125" style="432" customWidth="1"/>
    <col min="13319" max="13319" width="14.5703125" style="432" customWidth="1"/>
    <col min="13320" max="13320" width="16.5703125" style="432" customWidth="1"/>
    <col min="13321" max="13321" width="15.28515625" style="432" customWidth="1"/>
    <col min="13322" max="13568" width="9.140625" style="432"/>
    <col min="13569" max="13569" width="4.85546875" style="432" customWidth="1"/>
    <col min="13570" max="13571" width="9.140625" style="432"/>
    <col min="13572" max="13572" width="5.85546875" style="432" customWidth="1"/>
    <col min="13573" max="13573" width="2.28515625" style="432" customWidth="1"/>
    <col min="13574" max="13574" width="16.5703125" style="432" customWidth="1"/>
    <col min="13575" max="13575" width="14.5703125" style="432" customWidth="1"/>
    <col min="13576" max="13576" width="16.5703125" style="432" customWidth="1"/>
    <col min="13577" max="13577" width="15.28515625" style="432" customWidth="1"/>
    <col min="13578" max="13824" width="9.140625" style="432"/>
    <col min="13825" max="13825" width="4.85546875" style="432" customWidth="1"/>
    <col min="13826" max="13827" width="9.140625" style="432"/>
    <col min="13828" max="13828" width="5.85546875" style="432" customWidth="1"/>
    <col min="13829" max="13829" width="2.28515625" style="432" customWidth="1"/>
    <col min="13830" max="13830" width="16.5703125" style="432" customWidth="1"/>
    <col min="13831" max="13831" width="14.5703125" style="432" customWidth="1"/>
    <col min="13832" max="13832" width="16.5703125" style="432" customWidth="1"/>
    <col min="13833" max="13833" width="15.28515625" style="432" customWidth="1"/>
    <col min="13834" max="14080" width="9.140625" style="432"/>
    <col min="14081" max="14081" width="4.85546875" style="432" customWidth="1"/>
    <col min="14082" max="14083" width="9.140625" style="432"/>
    <col min="14084" max="14084" width="5.85546875" style="432" customWidth="1"/>
    <col min="14085" max="14085" width="2.28515625" style="432" customWidth="1"/>
    <col min="14086" max="14086" width="16.5703125" style="432" customWidth="1"/>
    <col min="14087" max="14087" width="14.5703125" style="432" customWidth="1"/>
    <col min="14088" max="14088" width="16.5703125" style="432" customWidth="1"/>
    <col min="14089" max="14089" width="15.28515625" style="432" customWidth="1"/>
    <col min="14090" max="14336" width="9.140625" style="432"/>
    <col min="14337" max="14337" width="4.85546875" style="432" customWidth="1"/>
    <col min="14338" max="14339" width="9.140625" style="432"/>
    <col min="14340" max="14340" width="5.85546875" style="432" customWidth="1"/>
    <col min="14341" max="14341" width="2.28515625" style="432" customWidth="1"/>
    <col min="14342" max="14342" width="16.5703125" style="432" customWidth="1"/>
    <col min="14343" max="14343" width="14.5703125" style="432" customWidth="1"/>
    <col min="14344" max="14344" width="16.5703125" style="432" customWidth="1"/>
    <col min="14345" max="14345" width="15.28515625" style="432" customWidth="1"/>
    <col min="14346" max="14592" width="9.140625" style="432"/>
    <col min="14593" max="14593" width="4.85546875" style="432" customWidth="1"/>
    <col min="14594" max="14595" width="9.140625" style="432"/>
    <col min="14596" max="14596" width="5.85546875" style="432" customWidth="1"/>
    <col min="14597" max="14597" width="2.28515625" style="432" customWidth="1"/>
    <col min="14598" max="14598" width="16.5703125" style="432" customWidth="1"/>
    <col min="14599" max="14599" width="14.5703125" style="432" customWidth="1"/>
    <col min="14600" max="14600" width="16.5703125" style="432" customWidth="1"/>
    <col min="14601" max="14601" width="15.28515625" style="432" customWidth="1"/>
    <col min="14602" max="14848" width="9.140625" style="432"/>
    <col min="14849" max="14849" width="4.85546875" style="432" customWidth="1"/>
    <col min="14850" max="14851" width="9.140625" style="432"/>
    <col min="14852" max="14852" width="5.85546875" style="432" customWidth="1"/>
    <col min="14853" max="14853" width="2.28515625" style="432" customWidth="1"/>
    <col min="14854" max="14854" width="16.5703125" style="432" customWidth="1"/>
    <col min="14855" max="14855" width="14.5703125" style="432" customWidth="1"/>
    <col min="14856" max="14856" width="16.5703125" style="432" customWidth="1"/>
    <col min="14857" max="14857" width="15.28515625" style="432" customWidth="1"/>
    <col min="14858" max="15104" width="9.140625" style="432"/>
    <col min="15105" max="15105" width="4.85546875" style="432" customWidth="1"/>
    <col min="15106" max="15107" width="9.140625" style="432"/>
    <col min="15108" max="15108" width="5.85546875" style="432" customWidth="1"/>
    <col min="15109" max="15109" width="2.28515625" style="432" customWidth="1"/>
    <col min="15110" max="15110" width="16.5703125" style="432" customWidth="1"/>
    <col min="15111" max="15111" width="14.5703125" style="432" customWidth="1"/>
    <col min="15112" max="15112" width="16.5703125" style="432" customWidth="1"/>
    <col min="15113" max="15113" width="15.28515625" style="432" customWidth="1"/>
    <col min="15114" max="15360" width="9.140625" style="432"/>
    <col min="15361" max="15361" width="4.85546875" style="432" customWidth="1"/>
    <col min="15362" max="15363" width="9.140625" style="432"/>
    <col min="15364" max="15364" width="5.85546875" style="432" customWidth="1"/>
    <col min="15365" max="15365" width="2.28515625" style="432" customWidth="1"/>
    <col min="15366" max="15366" width="16.5703125" style="432" customWidth="1"/>
    <col min="15367" max="15367" width="14.5703125" style="432" customWidth="1"/>
    <col min="15368" max="15368" width="16.5703125" style="432" customWidth="1"/>
    <col min="15369" max="15369" width="15.28515625" style="432" customWidth="1"/>
    <col min="15370" max="15616" width="9.140625" style="432"/>
    <col min="15617" max="15617" width="4.85546875" style="432" customWidth="1"/>
    <col min="15618" max="15619" width="9.140625" style="432"/>
    <col min="15620" max="15620" width="5.85546875" style="432" customWidth="1"/>
    <col min="15621" max="15621" width="2.28515625" style="432" customWidth="1"/>
    <col min="15622" max="15622" width="16.5703125" style="432" customWidth="1"/>
    <col min="15623" max="15623" width="14.5703125" style="432" customWidth="1"/>
    <col min="15624" max="15624" width="16.5703125" style="432" customWidth="1"/>
    <col min="15625" max="15625" width="15.28515625" style="432" customWidth="1"/>
    <col min="15626" max="15872" width="9.140625" style="432"/>
    <col min="15873" max="15873" width="4.85546875" style="432" customWidth="1"/>
    <col min="15874" max="15875" width="9.140625" style="432"/>
    <col min="15876" max="15876" width="5.85546875" style="432" customWidth="1"/>
    <col min="15877" max="15877" width="2.28515625" style="432" customWidth="1"/>
    <col min="15878" max="15878" width="16.5703125" style="432" customWidth="1"/>
    <col min="15879" max="15879" width="14.5703125" style="432" customWidth="1"/>
    <col min="15880" max="15880" width="16.5703125" style="432" customWidth="1"/>
    <col min="15881" max="15881" width="15.28515625" style="432" customWidth="1"/>
    <col min="15882" max="16128" width="9.140625" style="432"/>
    <col min="16129" max="16129" width="4.85546875" style="432" customWidth="1"/>
    <col min="16130" max="16131" width="9.140625" style="432"/>
    <col min="16132" max="16132" width="5.85546875" style="432" customWidth="1"/>
    <col min="16133" max="16133" width="2.28515625" style="432" customWidth="1"/>
    <col min="16134" max="16134" width="16.5703125" style="432" customWidth="1"/>
    <col min="16135" max="16135" width="14.5703125" style="432" customWidth="1"/>
    <col min="16136" max="16136" width="16.5703125" style="432" customWidth="1"/>
    <col min="16137" max="16137" width="15.28515625" style="432" customWidth="1"/>
    <col min="16138" max="16384" width="9.140625" style="432"/>
  </cols>
  <sheetData>
    <row r="1" spans="2:10" ht="18">
      <c r="B1" s="2080" t="s">
        <v>1520</v>
      </c>
      <c r="C1" s="2080"/>
      <c r="D1" s="2080"/>
      <c r="E1" s="2080"/>
      <c r="F1" s="2080"/>
      <c r="G1" s="2080"/>
      <c r="H1" s="2080"/>
      <c r="I1" s="1808"/>
    </row>
    <row r="2" spans="2:10" s="1808" customFormat="1" ht="18">
      <c r="B2" s="1781"/>
      <c r="C2" s="1781"/>
      <c r="D2" s="1781"/>
      <c r="E2" s="1781"/>
      <c r="F2" s="1781"/>
      <c r="G2" s="1781"/>
      <c r="H2" s="1782"/>
      <c r="I2" s="1809"/>
    </row>
    <row r="3" spans="2:10" s="1808" customFormat="1" ht="18">
      <c r="B3" s="2110" t="s">
        <v>1521</v>
      </c>
      <c r="C3" s="2110"/>
      <c r="D3" s="2110"/>
      <c r="E3" s="2110"/>
      <c r="F3" s="2110"/>
      <c r="G3" s="1784"/>
      <c r="H3" s="1785"/>
      <c r="I3" s="1810"/>
    </row>
    <row r="4" spans="2:10" s="1808" customFormat="1" ht="18">
      <c r="B4" s="2110" t="s">
        <v>1299</v>
      </c>
      <c r="C4" s="2110"/>
      <c r="D4" s="2110"/>
      <c r="E4" s="2110"/>
      <c r="F4" s="2110"/>
      <c r="G4" s="1786"/>
      <c r="H4" s="1786"/>
      <c r="I4" s="1811"/>
    </row>
    <row r="5" spans="2:10" s="1808" customFormat="1" ht="18">
      <c r="B5" s="2110" t="s">
        <v>1522</v>
      </c>
      <c r="C5" s="2110"/>
      <c r="D5" s="2110"/>
      <c r="E5" s="2110"/>
      <c r="F5" s="2110"/>
      <c r="G5" s="1784"/>
      <c r="H5" s="1786"/>
      <c r="I5" s="1811"/>
    </row>
    <row r="6" spans="2:10" s="1808" customFormat="1" ht="18">
      <c r="B6" s="2110" t="s">
        <v>1523</v>
      </c>
      <c r="C6" s="2110"/>
      <c r="D6" s="2110"/>
      <c r="E6" s="2110"/>
      <c r="F6" s="2110"/>
      <c r="G6" s="1781"/>
      <c r="H6" s="1781"/>
    </row>
    <row r="7" spans="2:10" s="1808" customFormat="1" ht="18">
      <c r="B7" s="2110" t="s">
        <v>3530</v>
      </c>
      <c r="C7" s="2110"/>
      <c r="D7" s="2110"/>
      <c r="E7" s="2110"/>
      <c r="F7" s="2110"/>
      <c r="G7" s="1781"/>
      <c r="H7" s="1781"/>
    </row>
    <row r="8" spans="2:10" s="1808" customFormat="1" ht="18">
      <c r="B8" s="1783"/>
      <c r="C8" s="1783"/>
      <c r="D8" s="1783"/>
      <c r="E8" s="1783"/>
      <c r="F8" s="1781"/>
      <c r="G8" s="1781"/>
      <c r="H8" s="1781"/>
    </row>
    <row r="9" spans="2:10" s="1808" customFormat="1" ht="18">
      <c r="B9" s="1783"/>
      <c r="C9" s="1783"/>
      <c r="D9" s="1783"/>
      <c r="E9" s="1783"/>
      <c r="F9" s="1781"/>
      <c r="G9" s="1781"/>
      <c r="H9" s="1781"/>
    </row>
    <row r="10" spans="2:10" s="1808" customFormat="1" ht="18">
      <c r="B10" s="1783"/>
      <c r="C10" s="1783"/>
      <c r="D10" s="1783"/>
      <c r="E10" s="1783"/>
      <c r="F10" s="1781"/>
      <c r="G10" s="1781"/>
      <c r="H10" s="1781"/>
    </row>
    <row r="11" spans="2:10" s="1808" customFormat="1" ht="18">
      <c r="B11" s="2087" t="s">
        <v>1301</v>
      </c>
      <c r="C11" s="2087"/>
      <c r="D11" s="2087"/>
      <c r="E11" s="2087"/>
      <c r="F11" s="2087"/>
      <c r="G11" s="2087"/>
      <c r="H11" s="2087"/>
    </row>
    <row r="12" spans="2:10" s="1808" customFormat="1" ht="16.5" thickBot="1">
      <c r="B12" s="1787"/>
      <c r="C12" s="1788"/>
      <c r="D12" s="1788"/>
      <c r="E12" s="1788"/>
      <c r="F12" s="1788"/>
      <c r="G12" s="1788"/>
      <c r="H12" s="1787"/>
    </row>
    <row r="13" spans="2:10" s="1808" customFormat="1" ht="16.5" thickTop="1">
      <c r="B13" s="2102" t="s">
        <v>1302</v>
      </c>
      <c r="C13" s="2105" t="s">
        <v>0</v>
      </c>
      <c r="D13" s="2105"/>
      <c r="E13" s="2105"/>
      <c r="F13" s="2108" t="s">
        <v>1303</v>
      </c>
      <c r="G13" s="2108"/>
      <c r="H13" s="2108" t="s">
        <v>1304</v>
      </c>
      <c r="I13" s="2109"/>
      <c r="J13" s="1812"/>
    </row>
    <row r="14" spans="2:10" s="1808" customFormat="1" ht="15.75">
      <c r="B14" s="2103"/>
      <c r="C14" s="2106"/>
      <c r="D14" s="2106"/>
      <c r="E14" s="2106"/>
      <c r="F14" s="1813" t="s">
        <v>1305</v>
      </c>
      <c r="G14" s="1813" t="s">
        <v>1306</v>
      </c>
      <c r="H14" s="1813" t="s">
        <v>1305</v>
      </c>
      <c r="I14" s="1814" t="s">
        <v>1306</v>
      </c>
      <c r="J14" s="1812"/>
    </row>
    <row r="15" spans="2:10" s="1808" customFormat="1" ht="16.5" thickBot="1">
      <c r="B15" s="2104"/>
      <c r="C15" s="2107"/>
      <c r="D15" s="2107"/>
      <c r="E15" s="2107"/>
      <c r="F15" s="1815" t="s">
        <v>1307</v>
      </c>
      <c r="G15" s="1815" t="s">
        <v>1308</v>
      </c>
      <c r="H15" s="1815" t="s">
        <v>1307</v>
      </c>
      <c r="I15" s="1816" t="s">
        <v>1308</v>
      </c>
      <c r="J15" s="1812"/>
    </row>
    <row r="16" spans="2:10" s="1808" customFormat="1" ht="16.5" thickTop="1">
      <c r="B16" s="1817"/>
      <c r="C16" s="2097" t="s">
        <v>1309</v>
      </c>
      <c r="D16" s="2098"/>
      <c r="E16" s="2098"/>
      <c r="F16" s="1812"/>
      <c r="G16" s="1818"/>
      <c r="H16" s="1819"/>
      <c r="I16" s="1820"/>
      <c r="J16" s="1812"/>
    </row>
    <row r="17" spans="2:10" s="1808" customFormat="1" ht="15.75">
      <c r="B17" s="1821">
        <v>1</v>
      </c>
      <c r="C17" s="2096" t="s">
        <v>1310</v>
      </c>
      <c r="D17" s="2096"/>
      <c r="E17" s="2096"/>
      <c r="F17" s="1822">
        <v>167108</v>
      </c>
      <c r="G17" s="1822">
        <f>'Staff + SQ Measu.'!I16</f>
        <v>48734.391600000003</v>
      </c>
      <c r="H17" s="1823">
        <f t="shared" ref="H17:I19" si="0">F17</f>
        <v>167108</v>
      </c>
      <c r="I17" s="1824">
        <f>G17</f>
        <v>48734.391600000003</v>
      </c>
      <c r="J17" s="1812"/>
    </row>
    <row r="18" spans="2:10" s="1808" customFormat="1" ht="15.75">
      <c r="B18" s="1821">
        <v>2</v>
      </c>
      <c r="C18" s="2096" t="s">
        <v>1311</v>
      </c>
      <c r="D18" s="2096"/>
      <c r="E18" s="2096"/>
      <c r="F18" s="1822">
        <v>275946</v>
      </c>
      <c r="G18" s="1822">
        <f>'Staff + SQ Measu.'!I36</f>
        <v>175524.8688</v>
      </c>
      <c r="H18" s="1823">
        <f t="shared" si="0"/>
        <v>275946</v>
      </c>
      <c r="I18" s="1824">
        <f t="shared" si="0"/>
        <v>175524.8688</v>
      </c>
      <c r="J18" s="1812"/>
    </row>
    <row r="19" spans="2:10" s="1808" customFormat="1" ht="15.75">
      <c r="B19" s="1821">
        <v>3</v>
      </c>
      <c r="C19" s="2096" t="s">
        <v>1312</v>
      </c>
      <c r="D19" s="2096"/>
      <c r="E19" s="2096"/>
      <c r="F19" s="1822">
        <v>149210</v>
      </c>
      <c r="G19" s="1822">
        <f>'Staff + SQ Measu.'!I40</f>
        <v>77834.899999999994</v>
      </c>
      <c r="H19" s="1823">
        <f t="shared" si="0"/>
        <v>149210</v>
      </c>
      <c r="I19" s="1824">
        <f t="shared" si="0"/>
        <v>77834.899999999994</v>
      </c>
      <c r="J19" s="1812"/>
    </row>
    <row r="20" spans="2:10" s="1808" customFormat="1" ht="15.75">
      <c r="B20" s="1821"/>
      <c r="C20" s="2090" t="s">
        <v>1313</v>
      </c>
      <c r="D20" s="2091"/>
      <c r="E20" s="2091"/>
      <c r="F20" s="1822">
        <f>SUM(F17:F19)</f>
        <v>592264</v>
      </c>
      <c r="G20" s="1822">
        <f>SUM(G17:G19)</f>
        <v>302094.16039999999</v>
      </c>
      <c r="H20" s="1822">
        <f>SUM(H17:H19)</f>
        <v>592264</v>
      </c>
      <c r="I20" s="1824">
        <f>SUM(I17:I19)</f>
        <v>302094.16039999999</v>
      </c>
      <c r="J20" s="1812"/>
    </row>
    <row r="21" spans="2:10" s="1808" customFormat="1" ht="15.75">
      <c r="B21" s="1821"/>
      <c r="C21" s="2099" t="s">
        <v>1314</v>
      </c>
      <c r="D21" s="2099"/>
      <c r="E21" s="2099"/>
      <c r="F21" s="1822"/>
      <c r="G21" s="1822"/>
      <c r="H21" s="1823"/>
      <c r="I21" s="1824"/>
      <c r="J21" s="1812"/>
    </row>
    <row r="22" spans="2:10" s="1808" customFormat="1" ht="15.75">
      <c r="B22" s="1821">
        <v>1</v>
      </c>
      <c r="C22" s="2096" t="s">
        <v>1311</v>
      </c>
      <c r="D22" s="2096"/>
      <c r="E22" s="2096"/>
      <c r="F22" s="1822">
        <v>106795</v>
      </c>
      <c r="G22" s="1822">
        <f>'Staff + SQ Measu.'!I56</f>
        <v>96769.56951999999</v>
      </c>
      <c r="H22" s="1823">
        <f>F22</f>
        <v>106795</v>
      </c>
      <c r="I22" s="1824">
        <f>G22</f>
        <v>96769.56951999999</v>
      </c>
      <c r="J22" s="1812"/>
    </row>
    <row r="23" spans="2:10" s="1808" customFormat="1" ht="15.75">
      <c r="B23" s="1821">
        <v>2</v>
      </c>
      <c r="C23" s="2100" t="s">
        <v>1315</v>
      </c>
      <c r="D23" s="2101"/>
      <c r="E23" s="2101"/>
      <c r="F23" s="1822">
        <v>166150</v>
      </c>
      <c r="G23" s="1822">
        <f>'Staff + SQ Measu.'!I60</f>
        <v>137962.25999999998</v>
      </c>
      <c r="H23" s="1822">
        <f t="shared" ref="H23:I31" si="1">F23</f>
        <v>166150</v>
      </c>
      <c r="I23" s="1824">
        <f t="shared" si="1"/>
        <v>137962.25999999998</v>
      </c>
      <c r="J23" s="1812"/>
    </row>
    <row r="24" spans="2:10" s="1808" customFormat="1" ht="15.75">
      <c r="B24" s="1821">
        <v>3</v>
      </c>
      <c r="C24" s="2096" t="s">
        <v>1316</v>
      </c>
      <c r="D24" s="2096"/>
      <c r="E24" s="2096"/>
      <c r="F24" s="1822">
        <v>101302</v>
      </c>
      <c r="G24" s="1822">
        <f>'Staff + SQ Measu.'!I67</f>
        <v>90833.599999999991</v>
      </c>
      <c r="H24" s="1822">
        <f t="shared" si="1"/>
        <v>101302</v>
      </c>
      <c r="I24" s="1824">
        <f t="shared" si="1"/>
        <v>90833.599999999991</v>
      </c>
      <c r="J24" s="1812"/>
    </row>
    <row r="25" spans="2:10" s="1808" customFormat="1" ht="15.75">
      <c r="B25" s="1821">
        <v>4</v>
      </c>
      <c r="C25" s="2096" t="s">
        <v>1493</v>
      </c>
      <c r="D25" s="2096"/>
      <c r="E25" s="2096"/>
      <c r="F25" s="1822">
        <v>61375</v>
      </c>
      <c r="G25" s="1822">
        <f>'Staff + SQ Measu.'!I73</f>
        <v>26291.34</v>
      </c>
      <c r="H25" s="1822">
        <f t="shared" si="1"/>
        <v>61375</v>
      </c>
      <c r="I25" s="1824">
        <f t="shared" si="1"/>
        <v>26291.34</v>
      </c>
      <c r="J25" s="1812"/>
    </row>
    <row r="26" spans="2:10" s="1808" customFormat="1" ht="15.75">
      <c r="B26" s="1821">
        <v>5</v>
      </c>
      <c r="C26" s="2096" t="s">
        <v>1318</v>
      </c>
      <c r="D26" s="2096"/>
      <c r="E26" s="2096"/>
      <c r="F26" s="1822">
        <v>78602</v>
      </c>
      <c r="G26" s="1822">
        <f>'Staff + SQ Measu.'!I82</f>
        <v>44325</v>
      </c>
      <c r="H26" s="1822">
        <f t="shared" si="1"/>
        <v>78602</v>
      </c>
      <c r="I26" s="1824">
        <f t="shared" si="1"/>
        <v>44325</v>
      </c>
      <c r="J26" s="1812"/>
    </row>
    <row r="27" spans="2:10" s="1808" customFormat="1" ht="15.75">
      <c r="B27" s="1821">
        <v>6</v>
      </c>
      <c r="C27" s="2096" t="s">
        <v>1319</v>
      </c>
      <c r="D27" s="2096"/>
      <c r="E27" s="2096"/>
      <c r="F27" s="1822">
        <v>394550</v>
      </c>
      <c r="G27" s="1822">
        <f>'Staff + SQ Measu.'!I96</f>
        <v>235306.53200000001</v>
      </c>
      <c r="H27" s="1822">
        <f t="shared" si="1"/>
        <v>394550</v>
      </c>
      <c r="I27" s="1824">
        <f t="shared" si="1"/>
        <v>235306.53200000001</v>
      </c>
      <c r="J27" s="1812"/>
    </row>
    <row r="28" spans="2:10" s="1808" customFormat="1" ht="15.75">
      <c r="B28" s="1821">
        <v>7</v>
      </c>
      <c r="C28" s="1825" t="s">
        <v>1320</v>
      </c>
      <c r="D28" s="1826"/>
      <c r="E28" s="1826"/>
      <c r="F28" s="1822">
        <v>32116</v>
      </c>
      <c r="G28" s="1822">
        <f>'Staff + SQ Measu.'!I101</f>
        <v>10310.249600000001</v>
      </c>
      <c r="H28" s="1822">
        <f t="shared" si="1"/>
        <v>32116</v>
      </c>
      <c r="I28" s="1824">
        <f t="shared" si="1"/>
        <v>10310.249600000001</v>
      </c>
      <c r="J28" s="1812"/>
    </row>
    <row r="29" spans="2:10" s="1808" customFormat="1" ht="15.75">
      <c r="B29" s="1821">
        <v>8</v>
      </c>
      <c r="C29" s="1825" t="s">
        <v>1321</v>
      </c>
      <c r="D29" s="1826"/>
      <c r="E29" s="1826"/>
      <c r="F29" s="1822">
        <v>10710</v>
      </c>
      <c r="G29" s="1822">
        <v>0</v>
      </c>
      <c r="H29" s="1822">
        <f t="shared" si="1"/>
        <v>10710</v>
      </c>
      <c r="I29" s="1824">
        <f t="shared" si="1"/>
        <v>0</v>
      </c>
      <c r="J29" s="1812"/>
    </row>
    <row r="30" spans="2:10" s="1808" customFormat="1" ht="15.75">
      <c r="B30" s="1821">
        <v>9</v>
      </c>
      <c r="C30" s="1825" t="s">
        <v>1322</v>
      </c>
      <c r="D30" s="1826"/>
      <c r="E30" s="1826"/>
      <c r="F30" s="1822">
        <v>46075</v>
      </c>
      <c r="G30" s="1822">
        <f>'Staff + SQ Measu.'!I109</f>
        <v>4132.6399999999994</v>
      </c>
      <c r="H30" s="1822">
        <f t="shared" si="1"/>
        <v>46075</v>
      </c>
      <c r="I30" s="1824">
        <f t="shared" si="1"/>
        <v>4132.6399999999994</v>
      </c>
      <c r="J30" s="1812"/>
    </row>
    <row r="31" spans="2:10" s="1808" customFormat="1" ht="15.75">
      <c r="B31" s="1821">
        <v>10</v>
      </c>
      <c r="C31" s="1825" t="s">
        <v>1323</v>
      </c>
      <c r="D31" s="1826"/>
      <c r="E31" s="1826"/>
      <c r="F31" s="1822">
        <v>76835.56</v>
      </c>
      <c r="G31" s="1822">
        <f>'Staff + SQ Measu.'!I134</f>
        <v>31680</v>
      </c>
      <c r="H31" s="1822">
        <f t="shared" si="1"/>
        <v>76835.56</v>
      </c>
      <c r="I31" s="1824">
        <f>G31</f>
        <v>31680</v>
      </c>
      <c r="J31" s="1812"/>
    </row>
    <row r="32" spans="2:10" s="1808" customFormat="1" ht="15.75">
      <c r="B32" s="1821"/>
      <c r="C32" s="2090" t="s">
        <v>1324</v>
      </c>
      <c r="D32" s="2091"/>
      <c r="E32" s="2091"/>
      <c r="F32" s="1827">
        <f>SUM(F22:F31)</f>
        <v>1074510.56</v>
      </c>
      <c r="G32" s="1827">
        <f>SUM(G22:G31)</f>
        <v>677611.19111999997</v>
      </c>
      <c r="H32" s="1827">
        <f>SUM(H21:H31)</f>
        <v>1074510.56</v>
      </c>
      <c r="I32" s="1827">
        <f>SUM(I21:I31)</f>
        <v>677611.19111999997</v>
      </c>
      <c r="J32" s="1812"/>
    </row>
    <row r="33" spans="2:10" s="1808" customFormat="1" ht="16.5" thickBot="1">
      <c r="B33" s="1828"/>
      <c r="C33" s="2092" t="s">
        <v>1325</v>
      </c>
      <c r="D33" s="2093"/>
      <c r="E33" s="2093"/>
      <c r="F33" s="1829">
        <f>F20+F32</f>
        <v>1666774.56</v>
      </c>
      <c r="G33" s="1829">
        <f>G20+G32</f>
        <v>979705.35152000003</v>
      </c>
      <c r="H33" s="1829">
        <f>H20+H32</f>
        <v>1666774.56</v>
      </c>
      <c r="I33" s="1829">
        <f>I20+I32</f>
        <v>979705.35152000003</v>
      </c>
      <c r="J33" s="1812"/>
    </row>
    <row r="34" spans="2:10" s="1808" customFormat="1" ht="16.5" thickTop="1">
      <c r="B34" s="1812"/>
      <c r="C34" s="1812"/>
      <c r="D34" s="1812"/>
      <c r="E34" s="1812"/>
      <c r="F34" s="1812"/>
      <c r="G34" s="1812"/>
      <c r="H34" s="1812"/>
      <c r="I34" s="1812"/>
      <c r="J34" s="1812"/>
    </row>
    <row r="35" spans="2:10" s="1808" customFormat="1" ht="15.75">
      <c r="B35" s="1830"/>
      <c r="C35" s="1830"/>
      <c r="D35" s="1830"/>
      <c r="E35" s="1830"/>
      <c r="F35" s="1830"/>
      <c r="G35" s="1830"/>
      <c r="H35" s="1830"/>
      <c r="I35" s="1812"/>
      <c r="J35" s="1812"/>
    </row>
    <row r="36" spans="2:10" s="1808" customFormat="1" ht="15.75">
      <c r="B36" s="2094"/>
      <c r="C36" s="2094"/>
      <c r="D36" s="2094"/>
      <c r="E36" s="2094"/>
      <c r="F36" s="2094"/>
      <c r="G36" s="2094"/>
      <c r="H36" s="2094"/>
      <c r="I36" s="2094"/>
      <c r="J36" s="1812"/>
    </row>
    <row r="37" spans="2:10" s="1808" customFormat="1" ht="15.75">
      <c r="B37" s="1830" t="s">
        <v>1326</v>
      </c>
      <c r="C37" s="1830"/>
      <c r="D37" s="1830"/>
      <c r="E37" s="1830"/>
      <c r="F37" s="1830"/>
      <c r="G37" s="1830"/>
      <c r="H37" s="1830"/>
      <c r="I37" s="1812"/>
      <c r="J37" s="1812"/>
    </row>
    <row r="38" spans="2:10" s="1808" customFormat="1" ht="15.75">
      <c r="B38" s="1830" t="s">
        <v>3531</v>
      </c>
      <c r="C38" s="1830"/>
      <c r="D38" s="1830"/>
      <c r="E38" s="1830"/>
      <c r="F38" s="1830"/>
      <c r="G38" s="1831"/>
      <c r="H38" s="1830"/>
      <c r="I38" s="1812"/>
      <c r="J38" s="1812"/>
    </row>
    <row r="39" spans="2:10" s="1808" customFormat="1" ht="15.75">
      <c r="B39" s="1830"/>
      <c r="C39" s="1830"/>
      <c r="D39" s="1830"/>
      <c r="E39" s="1830"/>
      <c r="F39" s="1830"/>
      <c r="G39" s="1831"/>
      <c r="H39" s="1830"/>
      <c r="I39" s="1812"/>
      <c r="J39" s="1812"/>
    </row>
    <row r="40" spans="2:10" s="1808" customFormat="1" ht="15.75">
      <c r="B40" s="1830"/>
      <c r="C40" s="1830"/>
      <c r="D40" s="1830"/>
      <c r="E40" s="1830"/>
      <c r="F40" s="1830"/>
      <c r="G40" s="1831"/>
      <c r="H40" s="1830"/>
      <c r="I40" s="1812"/>
      <c r="J40" s="1812"/>
    </row>
    <row r="41" spans="2:10" s="1808" customFormat="1" ht="15.75">
      <c r="B41" s="1830"/>
      <c r="C41" s="1830"/>
      <c r="D41" s="1830"/>
      <c r="E41" s="1830"/>
      <c r="F41" s="1830"/>
      <c r="G41" s="1831"/>
      <c r="H41" s="1830"/>
      <c r="I41" s="1812"/>
      <c r="J41" s="1812"/>
    </row>
    <row r="42" spans="2:10" ht="15.75">
      <c r="B42" s="383"/>
      <c r="C42" s="384"/>
      <c r="D42" s="384"/>
      <c r="E42" s="384"/>
      <c r="F42" s="384"/>
      <c r="G42" s="385"/>
      <c r="H42" s="384"/>
      <c r="I42" s="386"/>
      <c r="J42" s="386"/>
    </row>
    <row r="43" spans="2:10" ht="15.75">
      <c r="B43" s="383"/>
      <c r="C43" s="384"/>
      <c r="D43" s="384"/>
      <c r="E43" s="384"/>
      <c r="F43" s="384"/>
      <c r="G43" s="385"/>
      <c r="H43" s="384"/>
      <c r="I43" s="386"/>
      <c r="J43" s="386"/>
    </row>
    <row r="44" spans="2:10" ht="15.75">
      <c r="B44" s="383"/>
      <c r="C44" s="384"/>
      <c r="D44" s="384"/>
      <c r="E44" s="384"/>
      <c r="F44" s="384"/>
      <c r="G44" s="385"/>
      <c r="H44" s="384"/>
      <c r="I44" s="386"/>
      <c r="J44" s="386"/>
    </row>
    <row r="45" spans="2:10" ht="15.75">
      <c r="B45" s="387"/>
      <c r="C45" s="386"/>
      <c r="D45" s="386"/>
      <c r="E45" s="386"/>
      <c r="F45" s="386"/>
      <c r="G45" s="386"/>
      <c r="H45" s="386"/>
      <c r="I45" s="386"/>
      <c r="J45" s="386"/>
    </row>
    <row r="46" spans="2:10" ht="15">
      <c r="B46" s="386"/>
      <c r="C46" s="386"/>
      <c r="D46" s="386"/>
      <c r="E46" s="386"/>
      <c r="F46" s="386"/>
      <c r="G46" s="386"/>
      <c r="H46" s="386"/>
      <c r="I46" s="386"/>
      <c r="J46" s="386"/>
    </row>
    <row r="47" spans="2:10" ht="15">
      <c r="B47" s="386"/>
      <c r="C47" s="386"/>
      <c r="D47" s="386"/>
      <c r="E47" s="386"/>
      <c r="F47" s="386"/>
      <c r="G47" s="386"/>
      <c r="H47" s="386"/>
      <c r="I47" s="386"/>
      <c r="J47" s="386"/>
    </row>
    <row r="48" spans="2:10" ht="15">
      <c r="B48" s="386" t="s">
        <v>1327</v>
      </c>
      <c r="C48" s="386"/>
      <c r="D48" s="386"/>
      <c r="E48" s="2095" t="s">
        <v>1328</v>
      </c>
      <c r="F48" s="2095"/>
      <c r="G48" s="2095"/>
      <c r="H48" s="2095" t="s">
        <v>1329</v>
      </c>
      <c r="I48" s="2095"/>
      <c r="J48" s="386"/>
    </row>
  </sheetData>
  <mergeCells count="28">
    <mergeCell ref="B13:B15"/>
    <mergeCell ref="C13:E15"/>
    <mergeCell ref="F13:G13"/>
    <mergeCell ref="H13:I13"/>
    <mergeCell ref="B1:H1"/>
    <mergeCell ref="B11:H11"/>
    <mergeCell ref="B3:F3"/>
    <mergeCell ref="B4:F4"/>
    <mergeCell ref="B5:F5"/>
    <mergeCell ref="B6:F6"/>
    <mergeCell ref="B7:F7"/>
    <mergeCell ref="C27:E27"/>
    <mergeCell ref="C16:E16"/>
    <mergeCell ref="C17:E17"/>
    <mergeCell ref="C18:E18"/>
    <mergeCell ref="C19:E19"/>
    <mergeCell ref="C20:E20"/>
    <mergeCell ref="C21:E21"/>
    <mergeCell ref="C22:E22"/>
    <mergeCell ref="C23:E23"/>
    <mergeCell ref="C24:E24"/>
    <mergeCell ref="C25:E25"/>
    <mergeCell ref="C26:E26"/>
    <mergeCell ref="C32:E32"/>
    <mergeCell ref="C33:E33"/>
    <mergeCell ref="B36:I36"/>
    <mergeCell ref="E48:G48"/>
    <mergeCell ref="H48:I48"/>
  </mergeCells>
  <pageMargins left="0.7" right="0.45" top="1" bottom="0.75" header="0.3" footer="0.3"/>
  <pageSetup scale="8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J324"/>
  <sheetViews>
    <sheetView view="pageBreakPreview" zoomScale="89" zoomScaleNormal="89" zoomScaleSheetLayoutView="89" zoomScalePageLayoutView="85" workbookViewId="0">
      <selection activeCell="H77" sqref="H77"/>
    </sheetView>
  </sheetViews>
  <sheetFormatPr defaultRowHeight="15.75" customHeight="1"/>
  <cols>
    <col min="1" max="1" width="6.7109375" style="1311" customWidth="1"/>
    <col min="2" max="2" width="7" style="1315" customWidth="1"/>
    <col min="3" max="3" width="48.28515625" style="1319" customWidth="1"/>
    <col min="4" max="4" width="5" style="1315" bestFit="1" customWidth="1"/>
    <col min="5" max="5" width="9" style="1315" customWidth="1"/>
    <col min="6" max="6" width="10.7109375" style="1315" customWidth="1"/>
    <col min="7" max="7" width="13" style="1315" customWidth="1"/>
    <col min="8" max="8" width="7.42578125" style="1315" bestFit="1" customWidth="1"/>
    <col min="9" max="9" width="12.85546875" style="1517" customWidth="1"/>
    <col min="10" max="10" width="1.42578125" style="104" customWidth="1"/>
    <col min="11" max="233" width="9.140625" style="1311"/>
    <col min="234" max="234" width="6" style="1311" customWidth="1"/>
    <col min="235" max="235" width="47" style="1311" customWidth="1"/>
    <col min="236" max="236" width="9" style="1311" customWidth="1"/>
    <col min="237" max="237" width="11.5703125" style="1311" customWidth="1"/>
    <col min="238" max="238" width="12.42578125" style="1311" customWidth="1"/>
    <col min="239" max="239" width="12.7109375" style="1311" customWidth="1"/>
    <col min="240" max="240" width="13.42578125" style="1311" customWidth="1"/>
    <col min="241" max="241" width="17" style="1311" customWidth="1"/>
    <col min="242" max="242" width="19" style="1311" customWidth="1"/>
    <col min="243" max="243" width="18.5703125" style="1311" customWidth="1"/>
    <col min="244" max="489" width="9.140625" style="1311"/>
    <col min="490" max="490" width="6" style="1311" customWidth="1"/>
    <col min="491" max="491" width="47" style="1311" customWidth="1"/>
    <col min="492" max="492" width="9" style="1311" customWidth="1"/>
    <col min="493" max="493" width="11.5703125" style="1311" customWidth="1"/>
    <col min="494" max="494" width="12.42578125" style="1311" customWidth="1"/>
    <col min="495" max="495" width="12.7109375" style="1311" customWidth="1"/>
    <col min="496" max="496" width="13.42578125" style="1311" customWidth="1"/>
    <col min="497" max="497" width="17" style="1311" customWidth="1"/>
    <col min="498" max="498" width="19" style="1311" customWidth="1"/>
    <col min="499" max="499" width="18.5703125" style="1311" customWidth="1"/>
    <col min="500" max="745" width="9.140625" style="1311"/>
    <col min="746" max="746" width="6" style="1311" customWidth="1"/>
    <col min="747" max="747" width="47" style="1311" customWidth="1"/>
    <col min="748" max="748" width="9" style="1311" customWidth="1"/>
    <col min="749" max="749" width="11.5703125" style="1311" customWidth="1"/>
    <col min="750" max="750" width="12.42578125" style="1311" customWidth="1"/>
    <col min="751" max="751" width="12.7109375" style="1311" customWidth="1"/>
    <col min="752" max="752" width="13.42578125" style="1311" customWidth="1"/>
    <col min="753" max="753" width="17" style="1311" customWidth="1"/>
    <col min="754" max="754" width="19" style="1311" customWidth="1"/>
    <col min="755" max="755" width="18.5703125" style="1311" customWidth="1"/>
    <col min="756" max="1001" width="9.140625" style="1311"/>
    <col min="1002" max="1002" width="6" style="1311" customWidth="1"/>
    <col min="1003" max="1003" width="47" style="1311" customWidth="1"/>
    <col min="1004" max="1004" width="9" style="1311" customWidth="1"/>
    <col min="1005" max="1005" width="11.5703125" style="1311" customWidth="1"/>
    <col min="1006" max="1006" width="12.42578125" style="1311" customWidth="1"/>
    <col min="1007" max="1007" width="12.7109375" style="1311" customWidth="1"/>
    <col min="1008" max="1008" width="13.42578125" style="1311" customWidth="1"/>
    <col min="1009" max="1009" width="17" style="1311" customWidth="1"/>
    <col min="1010" max="1010" width="19" style="1311" customWidth="1"/>
    <col min="1011" max="1011" width="18.5703125" style="1311" customWidth="1"/>
    <col min="1012" max="1257" width="9.140625" style="1311"/>
    <col min="1258" max="1258" width="6" style="1311" customWidth="1"/>
    <col min="1259" max="1259" width="47" style="1311" customWidth="1"/>
    <col min="1260" max="1260" width="9" style="1311" customWidth="1"/>
    <col min="1261" max="1261" width="11.5703125" style="1311" customWidth="1"/>
    <col min="1262" max="1262" width="12.42578125" style="1311" customWidth="1"/>
    <col min="1263" max="1263" width="12.7109375" style="1311" customWidth="1"/>
    <col min="1264" max="1264" width="13.42578125" style="1311" customWidth="1"/>
    <col min="1265" max="1265" width="17" style="1311" customWidth="1"/>
    <col min="1266" max="1266" width="19" style="1311" customWidth="1"/>
    <col min="1267" max="1267" width="18.5703125" style="1311" customWidth="1"/>
    <col min="1268" max="1513" width="9.140625" style="1311"/>
    <col min="1514" max="1514" width="6" style="1311" customWidth="1"/>
    <col min="1515" max="1515" width="47" style="1311" customWidth="1"/>
    <col min="1516" max="1516" width="9" style="1311" customWidth="1"/>
    <col min="1517" max="1517" width="11.5703125" style="1311" customWidth="1"/>
    <col min="1518" max="1518" width="12.42578125" style="1311" customWidth="1"/>
    <col min="1519" max="1519" width="12.7109375" style="1311" customWidth="1"/>
    <col min="1520" max="1520" width="13.42578125" style="1311" customWidth="1"/>
    <col min="1521" max="1521" width="17" style="1311" customWidth="1"/>
    <col min="1522" max="1522" width="19" style="1311" customWidth="1"/>
    <col min="1523" max="1523" width="18.5703125" style="1311" customWidth="1"/>
    <col min="1524" max="1769" width="9.140625" style="1311"/>
    <col min="1770" max="1770" width="6" style="1311" customWidth="1"/>
    <col min="1771" max="1771" width="47" style="1311" customWidth="1"/>
    <col min="1772" max="1772" width="9" style="1311" customWidth="1"/>
    <col min="1773" max="1773" width="11.5703125" style="1311" customWidth="1"/>
    <col min="1774" max="1774" width="12.42578125" style="1311" customWidth="1"/>
    <col min="1775" max="1775" width="12.7109375" style="1311" customWidth="1"/>
    <col min="1776" max="1776" width="13.42578125" style="1311" customWidth="1"/>
    <col min="1777" max="1777" width="17" style="1311" customWidth="1"/>
    <col min="1778" max="1778" width="19" style="1311" customWidth="1"/>
    <col min="1779" max="1779" width="18.5703125" style="1311" customWidth="1"/>
    <col min="1780" max="2025" width="9.140625" style="1311"/>
    <col min="2026" max="2026" width="6" style="1311" customWidth="1"/>
    <col min="2027" max="2027" width="47" style="1311" customWidth="1"/>
    <col min="2028" max="2028" width="9" style="1311" customWidth="1"/>
    <col min="2029" max="2029" width="11.5703125" style="1311" customWidth="1"/>
    <col min="2030" max="2030" width="12.42578125" style="1311" customWidth="1"/>
    <col min="2031" max="2031" width="12.7109375" style="1311" customWidth="1"/>
    <col min="2032" max="2032" width="13.42578125" style="1311" customWidth="1"/>
    <col min="2033" max="2033" width="17" style="1311" customWidth="1"/>
    <col min="2034" max="2034" width="19" style="1311" customWidth="1"/>
    <col min="2035" max="2035" width="18.5703125" style="1311" customWidth="1"/>
    <col min="2036" max="2281" width="9.140625" style="1311"/>
    <col min="2282" max="2282" width="6" style="1311" customWidth="1"/>
    <col min="2283" max="2283" width="47" style="1311" customWidth="1"/>
    <col min="2284" max="2284" width="9" style="1311" customWidth="1"/>
    <col min="2285" max="2285" width="11.5703125" style="1311" customWidth="1"/>
    <col min="2286" max="2286" width="12.42578125" style="1311" customWidth="1"/>
    <col min="2287" max="2287" width="12.7109375" style="1311" customWidth="1"/>
    <col min="2288" max="2288" width="13.42578125" style="1311" customWidth="1"/>
    <col min="2289" max="2289" width="17" style="1311" customWidth="1"/>
    <col min="2290" max="2290" width="19" style="1311" customWidth="1"/>
    <col min="2291" max="2291" width="18.5703125" style="1311" customWidth="1"/>
    <col min="2292" max="2537" width="9.140625" style="1311"/>
    <col min="2538" max="2538" width="6" style="1311" customWidth="1"/>
    <col min="2539" max="2539" width="47" style="1311" customWidth="1"/>
    <col min="2540" max="2540" width="9" style="1311" customWidth="1"/>
    <col min="2541" max="2541" width="11.5703125" style="1311" customWidth="1"/>
    <col min="2542" max="2542" width="12.42578125" style="1311" customWidth="1"/>
    <col min="2543" max="2543" width="12.7109375" style="1311" customWidth="1"/>
    <col min="2544" max="2544" width="13.42578125" style="1311" customWidth="1"/>
    <col min="2545" max="2545" width="17" style="1311" customWidth="1"/>
    <col min="2546" max="2546" width="19" style="1311" customWidth="1"/>
    <col min="2547" max="2547" width="18.5703125" style="1311" customWidth="1"/>
    <col min="2548" max="2793" width="9.140625" style="1311"/>
    <col min="2794" max="2794" width="6" style="1311" customWidth="1"/>
    <col min="2795" max="2795" width="47" style="1311" customWidth="1"/>
    <col min="2796" max="2796" width="9" style="1311" customWidth="1"/>
    <col min="2797" max="2797" width="11.5703125" style="1311" customWidth="1"/>
    <col min="2798" max="2798" width="12.42578125" style="1311" customWidth="1"/>
    <col min="2799" max="2799" width="12.7109375" style="1311" customWidth="1"/>
    <col min="2800" max="2800" width="13.42578125" style="1311" customWidth="1"/>
    <col min="2801" max="2801" width="17" style="1311" customWidth="1"/>
    <col min="2802" max="2802" width="19" style="1311" customWidth="1"/>
    <col min="2803" max="2803" width="18.5703125" style="1311" customWidth="1"/>
    <col min="2804" max="3049" width="9.140625" style="1311"/>
    <col min="3050" max="3050" width="6" style="1311" customWidth="1"/>
    <col min="3051" max="3051" width="47" style="1311" customWidth="1"/>
    <col min="3052" max="3052" width="9" style="1311" customWidth="1"/>
    <col min="3053" max="3053" width="11.5703125" style="1311" customWidth="1"/>
    <col min="3054" max="3054" width="12.42578125" style="1311" customWidth="1"/>
    <col min="3055" max="3055" width="12.7109375" style="1311" customWidth="1"/>
    <col min="3056" max="3056" width="13.42578125" style="1311" customWidth="1"/>
    <col min="3057" max="3057" width="17" style="1311" customWidth="1"/>
    <col min="3058" max="3058" width="19" style="1311" customWidth="1"/>
    <col min="3059" max="3059" width="18.5703125" style="1311" customWidth="1"/>
    <col min="3060" max="3305" width="9.140625" style="1311"/>
    <col min="3306" max="3306" width="6" style="1311" customWidth="1"/>
    <col min="3307" max="3307" width="47" style="1311" customWidth="1"/>
    <col min="3308" max="3308" width="9" style="1311" customWidth="1"/>
    <col min="3309" max="3309" width="11.5703125" style="1311" customWidth="1"/>
    <col min="3310" max="3310" width="12.42578125" style="1311" customWidth="1"/>
    <col min="3311" max="3311" width="12.7109375" style="1311" customWidth="1"/>
    <col min="3312" max="3312" width="13.42578125" style="1311" customWidth="1"/>
    <col min="3313" max="3313" width="17" style="1311" customWidth="1"/>
    <col min="3314" max="3314" width="19" style="1311" customWidth="1"/>
    <col min="3315" max="3315" width="18.5703125" style="1311" customWidth="1"/>
    <col min="3316" max="3561" width="9.140625" style="1311"/>
    <col min="3562" max="3562" width="6" style="1311" customWidth="1"/>
    <col min="3563" max="3563" width="47" style="1311" customWidth="1"/>
    <col min="3564" max="3564" width="9" style="1311" customWidth="1"/>
    <col min="3565" max="3565" width="11.5703125" style="1311" customWidth="1"/>
    <col min="3566" max="3566" width="12.42578125" style="1311" customWidth="1"/>
    <col min="3567" max="3567" width="12.7109375" style="1311" customWidth="1"/>
    <col min="3568" max="3568" width="13.42578125" style="1311" customWidth="1"/>
    <col min="3569" max="3569" width="17" style="1311" customWidth="1"/>
    <col min="3570" max="3570" width="19" style="1311" customWidth="1"/>
    <col min="3571" max="3571" width="18.5703125" style="1311" customWidth="1"/>
    <col min="3572" max="3817" width="9.140625" style="1311"/>
    <col min="3818" max="3818" width="6" style="1311" customWidth="1"/>
    <col min="3819" max="3819" width="47" style="1311" customWidth="1"/>
    <col min="3820" max="3820" width="9" style="1311" customWidth="1"/>
    <col min="3821" max="3821" width="11.5703125" style="1311" customWidth="1"/>
    <col min="3822" max="3822" width="12.42578125" style="1311" customWidth="1"/>
    <col min="3823" max="3823" width="12.7109375" style="1311" customWidth="1"/>
    <col min="3824" max="3824" width="13.42578125" style="1311" customWidth="1"/>
    <col min="3825" max="3825" width="17" style="1311" customWidth="1"/>
    <col min="3826" max="3826" width="19" style="1311" customWidth="1"/>
    <col min="3827" max="3827" width="18.5703125" style="1311" customWidth="1"/>
    <col min="3828" max="4073" width="9.140625" style="1311"/>
    <col min="4074" max="4074" width="6" style="1311" customWidth="1"/>
    <col min="4075" max="4075" width="47" style="1311" customWidth="1"/>
    <col min="4076" max="4076" width="9" style="1311" customWidth="1"/>
    <col min="4077" max="4077" width="11.5703125" style="1311" customWidth="1"/>
    <col min="4078" max="4078" width="12.42578125" style="1311" customWidth="1"/>
    <col min="4079" max="4079" width="12.7109375" style="1311" customWidth="1"/>
    <col min="4080" max="4080" width="13.42578125" style="1311" customWidth="1"/>
    <col min="4081" max="4081" width="17" style="1311" customWidth="1"/>
    <col min="4082" max="4082" width="19" style="1311" customWidth="1"/>
    <col min="4083" max="4083" width="18.5703125" style="1311" customWidth="1"/>
    <col min="4084" max="4329" width="9.140625" style="1311"/>
    <col min="4330" max="4330" width="6" style="1311" customWidth="1"/>
    <col min="4331" max="4331" width="47" style="1311" customWidth="1"/>
    <col min="4332" max="4332" width="9" style="1311" customWidth="1"/>
    <col min="4333" max="4333" width="11.5703125" style="1311" customWidth="1"/>
    <col min="4334" max="4334" width="12.42578125" style="1311" customWidth="1"/>
    <col min="4335" max="4335" width="12.7109375" style="1311" customWidth="1"/>
    <col min="4336" max="4336" width="13.42578125" style="1311" customWidth="1"/>
    <col min="4337" max="4337" width="17" style="1311" customWidth="1"/>
    <col min="4338" max="4338" width="19" style="1311" customWidth="1"/>
    <col min="4339" max="4339" width="18.5703125" style="1311" customWidth="1"/>
    <col min="4340" max="4585" width="9.140625" style="1311"/>
    <col min="4586" max="4586" width="6" style="1311" customWidth="1"/>
    <col min="4587" max="4587" width="47" style="1311" customWidth="1"/>
    <col min="4588" max="4588" width="9" style="1311" customWidth="1"/>
    <col min="4589" max="4589" width="11.5703125" style="1311" customWidth="1"/>
    <col min="4590" max="4590" width="12.42578125" style="1311" customWidth="1"/>
    <col min="4591" max="4591" width="12.7109375" style="1311" customWidth="1"/>
    <col min="4592" max="4592" width="13.42578125" style="1311" customWidth="1"/>
    <col min="4593" max="4593" width="17" style="1311" customWidth="1"/>
    <col min="4594" max="4594" width="19" style="1311" customWidth="1"/>
    <col min="4595" max="4595" width="18.5703125" style="1311" customWidth="1"/>
    <col min="4596" max="4841" width="9.140625" style="1311"/>
    <col min="4842" max="4842" width="6" style="1311" customWidth="1"/>
    <col min="4843" max="4843" width="47" style="1311" customWidth="1"/>
    <col min="4844" max="4844" width="9" style="1311" customWidth="1"/>
    <col min="4845" max="4845" width="11.5703125" style="1311" customWidth="1"/>
    <col min="4846" max="4846" width="12.42578125" style="1311" customWidth="1"/>
    <col min="4847" max="4847" width="12.7109375" style="1311" customWidth="1"/>
    <col min="4848" max="4848" width="13.42578125" style="1311" customWidth="1"/>
    <col min="4849" max="4849" width="17" style="1311" customWidth="1"/>
    <col min="4850" max="4850" width="19" style="1311" customWidth="1"/>
    <col min="4851" max="4851" width="18.5703125" style="1311" customWidth="1"/>
    <col min="4852" max="5097" width="9.140625" style="1311"/>
    <col min="5098" max="5098" width="6" style="1311" customWidth="1"/>
    <col min="5099" max="5099" width="47" style="1311" customWidth="1"/>
    <col min="5100" max="5100" width="9" style="1311" customWidth="1"/>
    <col min="5101" max="5101" width="11.5703125" style="1311" customWidth="1"/>
    <col min="5102" max="5102" width="12.42578125" style="1311" customWidth="1"/>
    <col min="5103" max="5103" width="12.7109375" style="1311" customWidth="1"/>
    <col min="5104" max="5104" width="13.42578125" style="1311" customWidth="1"/>
    <col min="5105" max="5105" width="17" style="1311" customWidth="1"/>
    <col min="5106" max="5106" width="19" style="1311" customWidth="1"/>
    <col min="5107" max="5107" width="18.5703125" style="1311" customWidth="1"/>
    <col min="5108" max="5353" width="9.140625" style="1311"/>
    <col min="5354" max="5354" width="6" style="1311" customWidth="1"/>
    <col min="5355" max="5355" width="47" style="1311" customWidth="1"/>
    <col min="5356" max="5356" width="9" style="1311" customWidth="1"/>
    <col min="5357" max="5357" width="11.5703125" style="1311" customWidth="1"/>
    <col min="5358" max="5358" width="12.42578125" style="1311" customWidth="1"/>
    <col min="5359" max="5359" width="12.7109375" style="1311" customWidth="1"/>
    <col min="5360" max="5360" width="13.42578125" style="1311" customWidth="1"/>
    <col min="5361" max="5361" width="17" style="1311" customWidth="1"/>
    <col min="5362" max="5362" width="19" style="1311" customWidth="1"/>
    <col min="5363" max="5363" width="18.5703125" style="1311" customWidth="1"/>
    <col min="5364" max="5609" width="9.140625" style="1311"/>
    <col min="5610" max="5610" width="6" style="1311" customWidth="1"/>
    <col min="5611" max="5611" width="47" style="1311" customWidth="1"/>
    <col min="5612" max="5612" width="9" style="1311" customWidth="1"/>
    <col min="5613" max="5613" width="11.5703125" style="1311" customWidth="1"/>
    <col min="5614" max="5614" width="12.42578125" style="1311" customWidth="1"/>
    <col min="5615" max="5615" width="12.7109375" style="1311" customWidth="1"/>
    <col min="5616" max="5616" width="13.42578125" style="1311" customWidth="1"/>
    <col min="5617" max="5617" width="17" style="1311" customWidth="1"/>
    <col min="5618" max="5618" width="19" style="1311" customWidth="1"/>
    <col min="5619" max="5619" width="18.5703125" style="1311" customWidth="1"/>
    <col min="5620" max="5865" width="9.140625" style="1311"/>
    <col min="5866" max="5866" width="6" style="1311" customWidth="1"/>
    <col min="5867" max="5867" width="47" style="1311" customWidth="1"/>
    <col min="5868" max="5868" width="9" style="1311" customWidth="1"/>
    <col min="5869" max="5869" width="11.5703125" style="1311" customWidth="1"/>
    <col min="5870" max="5870" width="12.42578125" style="1311" customWidth="1"/>
    <col min="5871" max="5871" width="12.7109375" style="1311" customWidth="1"/>
    <col min="5872" max="5872" width="13.42578125" style="1311" customWidth="1"/>
    <col min="5873" max="5873" width="17" style="1311" customWidth="1"/>
    <col min="5874" max="5874" width="19" style="1311" customWidth="1"/>
    <col min="5875" max="5875" width="18.5703125" style="1311" customWidth="1"/>
    <col min="5876" max="6121" width="9.140625" style="1311"/>
    <col min="6122" max="6122" width="6" style="1311" customWidth="1"/>
    <col min="6123" max="6123" width="47" style="1311" customWidth="1"/>
    <col min="6124" max="6124" width="9" style="1311" customWidth="1"/>
    <col min="6125" max="6125" width="11.5703125" style="1311" customWidth="1"/>
    <col min="6126" max="6126" width="12.42578125" style="1311" customWidth="1"/>
    <col min="6127" max="6127" width="12.7109375" style="1311" customWidth="1"/>
    <col min="6128" max="6128" width="13.42578125" style="1311" customWidth="1"/>
    <col min="6129" max="6129" width="17" style="1311" customWidth="1"/>
    <col min="6130" max="6130" width="19" style="1311" customWidth="1"/>
    <col min="6131" max="6131" width="18.5703125" style="1311" customWidth="1"/>
    <col min="6132" max="6377" width="9.140625" style="1311"/>
    <col min="6378" max="6378" width="6" style="1311" customWidth="1"/>
    <col min="6379" max="6379" width="47" style="1311" customWidth="1"/>
    <col min="6380" max="6380" width="9" style="1311" customWidth="1"/>
    <col min="6381" max="6381" width="11.5703125" style="1311" customWidth="1"/>
    <col min="6382" max="6382" width="12.42578125" style="1311" customWidth="1"/>
    <col min="6383" max="6383" width="12.7109375" style="1311" customWidth="1"/>
    <col min="6384" max="6384" width="13.42578125" style="1311" customWidth="1"/>
    <col min="6385" max="6385" width="17" style="1311" customWidth="1"/>
    <col min="6386" max="6386" width="19" style="1311" customWidth="1"/>
    <col min="6387" max="6387" width="18.5703125" style="1311" customWidth="1"/>
    <col min="6388" max="6633" width="9.140625" style="1311"/>
    <col min="6634" max="6634" width="6" style="1311" customWidth="1"/>
    <col min="6635" max="6635" width="47" style="1311" customWidth="1"/>
    <col min="6636" max="6636" width="9" style="1311" customWidth="1"/>
    <col min="6637" max="6637" width="11.5703125" style="1311" customWidth="1"/>
    <col min="6638" max="6638" width="12.42578125" style="1311" customWidth="1"/>
    <col min="6639" max="6639" width="12.7109375" style="1311" customWidth="1"/>
    <col min="6640" max="6640" width="13.42578125" style="1311" customWidth="1"/>
    <col min="6641" max="6641" width="17" style="1311" customWidth="1"/>
    <col min="6642" max="6642" width="19" style="1311" customWidth="1"/>
    <col min="6643" max="6643" width="18.5703125" style="1311" customWidth="1"/>
    <col min="6644" max="6889" width="9.140625" style="1311"/>
    <col min="6890" max="6890" width="6" style="1311" customWidth="1"/>
    <col min="6891" max="6891" width="47" style="1311" customWidth="1"/>
    <col min="6892" max="6892" width="9" style="1311" customWidth="1"/>
    <col min="6893" max="6893" width="11.5703125" style="1311" customWidth="1"/>
    <col min="6894" max="6894" width="12.42578125" style="1311" customWidth="1"/>
    <col min="6895" max="6895" width="12.7109375" style="1311" customWidth="1"/>
    <col min="6896" max="6896" width="13.42578125" style="1311" customWidth="1"/>
    <col min="6897" max="6897" width="17" style="1311" customWidth="1"/>
    <col min="6898" max="6898" width="19" style="1311" customWidth="1"/>
    <col min="6899" max="6899" width="18.5703125" style="1311" customWidth="1"/>
    <col min="6900" max="7145" width="9.140625" style="1311"/>
    <col min="7146" max="7146" width="6" style="1311" customWidth="1"/>
    <col min="7147" max="7147" width="47" style="1311" customWidth="1"/>
    <col min="7148" max="7148" width="9" style="1311" customWidth="1"/>
    <col min="7149" max="7149" width="11.5703125" style="1311" customWidth="1"/>
    <col min="7150" max="7150" width="12.42578125" style="1311" customWidth="1"/>
    <col min="7151" max="7151" width="12.7109375" style="1311" customWidth="1"/>
    <col min="7152" max="7152" width="13.42578125" style="1311" customWidth="1"/>
    <col min="7153" max="7153" width="17" style="1311" customWidth="1"/>
    <col min="7154" max="7154" width="19" style="1311" customWidth="1"/>
    <col min="7155" max="7155" width="18.5703125" style="1311" customWidth="1"/>
    <col min="7156" max="7401" width="9.140625" style="1311"/>
    <col min="7402" max="7402" width="6" style="1311" customWidth="1"/>
    <col min="7403" max="7403" width="47" style="1311" customWidth="1"/>
    <col min="7404" max="7404" width="9" style="1311" customWidth="1"/>
    <col min="7405" max="7405" width="11.5703125" style="1311" customWidth="1"/>
    <col min="7406" max="7406" width="12.42578125" style="1311" customWidth="1"/>
    <col min="7407" max="7407" width="12.7109375" style="1311" customWidth="1"/>
    <col min="7408" max="7408" width="13.42578125" style="1311" customWidth="1"/>
    <col min="7409" max="7409" width="17" style="1311" customWidth="1"/>
    <col min="7410" max="7410" width="19" style="1311" customWidth="1"/>
    <col min="7411" max="7411" width="18.5703125" style="1311" customWidth="1"/>
    <col min="7412" max="7657" width="9.140625" style="1311"/>
    <col min="7658" max="7658" width="6" style="1311" customWidth="1"/>
    <col min="7659" max="7659" width="47" style="1311" customWidth="1"/>
    <col min="7660" max="7660" width="9" style="1311" customWidth="1"/>
    <col min="7661" max="7661" width="11.5703125" style="1311" customWidth="1"/>
    <col min="7662" max="7662" width="12.42578125" style="1311" customWidth="1"/>
    <col min="7663" max="7663" width="12.7109375" style="1311" customWidth="1"/>
    <col min="7664" max="7664" width="13.42578125" style="1311" customWidth="1"/>
    <col min="7665" max="7665" width="17" style="1311" customWidth="1"/>
    <col min="7666" max="7666" width="19" style="1311" customWidth="1"/>
    <col min="7667" max="7667" width="18.5703125" style="1311" customWidth="1"/>
    <col min="7668" max="7913" width="9.140625" style="1311"/>
    <col min="7914" max="7914" width="6" style="1311" customWidth="1"/>
    <col min="7915" max="7915" width="47" style="1311" customWidth="1"/>
    <col min="7916" max="7916" width="9" style="1311" customWidth="1"/>
    <col min="7917" max="7917" width="11.5703125" style="1311" customWidth="1"/>
    <col min="7918" max="7918" width="12.42578125" style="1311" customWidth="1"/>
    <col min="7919" max="7919" width="12.7109375" style="1311" customWidth="1"/>
    <col min="7920" max="7920" width="13.42578125" style="1311" customWidth="1"/>
    <col min="7921" max="7921" width="17" style="1311" customWidth="1"/>
    <col min="7922" max="7922" width="19" style="1311" customWidth="1"/>
    <col min="7923" max="7923" width="18.5703125" style="1311" customWidth="1"/>
    <col min="7924" max="8169" width="9.140625" style="1311"/>
    <col min="8170" max="8170" width="6" style="1311" customWidth="1"/>
    <col min="8171" max="8171" width="47" style="1311" customWidth="1"/>
    <col min="8172" max="8172" width="9" style="1311" customWidth="1"/>
    <col min="8173" max="8173" width="11.5703125" style="1311" customWidth="1"/>
    <col min="8174" max="8174" width="12.42578125" style="1311" customWidth="1"/>
    <col min="8175" max="8175" width="12.7109375" style="1311" customWidth="1"/>
    <col min="8176" max="8176" width="13.42578125" style="1311" customWidth="1"/>
    <col min="8177" max="8177" width="17" style="1311" customWidth="1"/>
    <col min="8178" max="8178" width="19" style="1311" customWidth="1"/>
    <col min="8179" max="8179" width="18.5703125" style="1311" customWidth="1"/>
    <col min="8180" max="8425" width="9.140625" style="1311"/>
    <col min="8426" max="8426" width="6" style="1311" customWidth="1"/>
    <col min="8427" max="8427" width="47" style="1311" customWidth="1"/>
    <col min="8428" max="8428" width="9" style="1311" customWidth="1"/>
    <col min="8429" max="8429" width="11.5703125" style="1311" customWidth="1"/>
    <col min="8430" max="8430" width="12.42578125" style="1311" customWidth="1"/>
    <col min="8431" max="8431" width="12.7109375" style="1311" customWidth="1"/>
    <col min="8432" max="8432" width="13.42578125" style="1311" customWidth="1"/>
    <col min="8433" max="8433" width="17" style="1311" customWidth="1"/>
    <col min="8434" max="8434" width="19" style="1311" customWidth="1"/>
    <col min="8435" max="8435" width="18.5703125" style="1311" customWidth="1"/>
    <col min="8436" max="8681" width="9.140625" style="1311"/>
    <col min="8682" max="8682" width="6" style="1311" customWidth="1"/>
    <col min="8683" max="8683" width="47" style="1311" customWidth="1"/>
    <col min="8684" max="8684" width="9" style="1311" customWidth="1"/>
    <col min="8685" max="8685" width="11.5703125" style="1311" customWidth="1"/>
    <col min="8686" max="8686" width="12.42578125" style="1311" customWidth="1"/>
    <col min="8687" max="8687" width="12.7109375" style="1311" customWidth="1"/>
    <col min="8688" max="8688" width="13.42578125" style="1311" customWidth="1"/>
    <col min="8689" max="8689" width="17" style="1311" customWidth="1"/>
    <col min="8690" max="8690" width="19" style="1311" customWidth="1"/>
    <col min="8691" max="8691" width="18.5703125" style="1311" customWidth="1"/>
    <col min="8692" max="8937" width="9.140625" style="1311"/>
    <col min="8938" max="8938" width="6" style="1311" customWidth="1"/>
    <col min="8939" max="8939" width="47" style="1311" customWidth="1"/>
    <col min="8940" max="8940" width="9" style="1311" customWidth="1"/>
    <col min="8941" max="8941" width="11.5703125" style="1311" customWidth="1"/>
    <col min="8942" max="8942" width="12.42578125" style="1311" customWidth="1"/>
    <col min="8943" max="8943" width="12.7109375" style="1311" customWidth="1"/>
    <col min="8944" max="8944" width="13.42578125" style="1311" customWidth="1"/>
    <col min="8945" max="8945" width="17" style="1311" customWidth="1"/>
    <col min="8946" max="8946" width="19" style="1311" customWidth="1"/>
    <col min="8947" max="8947" width="18.5703125" style="1311" customWidth="1"/>
    <col min="8948" max="9193" width="9.140625" style="1311"/>
    <col min="9194" max="9194" width="6" style="1311" customWidth="1"/>
    <col min="9195" max="9195" width="47" style="1311" customWidth="1"/>
    <col min="9196" max="9196" width="9" style="1311" customWidth="1"/>
    <col min="9197" max="9197" width="11.5703125" style="1311" customWidth="1"/>
    <col min="9198" max="9198" width="12.42578125" style="1311" customWidth="1"/>
    <col min="9199" max="9199" width="12.7109375" style="1311" customWidth="1"/>
    <col min="9200" max="9200" width="13.42578125" style="1311" customWidth="1"/>
    <col min="9201" max="9201" width="17" style="1311" customWidth="1"/>
    <col min="9202" max="9202" width="19" style="1311" customWidth="1"/>
    <col min="9203" max="9203" width="18.5703125" style="1311" customWidth="1"/>
    <col min="9204" max="9449" width="9.140625" style="1311"/>
    <col min="9450" max="9450" width="6" style="1311" customWidth="1"/>
    <col min="9451" max="9451" width="47" style="1311" customWidth="1"/>
    <col min="9452" max="9452" width="9" style="1311" customWidth="1"/>
    <col min="9453" max="9453" width="11.5703125" style="1311" customWidth="1"/>
    <col min="9454" max="9454" width="12.42578125" style="1311" customWidth="1"/>
    <col min="9455" max="9455" width="12.7109375" style="1311" customWidth="1"/>
    <col min="9456" max="9456" width="13.42578125" style="1311" customWidth="1"/>
    <col min="9457" max="9457" width="17" style="1311" customWidth="1"/>
    <col min="9458" max="9458" width="19" style="1311" customWidth="1"/>
    <col min="9459" max="9459" width="18.5703125" style="1311" customWidth="1"/>
    <col min="9460" max="9705" width="9.140625" style="1311"/>
    <col min="9706" max="9706" width="6" style="1311" customWidth="1"/>
    <col min="9707" max="9707" width="47" style="1311" customWidth="1"/>
    <col min="9708" max="9708" width="9" style="1311" customWidth="1"/>
    <col min="9709" max="9709" width="11.5703125" style="1311" customWidth="1"/>
    <col min="9710" max="9710" width="12.42578125" style="1311" customWidth="1"/>
    <col min="9711" max="9711" width="12.7109375" style="1311" customWidth="1"/>
    <col min="9712" max="9712" width="13.42578125" style="1311" customWidth="1"/>
    <col min="9713" max="9713" width="17" style="1311" customWidth="1"/>
    <col min="9714" max="9714" width="19" style="1311" customWidth="1"/>
    <col min="9715" max="9715" width="18.5703125" style="1311" customWidth="1"/>
    <col min="9716" max="9961" width="9.140625" style="1311"/>
    <col min="9962" max="9962" width="6" style="1311" customWidth="1"/>
    <col min="9963" max="9963" width="47" style="1311" customWidth="1"/>
    <col min="9964" max="9964" width="9" style="1311" customWidth="1"/>
    <col min="9965" max="9965" width="11.5703125" style="1311" customWidth="1"/>
    <col min="9966" max="9966" width="12.42578125" style="1311" customWidth="1"/>
    <col min="9967" max="9967" width="12.7109375" style="1311" customWidth="1"/>
    <col min="9968" max="9968" width="13.42578125" style="1311" customWidth="1"/>
    <col min="9969" max="9969" width="17" style="1311" customWidth="1"/>
    <col min="9970" max="9970" width="19" style="1311" customWidth="1"/>
    <col min="9971" max="9971" width="18.5703125" style="1311" customWidth="1"/>
    <col min="9972" max="10217" width="9.140625" style="1311"/>
    <col min="10218" max="10218" width="6" style="1311" customWidth="1"/>
    <col min="10219" max="10219" width="47" style="1311" customWidth="1"/>
    <col min="10220" max="10220" width="9" style="1311" customWidth="1"/>
    <col min="10221" max="10221" width="11.5703125" style="1311" customWidth="1"/>
    <col min="10222" max="10222" width="12.42578125" style="1311" customWidth="1"/>
    <col min="10223" max="10223" width="12.7109375" style="1311" customWidth="1"/>
    <col min="10224" max="10224" width="13.42578125" style="1311" customWidth="1"/>
    <col min="10225" max="10225" width="17" style="1311" customWidth="1"/>
    <col min="10226" max="10226" width="19" style="1311" customWidth="1"/>
    <col min="10227" max="10227" width="18.5703125" style="1311" customWidth="1"/>
    <col min="10228" max="10473" width="9.140625" style="1311"/>
    <col min="10474" max="10474" width="6" style="1311" customWidth="1"/>
    <col min="10475" max="10475" width="47" style="1311" customWidth="1"/>
    <col min="10476" max="10476" width="9" style="1311" customWidth="1"/>
    <col min="10477" max="10477" width="11.5703125" style="1311" customWidth="1"/>
    <col min="10478" max="10478" width="12.42578125" style="1311" customWidth="1"/>
    <col min="10479" max="10479" width="12.7109375" style="1311" customWidth="1"/>
    <col min="10480" max="10480" width="13.42578125" style="1311" customWidth="1"/>
    <col min="10481" max="10481" width="17" style="1311" customWidth="1"/>
    <col min="10482" max="10482" width="19" style="1311" customWidth="1"/>
    <col min="10483" max="10483" width="18.5703125" style="1311" customWidth="1"/>
    <col min="10484" max="10729" width="9.140625" style="1311"/>
    <col min="10730" max="10730" width="6" style="1311" customWidth="1"/>
    <col min="10731" max="10731" width="47" style="1311" customWidth="1"/>
    <col min="10732" max="10732" width="9" style="1311" customWidth="1"/>
    <col min="10733" max="10733" width="11.5703125" style="1311" customWidth="1"/>
    <col min="10734" max="10734" width="12.42578125" style="1311" customWidth="1"/>
    <col min="10735" max="10735" width="12.7109375" style="1311" customWidth="1"/>
    <col min="10736" max="10736" width="13.42578125" style="1311" customWidth="1"/>
    <col min="10737" max="10737" width="17" style="1311" customWidth="1"/>
    <col min="10738" max="10738" width="19" style="1311" customWidth="1"/>
    <col min="10739" max="10739" width="18.5703125" style="1311" customWidth="1"/>
    <col min="10740" max="10985" width="9.140625" style="1311"/>
    <col min="10986" max="10986" width="6" style="1311" customWidth="1"/>
    <col min="10987" max="10987" width="47" style="1311" customWidth="1"/>
    <col min="10988" max="10988" width="9" style="1311" customWidth="1"/>
    <col min="10989" max="10989" width="11.5703125" style="1311" customWidth="1"/>
    <col min="10990" max="10990" width="12.42578125" style="1311" customWidth="1"/>
    <col min="10991" max="10991" width="12.7109375" style="1311" customWidth="1"/>
    <col min="10992" max="10992" width="13.42578125" style="1311" customWidth="1"/>
    <col min="10993" max="10993" width="17" style="1311" customWidth="1"/>
    <col min="10994" max="10994" width="19" style="1311" customWidth="1"/>
    <col min="10995" max="10995" width="18.5703125" style="1311" customWidth="1"/>
    <col min="10996" max="11241" width="9.140625" style="1311"/>
    <col min="11242" max="11242" width="6" style="1311" customWidth="1"/>
    <col min="11243" max="11243" width="47" style="1311" customWidth="1"/>
    <col min="11244" max="11244" width="9" style="1311" customWidth="1"/>
    <col min="11245" max="11245" width="11.5703125" style="1311" customWidth="1"/>
    <col min="11246" max="11246" width="12.42578125" style="1311" customWidth="1"/>
    <col min="11247" max="11247" width="12.7109375" style="1311" customWidth="1"/>
    <col min="11248" max="11248" width="13.42578125" style="1311" customWidth="1"/>
    <col min="11249" max="11249" width="17" style="1311" customWidth="1"/>
    <col min="11250" max="11250" width="19" style="1311" customWidth="1"/>
    <col min="11251" max="11251" width="18.5703125" style="1311" customWidth="1"/>
    <col min="11252" max="11497" width="9.140625" style="1311"/>
    <col min="11498" max="11498" width="6" style="1311" customWidth="1"/>
    <col min="11499" max="11499" width="47" style="1311" customWidth="1"/>
    <col min="11500" max="11500" width="9" style="1311" customWidth="1"/>
    <col min="11501" max="11501" width="11.5703125" style="1311" customWidth="1"/>
    <col min="11502" max="11502" width="12.42578125" style="1311" customWidth="1"/>
    <col min="11503" max="11503" width="12.7109375" style="1311" customWidth="1"/>
    <col min="11504" max="11504" width="13.42578125" style="1311" customWidth="1"/>
    <col min="11505" max="11505" width="17" style="1311" customWidth="1"/>
    <col min="11506" max="11506" width="19" style="1311" customWidth="1"/>
    <col min="11507" max="11507" width="18.5703125" style="1311" customWidth="1"/>
    <col min="11508" max="11753" width="9.140625" style="1311"/>
    <col min="11754" max="11754" width="6" style="1311" customWidth="1"/>
    <col min="11755" max="11755" width="47" style="1311" customWidth="1"/>
    <col min="11756" max="11756" width="9" style="1311" customWidth="1"/>
    <col min="11757" max="11757" width="11.5703125" style="1311" customWidth="1"/>
    <col min="11758" max="11758" width="12.42578125" style="1311" customWidth="1"/>
    <col min="11759" max="11759" width="12.7109375" style="1311" customWidth="1"/>
    <col min="11760" max="11760" width="13.42578125" style="1311" customWidth="1"/>
    <col min="11761" max="11761" width="17" style="1311" customWidth="1"/>
    <col min="11762" max="11762" width="19" style="1311" customWidth="1"/>
    <col min="11763" max="11763" width="18.5703125" style="1311" customWidth="1"/>
    <col min="11764" max="12009" width="9.140625" style="1311"/>
    <col min="12010" max="12010" width="6" style="1311" customWidth="1"/>
    <col min="12011" max="12011" width="47" style="1311" customWidth="1"/>
    <col min="12012" max="12012" width="9" style="1311" customWidth="1"/>
    <col min="12013" max="12013" width="11.5703125" style="1311" customWidth="1"/>
    <col min="12014" max="12014" width="12.42578125" style="1311" customWidth="1"/>
    <col min="12015" max="12015" width="12.7109375" style="1311" customWidth="1"/>
    <col min="12016" max="12016" width="13.42578125" style="1311" customWidth="1"/>
    <col min="12017" max="12017" width="17" style="1311" customWidth="1"/>
    <col min="12018" max="12018" width="19" style="1311" customWidth="1"/>
    <col min="12019" max="12019" width="18.5703125" style="1311" customWidth="1"/>
    <col min="12020" max="12265" width="9.140625" style="1311"/>
    <col min="12266" max="12266" width="6" style="1311" customWidth="1"/>
    <col min="12267" max="12267" width="47" style="1311" customWidth="1"/>
    <col min="12268" max="12268" width="9" style="1311" customWidth="1"/>
    <col min="12269" max="12269" width="11.5703125" style="1311" customWidth="1"/>
    <col min="12270" max="12270" width="12.42578125" style="1311" customWidth="1"/>
    <col min="12271" max="12271" width="12.7109375" style="1311" customWidth="1"/>
    <col min="12272" max="12272" width="13.42578125" style="1311" customWidth="1"/>
    <col min="12273" max="12273" width="17" style="1311" customWidth="1"/>
    <col min="12274" max="12274" width="19" style="1311" customWidth="1"/>
    <col min="12275" max="12275" width="18.5703125" style="1311" customWidth="1"/>
    <col min="12276" max="12521" width="9.140625" style="1311"/>
    <col min="12522" max="12522" width="6" style="1311" customWidth="1"/>
    <col min="12523" max="12523" width="47" style="1311" customWidth="1"/>
    <col min="12524" max="12524" width="9" style="1311" customWidth="1"/>
    <col min="12525" max="12525" width="11.5703125" style="1311" customWidth="1"/>
    <col min="12526" max="12526" width="12.42578125" style="1311" customWidth="1"/>
    <col min="12527" max="12527" width="12.7109375" style="1311" customWidth="1"/>
    <col min="12528" max="12528" width="13.42578125" style="1311" customWidth="1"/>
    <col min="12529" max="12529" width="17" style="1311" customWidth="1"/>
    <col min="12530" max="12530" width="19" style="1311" customWidth="1"/>
    <col min="12531" max="12531" width="18.5703125" style="1311" customWidth="1"/>
    <col min="12532" max="12777" width="9.140625" style="1311"/>
    <col min="12778" max="12778" width="6" style="1311" customWidth="1"/>
    <col min="12779" max="12779" width="47" style="1311" customWidth="1"/>
    <col min="12780" max="12780" width="9" style="1311" customWidth="1"/>
    <col min="12781" max="12781" width="11.5703125" style="1311" customWidth="1"/>
    <col min="12782" max="12782" width="12.42578125" style="1311" customWidth="1"/>
    <col min="12783" max="12783" width="12.7109375" style="1311" customWidth="1"/>
    <col min="12784" max="12784" width="13.42578125" style="1311" customWidth="1"/>
    <col min="12785" max="12785" width="17" style="1311" customWidth="1"/>
    <col min="12786" max="12786" width="19" style="1311" customWidth="1"/>
    <col min="12787" max="12787" width="18.5703125" style="1311" customWidth="1"/>
    <col min="12788" max="13033" width="9.140625" style="1311"/>
    <col min="13034" max="13034" width="6" style="1311" customWidth="1"/>
    <col min="13035" max="13035" width="47" style="1311" customWidth="1"/>
    <col min="13036" max="13036" width="9" style="1311" customWidth="1"/>
    <col min="13037" max="13037" width="11.5703125" style="1311" customWidth="1"/>
    <col min="13038" max="13038" width="12.42578125" style="1311" customWidth="1"/>
    <col min="13039" max="13039" width="12.7109375" style="1311" customWidth="1"/>
    <col min="13040" max="13040" width="13.42578125" style="1311" customWidth="1"/>
    <col min="13041" max="13041" width="17" style="1311" customWidth="1"/>
    <col min="13042" max="13042" width="19" style="1311" customWidth="1"/>
    <col min="13043" max="13043" width="18.5703125" style="1311" customWidth="1"/>
    <col min="13044" max="13289" width="9.140625" style="1311"/>
    <col min="13290" max="13290" width="6" style="1311" customWidth="1"/>
    <col min="13291" max="13291" width="47" style="1311" customWidth="1"/>
    <col min="13292" max="13292" width="9" style="1311" customWidth="1"/>
    <col min="13293" max="13293" width="11.5703125" style="1311" customWidth="1"/>
    <col min="13294" max="13294" width="12.42578125" style="1311" customWidth="1"/>
    <col min="13295" max="13295" width="12.7109375" style="1311" customWidth="1"/>
    <col min="13296" max="13296" width="13.42578125" style="1311" customWidth="1"/>
    <col min="13297" max="13297" width="17" style="1311" customWidth="1"/>
    <col min="13298" max="13298" width="19" style="1311" customWidth="1"/>
    <col min="13299" max="13299" width="18.5703125" style="1311" customWidth="1"/>
    <col min="13300" max="13545" width="9.140625" style="1311"/>
    <col min="13546" max="13546" width="6" style="1311" customWidth="1"/>
    <col min="13547" max="13547" width="47" style="1311" customWidth="1"/>
    <col min="13548" max="13548" width="9" style="1311" customWidth="1"/>
    <col min="13549" max="13549" width="11.5703125" style="1311" customWidth="1"/>
    <col min="13550" max="13550" width="12.42578125" style="1311" customWidth="1"/>
    <col min="13551" max="13551" width="12.7109375" style="1311" customWidth="1"/>
    <col min="13552" max="13552" width="13.42578125" style="1311" customWidth="1"/>
    <col min="13553" max="13553" width="17" style="1311" customWidth="1"/>
    <col min="13554" max="13554" width="19" style="1311" customWidth="1"/>
    <col min="13555" max="13555" width="18.5703125" style="1311" customWidth="1"/>
    <col min="13556" max="13801" width="9.140625" style="1311"/>
    <col min="13802" max="13802" width="6" style="1311" customWidth="1"/>
    <col min="13803" max="13803" width="47" style="1311" customWidth="1"/>
    <col min="13804" max="13804" width="9" style="1311" customWidth="1"/>
    <col min="13805" max="13805" width="11.5703125" style="1311" customWidth="1"/>
    <col min="13806" max="13806" width="12.42578125" style="1311" customWidth="1"/>
    <col min="13807" max="13807" width="12.7109375" style="1311" customWidth="1"/>
    <col min="13808" max="13808" width="13.42578125" style="1311" customWidth="1"/>
    <col min="13809" max="13809" width="17" style="1311" customWidth="1"/>
    <col min="13810" max="13810" width="19" style="1311" customWidth="1"/>
    <col min="13811" max="13811" width="18.5703125" style="1311" customWidth="1"/>
    <col min="13812" max="14057" width="9.140625" style="1311"/>
    <col min="14058" max="14058" width="6" style="1311" customWidth="1"/>
    <col min="14059" max="14059" width="47" style="1311" customWidth="1"/>
    <col min="14060" max="14060" width="9" style="1311" customWidth="1"/>
    <col min="14061" max="14061" width="11.5703125" style="1311" customWidth="1"/>
    <col min="14062" max="14062" width="12.42578125" style="1311" customWidth="1"/>
    <col min="14063" max="14063" width="12.7109375" style="1311" customWidth="1"/>
    <col min="14064" max="14064" width="13.42578125" style="1311" customWidth="1"/>
    <col min="14065" max="14065" width="17" style="1311" customWidth="1"/>
    <col min="14066" max="14066" width="19" style="1311" customWidth="1"/>
    <col min="14067" max="14067" width="18.5703125" style="1311" customWidth="1"/>
    <col min="14068" max="14313" width="9.140625" style="1311"/>
    <col min="14314" max="14314" width="6" style="1311" customWidth="1"/>
    <col min="14315" max="14315" width="47" style="1311" customWidth="1"/>
    <col min="14316" max="14316" width="9" style="1311" customWidth="1"/>
    <col min="14317" max="14317" width="11.5703125" style="1311" customWidth="1"/>
    <col min="14318" max="14318" width="12.42578125" style="1311" customWidth="1"/>
    <col min="14319" max="14319" width="12.7109375" style="1311" customWidth="1"/>
    <col min="14320" max="14320" width="13.42578125" style="1311" customWidth="1"/>
    <col min="14321" max="14321" width="17" style="1311" customWidth="1"/>
    <col min="14322" max="14322" width="19" style="1311" customWidth="1"/>
    <col min="14323" max="14323" width="18.5703125" style="1311" customWidth="1"/>
    <col min="14324" max="14569" width="9.140625" style="1311"/>
    <col min="14570" max="14570" width="6" style="1311" customWidth="1"/>
    <col min="14571" max="14571" width="47" style="1311" customWidth="1"/>
    <col min="14572" max="14572" width="9" style="1311" customWidth="1"/>
    <col min="14573" max="14573" width="11.5703125" style="1311" customWidth="1"/>
    <col min="14574" max="14574" width="12.42578125" style="1311" customWidth="1"/>
    <col min="14575" max="14575" width="12.7109375" style="1311" customWidth="1"/>
    <col min="14576" max="14576" width="13.42578125" style="1311" customWidth="1"/>
    <col min="14577" max="14577" width="17" style="1311" customWidth="1"/>
    <col min="14578" max="14578" width="19" style="1311" customWidth="1"/>
    <col min="14579" max="14579" width="18.5703125" style="1311" customWidth="1"/>
    <col min="14580" max="14825" width="9.140625" style="1311"/>
    <col min="14826" max="14826" width="6" style="1311" customWidth="1"/>
    <col min="14827" max="14827" width="47" style="1311" customWidth="1"/>
    <col min="14828" max="14828" width="9" style="1311" customWidth="1"/>
    <col min="14829" max="14829" width="11.5703125" style="1311" customWidth="1"/>
    <col min="14830" max="14830" width="12.42578125" style="1311" customWidth="1"/>
    <col min="14831" max="14831" width="12.7109375" style="1311" customWidth="1"/>
    <col min="14832" max="14832" width="13.42578125" style="1311" customWidth="1"/>
    <col min="14833" max="14833" width="17" style="1311" customWidth="1"/>
    <col min="14834" max="14834" width="19" style="1311" customWidth="1"/>
    <col min="14835" max="14835" width="18.5703125" style="1311" customWidth="1"/>
    <col min="14836" max="15081" width="9.140625" style="1311"/>
    <col min="15082" max="15082" width="6" style="1311" customWidth="1"/>
    <col min="15083" max="15083" width="47" style="1311" customWidth="1"/>
    <col min="15084" max="15084" width="9" style="1311" customWidth="1"/>
    <col min="15085" max="15085" width="11.5703125" style="1311" customWidth="1"/>
    <col min="15086" max="15086" width="12.42578125" style="1311" customWidth="1"/>
    <col min="15087" max="15087" width="12.7109375" style="1311" customWidth="1"/>
    <col min="15088" max="15088" width="13.42578125" style="1311" customWidth="1"/>
    <col min="15089" max="15089" width="17" style="1311" customWidth="1"/>
    <col min="15090" max="15090" width="19" style="1311" customWidth="1"/>
    <col min="15091" max="15091" width="18.5703125" style="1311" customWidth="1"/>
    <col min="15092" max="15337" width="9.140625" style="1311"/>
    <col min="15338" max="15338" width="6" style="1311" customWidth="1"/>
    <col min="15339" max="15339" width="47" style="1311" customWidth="1"/>
    <col min="15340" max="15340" width="9" style="1311" customWidth="1"/>
    <col min="15341" max="15341" width="11.5703125" style="1311" customWidth="1"/>
    <col min="15342" max="15342" width="12.42578125" style="1311" customWidth="1"/>
    <col min="15343" max="15343" width="12.7109375" style="1311" customWidth="1"/>
    <col min="15344" max="15344" width="13.42578125" style="1311" customWidth="1"/>
    <col min="15345" max="15345" width="17" style="1311" customWidth="1"/>
    <col min="15346" max="15346" width="19" style="1311" customWidth="1"/>
    <col min="15347" max="15347" width="18.5703125" style="1311" customWidth="1"/>
    <col min="15348" max="15593" width="9.140625" style="1311"/>
    <col min="15594" max="15594" width="6" style="1311" customWidth="1"/>
    <col min="15595" max="15595" width="47" style="1311" customWidth="1"/>
    <col min="15596" max="15596" width="9" style="1311" customWidth="1"/>
    <col min="15597" max="15597" width="11.5703125" style="1311" customWidth="1"/>
    <col min="15598" max="15598" width="12.42578125" style="1311" customWidth="1"/>
    <col min="15599" max="15599" width="12.7109375" style="1311" customWidth="1"/>
    <col min="15600" max="15600" width="13.42578125" style="1311" customWidth="1"/>
    <col min="15601" max="15601" width="17" style="1311" customWidth="1"/>
    <col min="15602" max="15602" width="19" style="1311" customWidth="1"/>
    <col min="15603" max="15603" width="18.5703125" style="1311" customWidth="1"/>
    <col min="15604" max="15849" width="9.140625" style="1311"/>
    <col min="15850" max="15850" width="6" style="1311" customWidth="1"/>
    <col min="15851" max="15851" width="47" style="1311" customWidth="1"/>
    <col min="15852" max="15852" width="9" style="1311" customWidth="1"/>
    <col min="15853" max="15853" width="11.5703125" style="1311" customWidth="1"/>
    <col min="15854" max="15854" width="12.42578125" style="1311" customWidth="1"/>
    <col min="15855" max="15855" width="12.7109375" style="1311" customWidth="1"/>
    <col min="15856" max="15856" width="13.42578125" style="1311" customWidth="1"/>
    <col min="15857" max="15857" width="17" style="1311" customWidth="1"/>
    <col min="15858" max="15858" width="19" style="1311" customWidth="1"/>
    <col min="15859" max="15859" width="18.5703125" style="1311" customWidth="1"/>
    <col min="15860" max="16105" width="9.140625" style="1311"/>
    <col min="16106" max="16106" width="6" style="1311" customWidth="1"/>
    <col min="16107" max="16107" width="47" style="1311" customWidth="1"/>
    <col min="16108" max="16108" width="9" style="1311" customWidth="1"/>
    <col min="16109" max="16109" width="11.5703125" style="1311" customWidth="1"/>
    <col min="16110" max="16110" width="12.42578125" style="1311" customWidth="1"/>
    <col min="16111" max="16111" width="12.7109375" style="1311" customWidth="1"/>
    <col min="16112" max="16112" width="13.42578125" style="1311" customWidth="1"/>
    <col min="16113" max="16113" width="17" style="1311" customWidth="1"/>
    <col min="16114" max="16114" width="19" style="1311" customWidth="1"/>
    <col min="16115" max="16115" width="18.5703125" style="1311" customWidth="1"/>
    <col min="16116" max="16384" width="9.140625" style="1311"/>
  </cols>
  <sheetData>
    <row r="1" spans="2:10" s="340" customFormat="1">
      <c r="B1" s="1329" t="s">
        <v>1257</v>
      </c>
      <c r="D1" s="1286"/>
      <c r="E1" s="1286"/>
      <c r="F1" s="1286"/>
      <c r="G1" s="1286"/>
      <c r="H1" s="1286"/>
      <c r="I1" s="2053"/>
      <c r="J1" s="2053"/>
    </row>
    <row r="2" spans="2:10" s="340" customFormat="1">
      <c r="B2" s="1329" t="s">
        <v>1208</v>
      </c>
      <c r="D2" s="1286"/>
      <c r="E2" s="1286"/>
      <c r="F2" s="1286"/>
      <c r="G2" s="1286" t="s">
        <v>3203</v>
      </c>
      <c r="H2" s="1286"/>
      <c r="I2" s="1286"/>
      <c r="J2" s="1286"/>
    </row>
    <row r="3" spans="2:10" s="340" customFormat="1">
      <c r="B3" s="1329" t="s">
        <v>1258</v>
      </c>
      <c r="D3" s="1286"/>
      <c r="E3" s="1286"/>
      <c r="F3" s="1286"/>
      <c r="G3" s="1286"/>
      <c r="H3" s="1286"/>
    </row>
    <row r="4" spans="2:10" s="340" customFormat="1">
      <c r="B4" s="1329" t="s">
        <v>1209</v>
      </c>
      <c r="D4" s="1286"/>
      <c r="E4" s="1286"/>
      <c r="F4" s="1286"/>
      <c r="G4" s="1286"/>
      <c r="H4" s="1286"/>
      <c r="I4" s="1286"/>
      <c r="J4" s="1286"/>
    </row>
    <row r="5" spans="2:10" s="340" customFormat="1">
      <c r="B5" s="1529"/>
      <c r="D5" s="1286"/>
      <c r="E5" s="1286"/>
      <c r="F5" s="1286"/>
      <c r="G5" s="1286"/>
      <c r="H5" s="1286"/>
      <c r="I5" s="1286"/>
      <c r="J5" s="1286"/>
    </row>
    <row r="6" spans="2:10" ht="15.75" customHeight="1">
      <c r="B6" s="2111" t="s">
        <v>1492</v>
      </c>
      <c r="C6" s="2111" t="s">
        <v>0</v>
      </c>
      <c r="D6" s="2111" t="s">
        <v>1491</v>
      </c>
      <c r="E6" s="2113" t="s">
        <v>1489</v>
      </c>
      <c r="F6" s="2113"/>
      <c r="G6" s="2113"/>
      <c r="H6" s="2111" t="s">
        <v>1494</v>
      </c>
      <c r="I6" s="2111"/>
      <c r="J6" s="1311"/>
    </row>
    <row r="7" spans="2:10" ht="15.75" customHeight="1">
      <c r="B7" s="2112"/>
      <c r="C7" s="2112"/>
      <c r="D7" s="2112"/>
      <c r="E7" s="1540" t="s">
        <v>1487</v>
      </c>
      <c r="F7" s="1540" t="s">
        <v>1488</v>
      </c>
      <c r="G7" s="1540" t="s">
        <v>1486</v>
      </c>
      <c r="H7" s="1540" t="s">
        <v>1487</v>
      </c>
      <c r="I7" s="1540" t="s">
        <v>1486</v>
      </c>
      <c r="J7" s="1311"/>
    </row>
    <row r="8" spans="2:10" ht="15.75" customHeight="1">
      <c r="B8" s="1412"/>
      <c r="C8" s="1413" t="s">
        <v>1485</v>
      </c>
      <c r="D8" s="1414"/>
      <c r="E8" s="1414"/>
      <c r="F8" s="1414"/>
      <c r="G8" s="1414"/>
      <c r="H8" s="1414"/>
      <c r="I8" s="1417"/>
      <c r="J8" s="1311"/>
    </row>
    <row r="9" spans="2:10" ht="15.75" customHeight="1">
      <c r="B9" s="1406"/>
      <c r="C9" s="1395" t="s">
        <v>1484</v>
      </c>
      <c r="D9" s="1392"/>
      <c r="E9" s="1392"/>
      <c r="F9" s="1392"/>
      <c r="G9" s="1392"/>
      <c r="H9" s="1392"/>
      <c r="I9" s="1407"/>
      <c r="J9" s="1311"/>
    </row>
    <row r="10" spans="2:10" ht="15.75" customHeight="1">
      <c r="B10" s="1408">
        <v>1.1000000000000001</v>
      </c>
      <c r="C10" s="1396" t="s">
        <v>1483</v>
      </c>
      <c r="D10" s="1394" t="s">
        <v>3201</v>
      </c>
      <c r="E10" s="1394">
        <v>191</v>
      </c>
      <c r="F10" s="1394">
        <v>8</v>
      </c>
      <c r="G10" s="1394">
        <f>E10*F10</f>
        <v>1528</v>
      </c>
      <c r="H10" s="1394">
        <f>'Staff TOS'!D13+'SQ TOS '!D12</f>
        <v>266</v>
      </c>
      <c r="I10" s="1409">
        <f t="shared" ref="I10:I15" si="0">F10*H10</f>
        <v>2128</v>
      </c>
      <c r="J10" s="1311"/>
    </row>
    <row r="11" spans="2:10" ht="15.75" customHeight="1">
      <c r="B11" s="1541">
        <v>1.2</v>
      </c>
      <c r="C11" s="1519" t="s">
        <v>1482</v>
      </c>
      <c r="D11" s="1394" t="s">
        <v>3200</v>
      </c>
      <c r="E11" s="1394">
        <v>206</v>
      </c>
      <c r="F11" s="1394">
        <v>70</v>
      </c>
      <c r="G11" s="1394">
        <f t="shared" ref="G11:G72" si="1">E11*F11</f>
        <v>14420</v>
      </c>
      <c r="H11" s="1394">
        <f>'Staff TOS'!D30</f>
        <v>5.5539999999999994</v>
      </c>
      <c r="I11" s="1409">
        <f t="shared" si="0"/>
        <v>388.78</v>
      </c>
      <c r="J11" s="1311"/>
    </row>
    <row r="12" spans="2:10" ht="15.75" customHeight="1">
      <c r="B12" s="1541">
        <v>1.3</v>
      </c>
      <c r="C12" s="1519" t="s">
        <v>1524</v>
      </c>
      <c r="D12" s="1394" t="s">
        <v>3200</v>
      </c>
      <c r="E12" s="1394">
        <v>69</v>
      </c>
      <c r="F12" s="1394">
        <v>70</v>
      </c>
      <c r="G12" s="1394">
        <f t="shared" si="1"/>
        <v>4830</v>
      </c>
      <c r="H12" s="1394">
        <f>'Staff TOS'!D43+'SQ TOS '!D18</f>
        <v>79.989000000000004</v>
      </c>
      <c r="I12" s="1409">
        <f t="shared" si="0"/>
        <v>5599.2300000000005</v>
      </c>
      <c r="J12" s="1311"/>
    </row>
    <row r="13" spans="2:10" ht="15.75" customHeight="1">
      <c r="B13" s="1408">
        <v>1.4</v>
      </c>
      <c r="C13" s="1396" t="s">
        <v>1480</v>
      </c>
      <c r="D13" s="1394" t="s">
        <v>3200</v>
      </c>
      <c r="E13" s="1394">
        <f>E11+E12</f>
        <v>275</v>
      </c>
      <c r="F13" s="1394">
        <v>56</v>
      </c>
      <c r="G13" s="1394">
        <f t="shared" si="1"/>
        <v>15400</v>
      </c>
      <c r="H13" s="1394">
        <f>'Staff TOS'!D55+'SQ TOS '!D35</f>
        <v>123.84960000000001</v>
      </c>
      <c r="I13" s="1409">
        <f t="shared" si="0"/>
        <v>6935.5776000000005</v>
      </c>
      <c r="J13" s="1311"/>
    </row>
    <row r="14" spans="2:10" ht="15.75" customHeight="1">
      <c r="B14" s="1408">
        <v>1.5</v>
      </c>
      <c r="C14" s="1396" t="s">
        <v>1479</v>
      </c>
      <c r="D14" s="1394" t="s">
        <v>3200</v>
      </c>
      <c r="E14" s="1394">
        <f>E13+(0.3*E10)</f>
        <v>332.3</v>
      </c>
      <c r="F14" s="1394">
        <v>70</v>
      </c>
      <c r="G14" s="1394">
        <f t="shared" si="1"/>
        <v>23261</v>
      </c>
      <c r="H14" s="1394">
        <f>'Staff TOS'!H30+'SQ TOS '!D44</f>
        <v>111.2972</v>
      </c>
      <c r="I14" s="1409">
        <f t="shared" si="0"/>
        <v>7790.8040000000001</v>
      </c>
      <c r="J14" s="1311"/>
    </row>
    <row r="15" spans="2:10" ht="15.75" customHeight="1">
      <c r="B15" s="1421">
        <v>1.6</v>
      </c>
      <c r="C15" s="1422" t="s">
        <v>1497</v>
      </c>
      <c r="D15" s="1423" t="s">
        <v>3201</v>
      </c>
      <c r="E15" s="1423">
        <v>97</v>
      </c>
      <c r="F15" s="1423">
        <v>200</v>
      </c>
      <c r="G15" s="1423">
        <f t="shared" si="1"/>
        <v>19400</v>
      </c>
      <c r="H15" s="1423">
        <f>'Staff TOS'!H35+'SQ TOS '!D49</f>
        <v>129.46</v>
      </c>
      <c r="I15" s="1424">
        <f t="shared" si="0"/>
        <v>25892</v>
      </c>
      <c r="J15" s="1311"/>
    </row>
    <row r="16" spans="2:10" ht="15.75" customHeight="1">
      <c r="B16" s="2114" t="s">
        <v>1330</v>
      </c>
      <c r="C16" s="2114"/>
      <c r="D16" s="2114"/>
      <c r="E16" s="1428"/>
      <c r="F16" s="1428"/>
      <c r="G16" s="1428">
        <f>SUM(G10:G15)</f>
        <v>78839</v>
      </c>
      <c r="H16" s="1428"/>
      <c r="I16" s="1428">
        <f>SUM(I10:I15)</f>
        <v>48734.391600000003</v>
      </c>
      <c r="J16" s="1311"/>
    </row>
    <row r="17" spans="2:10" ht="15.75" customHeight="1">
      <c r="B17" s="1425"/>
      <c r="C17" s="1426" t="s">
        <v>1477</v>
      </c>
      <c r="D17" s="1416"/>
      <c r="E17" s="1416"/>
      <c r="F17" s="1416"/>
      <c r="G17" s="1416"/>
      <c r="H17" s="1416"/>
      <c r="I17" s="1427"/>
      <c r="J17" s="1311"/>
    </row>
    <row r="18" spans="2:10" ht="15.75" customHeight="1">
      <c r="B18" s="1408">
        <v>2.1</v>
      </c>
      <c r="C18" s="1396" t="s">
        <v>1476</v>
      </c>
      <c r="D18" s="1394" t="s">
        <v>3201</v>
      </c>
      <c r="E18" s="1394">
        <v>42</v>
      </c>
      <c r="F18" s="1394">
        <v>150</v>
      </c>
      <c r="G18" s="1394">
        <f t="shared" si="1"/>
        <v>6300</v>
      </c>
      <c r="H18" s="1394">
        <f>'Staff TOS'!H49+'SQ TOS '!D59</f>
        <v>55.1</v>
      </c>
      <c r="I18" s="1409">
        <f>F18*H18</f>
        <v>8265</v>
      </c>
      <c r="J18" s="1311"/>
    </row>
    <row r="19" spans="2:10" ht="15.75" customHeight="1">
      <c r="B19" s="1541">
        <v>2.2000000000000002</v>
      </c>
      <c r="C19" s="1519" t="s">
        <v>1475</v>
      </c>
      <c r="D19" s="1520" t="s">
        <v>3201</v>
      </c>
      <c r="E19" s="1394">
        <v>15</v>
      </c>
      <c r="F19" s="1394">
        <v>150</v>
      </c>
      <c r="G19" s="1394">
        <f t="shared" si="1"/>
        <v>2250</v>
      </c>
      <c r="H19" s="1394"/>
      <c r="I19" s="1409">
        <f t="shared" ref="I19:I72" si="2">F19*H19</f>
        <v>0</v>
      </c>
      <c r="J19" s="1311"/>
    </row>
    <row r="20" spans="2:10" ht="15.75" customHeight="1">
      <c r="B20" s="1408">
        <v>2.2000000000000002</v>
      </c>
      <c r="C20" s="1396" t="s">
        <v>1525</v>
      </c>
      <c r="D20" s="1394" t="s">
        <v>3201</v>
      </c>
      <c r="E20" s="1394">
        <v>97</v>
      </c>
      <c r="F20" s="1394">
        <v>400</v>
      </c>
      <c r="G20" s="1394">
        <f t="shared" si="1"/>
        <v>38800</v>
      </c>
      <c r="H20" s="1394">
        <f>'Staff TOS'!H54+'SQ TOS '!H10</f>
        <v>129.46</v>
      </c>
      <c r="I20" s="1409">
        <f t="shared" si="2"/>
        <v>51784</v>
      </c>
      <c r="J20" s="1311"/>
    </row>
    <row r="21" spans="2:10" ht="17.25" customHeight="1">
      <c r="B21" s="1408">
        <v>2.2999999999999998</v>
      </c>
      <c r="C21" s="1396" t="s">
        <v>1526</v>
      </c>
      <c r="D21" s="1394" t="s">
        <v>3200</v>
      </c>
      <c r="E21" s="1394">
        <v>11</v>
      </c>
      <c r="F21" s="1394">
        <v>3200</v>
      </c>
      <c r="G21" s="1394">
        <f t="shared" si="1"/>
        <v>35200</v>
      </c>
      <c r="H21" s="1394">
        <f>'Staff TOS'!D74+'SQ TOS '!H20</f>
        <v>12.100000000000001</v>
      </c>
      <c r="I21" s="1409">
        <f t="shared" si="2"/>
        <v>38720.000000000007</v>
      </c>
      <c r="J21" s="1311"/>
    </row>
    <row r="22" spans="2:10" ht="17.25" customHeight="1">
      <c r="B22" s="1541">
        <v>2.4</v>
      </c>
      <c r="C22" s="1519" t="s">
        <v>1471</v>
      </c>
      <c r="D22" s="1520" t="s">
        <v>3200</v>
      </c>
      <c r="E22" s="1394">
        <v>3.2</v>
      </c>
      <c r="F22" s="1394">
        <v>3200</v>
      </c>
      <c r="G22" s="1394">
        <f t="shared" si="1"/>
        <v>10240</v>
      </c>
      <c r="H22" s="1394"/>
      <c r="I22" s="1409">
        <f t="shared" si="2"/>
        <v>0</v>
      </c>
      <c r="J22" s="1311"/>
    </row>
    <row r="23" spans="2:10" ht="17.25" customHeight="1">
      <c r="B23" s="1541">
        <v>2.5</v>
      </c>
      <c r="C23" s="1519" t="s">
        <v>1470</v>
      </c>
      <c r="D23" s="1520" t="s">
        <v>3200</v>
      </c>
      <c r="E23" s="1394">
        <v>2.4</v>
      </c>
      <c r="F23" s="1394">
        <v>3200</v>
      </c>
      <c r="G23" s="1394">
        <f t="shared" si="1"/>
        <v>7680</v>
      </c>
      <c r="H23" s="1394"/>
      <c r="I23" s="1409">
        <f t="shared" si="2"/>
        <v>0</v>
      </c>
      <c r="J23" s="1311"/>
    </row>
    <row r="24" spans="2:10" ht="15.75" customHeight="1">
      <c r="B24" s="1408"/>
      <c r="C24" s="1396" t="s">
        <v>1527</v>
      </c>
      <c r="D24" s="1394"/>
      <c r="E24" s="1394"/>
      <c r="F24" s="1394"/>
      <c r="G24" s="1394"/>
      <c r="H24" s="1394"/>
      <c r="I24" s="1409"/>
      <c r="J24" s="1311"/>
    </row>
    <row r="25" spans="2:10" ht="15.75" customHeight="1">
      <c r="B25" s="1408">
        <v>2.4</v>
      </c>
      <c r="C25" s="1396" t="s">
        <v>1</v>
      </c>
      <c r="D25" s="1394" t="s">
        <v>3201</v>
      </c>
      <c r="E25" s="1394">
        <v>45</v>
      </c>
      <c r="F25" s="1394">
        <v>120</v>
      </c>
      <c r="G25" s="1394">
        <f t="shared" si="1"/>
        <v>5400</v>
      </c>
      <c r="H25" s="1394">
        <f>'Staff TOS'!D91+'SQ TOS '!H20</f>
        <v>60.970000000000006</v>
      </c>
      <c r="I25" s="1409">
        <f t="shared" si="2"/>
        <v>7316.4000000000005</v>
      </c>
      <c r="J25" s="1311"/>
    </row>
    <row r="26" spans="2:10" ht="15.75" customHeight="1">
      <c r="B26" s="1541">
        <v>2.7</v>
      </c>
      <c r="C26" s="1519" t="s">
        <v>1471</v>
      </c>
      <c r="D26" s="1520" t="s">
        <v>3201</v>
      </c>
      <c r="E26" s="1394">
        <v>12</v>
      </c>
      <c r="F26" s="1394">
        <v>120</v>
      </c>
      <c r="G26" s="1394">
        <f t="shared" si="1"/>
        <v>1440</v>
      </c>
      <c r="H26" s="1394"/>
      <c r="I26" s="1409">
        <f t="shared" si="2"/>
        <v>0</v>
      </c>
      <c r="J26" s="1311"/>
    </row>
    <row r="27" spans="2:10" ht="15.75" customHeight="1">
      <c r="B27" s="1541">
        <v>2.8</v>
      </c>
      <c r="C27" s="1519" t="s">
        <v>1470</v>
      </c>
      <c r="D27" s="1520" t="s">
        <v>3201</v>
      </c>
      <c r="E27" s="1394">
        <v>50</v>
      </c>
      <c r="F27" s="1394">
        <v>120</v>
      </c>
      <c r="G27" s="1394">
        <f t="shared" si="1"/>
        <v>6000</v>
      </c>
      <c r="H27" s="1394"/>
      <c r="I27" s="1409">
        <f t="shared" si="2"/>
        <v>0</v>
      </c>
      <c r="J27" s="1311"/>
    </row>
    <row r="28" spans="2:10" ht="15.75" customHeight="1">
      <c r="B28" s="1408">
        <v>2.5</v>
      </c>
      <c r="C28" s="1396" t="s">
        <v>1528</v>
      </c>
      <c r="D28" s="1394" t="s">
        <v>3201</v>
      </c>
      <c r="E28" s="1394">
        <v>4</v>
      </c>
      <c r="F28" s="1394">
        <v>150</v>
      </c>
      <c r="G28" s="1394">
        <f t="shared" si="1"/>
        <v>600</v>
      </c>
      <c r="H28" s="1394"/>
      <c r="I28" s="1409">
        <f t="shared" si="2"/>
        <v>0</v>
      </c>
      <c r="J28" s="1311"/>
    </row>
    <row r="29" spans="2:10" ht="15.75" customHeight="1">
      <c r="B29" s="1408"/>
      <c r="C29" s="1396" t="s">
        <v>1469</v>
      </c>
      <c r="D29" s="1394"/>
      <c r="E29" s="1394"/>
      <c r="F29" s="1394"/>
      <c r="G29" s="1394"/>
      <c r="H29" s="1394"/>
      <c r="I29" s="1409"/>
      <c r="J29" s="1311"/>
    </row>
    <row r="30" spans="2:10" ht="15.75" customHeight="1">
      <c r="B30" s="1408"/>
      <c r="C30" s="1396" t="s">
        <v>1498</v>
      </c>
      <c r="D30" s="1394"/>
      <c r="E30" s="1394"/>
      <c r="F30" s="1394"/>
      <c r="G30" s="1394"/>
      <c r="H30" s="1394"/>
      <c r="I30" s="1409"/>
      <c r="J30" s="1311"/>
    </row>
    <row r="31" spans="2:10" ht="15.75" customHeight="1">
      <c r="B31" s="1408">
        <v>2.6</v>
      </c>
      <c r="C31" s="1396" t="s">
        <v>1468</v>
      </c>
      <c r="D31" s="1394" t="s">
        <v>1450</v>
      </c>
      <c r="E31" s="1394" t="s">
        <v>1444</v>
      </c>
      <c r="F31" s="1394">
        <v>36</v>
      </c>
      <c r="G31" s="1394"/>
      <c r="H31" s="1394">
        <f>'Staff TOS'!D95+'SQ TOS '!H36</f>
        <v>920.85840000000007</v>
      </c>
      <c r="I31" s="1409">
        <f t="shared" si="2"/>
        <v>33150.902400000006</v>
      </c>
      <c r="J31" s="1311"/>
    </row>
    <row r="32" spans="2:10" ht="15.75" customHeight="1">
      <c r="B32" s="1541">
        <v>2.6</v>
      </c>
      <c r="C32" s="1519" t="s">
        <v>1467</v>
      </c>
      <c r="D32" s="1520" t="s">
        <v>1450</v>
      </c>
      <c r="E32" s="1394">
        <v>435</v>
      </c>
      <c r="F32" s="1394">
        <v>36</v>
      </c>
      <c r="G32" s="1394">
        <f t="shared" si="1"/>
        <v>15660</v>
      </c>
      <c r="H32" s="1394"/>
      <c r="I32" s="1409">
        <f t="shared" si="2"/>
        <v>0</v>
      </c>
      <c r="J32" s="1311"/>
    </row>
    <row r="33" spans="2:10" ht="15.75" customHeight="1">
      <c r="B33" s="1408">
        <v>2.7</v>
      </c>
      <c r="C33" s="1396" t="s">
        <v>1451</v>
      </c>
      <c r="D33" s="1394" t="s">
        <v>1450</v>
      </c>
      <c r="E33" s="1394">
        <v>745</v>
      </c>
      <c r="F33" s="1394">
        <v>36</v>
      </c>
      <c r="G33" s="1394">
        <f t="shared" si="1"/>
        <v>26820</v>
      </c>
      <c r="H33" s="1394">
        <f>'Staff TOS'!D98+'SQ TOS '!H39</f>
        <v>913.68240000000003</v>
      </c>
      <c r="I33" s="1409">
        <f t="shared" si="2"/>
        <v>32892.566400000003</v>
      </c>
      <c r="J33" s="1311"/>
    </row>
    <row r="34" spans="2:10" ht="15.75" customHeight="1">
      <c r="B34" s="1408">
        <v>2.8</v>
      </c>
      <c r="C34" s="1396" t="s">
        <v>1529</v>
      </c>
      <c r="D34" s="1394" t="s">
        <v>1450</v>
      </c>
      <c r="E34" s="1394">
        <v>5</v>
      </c>
      <c r="F34" s="1394">
        <v>36</v>
      </c>
      <c r="G34" s="1394">
        <f t="shared" si="1"/>
        <v>180</v>
      </c>
      <c r="H34" s="1394"/>
      <c r="I34" s="1409">
        <f t="shared" si="2"/>
        <v>0</v>
      </c>
      <c r="J34" s="1311"/>
    </row>
    <row r="35" spans="2:10" ht="15.75" customHeight="1">
      <c r="B35" s="1421">
        <v>2.9</v>
      </c>
      <c r="C35" s="1422" t="s">
        <v>1466</v>
      </c>
      <c r="D35" s="1423" t="s">
        <v>1406</v>
      </c>
      <c r="E35" s="1423">
        <v>300</v>
      </c>
      <c r="F35" s="1423">
        <v>30</v>
      </c>
      <c r="G35" s="1423">
        <f t="shared" si="1"/>
        <v>9000</v>
      </c>
      <c r="H35" s="1423">
        <f>'Staff TOS'!D107+'SQ TOS '!H45</f>
        <v>113.2</v>
      </c>
      <c r="I35" s="1424">
        <f t="shared" si="2"/>
        <v>3396</v>
      </c>
      <c r="J35" s="1311"/>
    </row>
    <row r="36" spans="2:10" ht="15.75" customHeight="1">
      <c r="B36" s="2088" t="s">
        <v>1330</v>
      </c>
      <c r="C36" s="2088"/>
      <c r="D36" s="2088"/>
      <c r="E36" s="1430"/>
      <c r="F36" s="1430"/>
      <c r="G36" s="1428">
        <f>SUM(G18:G35)</f>
        <v>165570</v>
      </c>
      <c r="H36" s="1428"/>
      <c r="I36" s="1428">
        <f>SUM(I18:I35)</f>
        <v>175524.8688</v>
      </c>
      <c r="J36" s="1311"/>
    </row>
    <row r="37" spans="2:10" ht="15.75" customHeight="1">
      <c r="B37" s="1425"/>
      <c r="C37" s="1426" t="s">
        <v>1465</v>
      </c>
      <c r="D37" s="1416"/>
      <c r="E37" s="1416"/>
      <c r="F37" s="1416"/>
      <c r="G37" s="1416"/>
      <c r="H37" s="1416"/>
      <c r="I37" s="1427"/>
      <c r="J37" s="1311"/>
    </row>
    <row r="38" spans="2:10" ht="15.75" customHeight="1">
      <c r="B38" s="1408">
        <v>3.1</v>
      </c>
      <c r="C38" s="1396" t="s">
        <v>1464</v>
      </c>
      <c r="D38" s="1394" t="s">
        <v>3200</v>
      </c>
      <c r="E38" s="1394">
        <v>52</v>
      </c>
      <c r="F38" s="1394">
        <v>1250</v>
      </c>
      <c r="G38" s="1394">
        <f t="shared" si="1"/>
        <v>65000</v>
      </c>
      <c r="H38" s="1394">
        <f>'Staff TOS'!H65+'SQ TOS '!H53</f>
        <v>29.194000000000006</v>
      </c>
      <c r="I38" s="1409">
        <f t="shared" si="2"/>
        <v>36492.500000000007</v>
      </c>
      <c r="J38" s="1311"/>
    </row>
    <row r="39" spans="2:10" ht="31.5">
      <c r="B39" s="1421">
        <v>3.2</v>
      </c>
      <c r="C39" s="1539" t="s">
        <v>1530</v>
      </c>
      <c r="D39" s="1423" t="s">
        <v>3200</v>
      </c>
      <c r="E39" s="1423">
        <v>26</v>
      </c>
      <c r="F39" s="1423">
        <v>1450</v>
      </c>
      <c r="G39" s="1423">
        <f t="shared" si="1"/>
        <v>37700</v>
      </c>
      <c r="H39" s="1423">
        <f>'Staff TOS'!H77+'SQ TOS '!H60</f>
        <v>28.511999999999997</v>
      </c>
      <c r="I39" s="1424">
        <f t="shared" si="2"/>
        <v>41342.399999999994</v>
      </c>
      <c r="J39" s="1311"/>
    </row>
    <row r="40" spans="2:10" ht="15.75" customHeight="1">
      <c r="B40" s="2088" t="s">
        <v>1330</v>
      </c>
      <c r="C40" s="2088"/>
      <c r="D40" s="2088"/>
      <c r="E40" s="1430"/>
      <c r="F40" s="1430"/>
      <c r="G40" s="1428">
        <f>SUM(G38:G39)</f>
        <v>102700</v>
      </c>
      <c r="H40" s="1428"/>
      <c r="I40" s="1428">
        <f>SUM(I38:I39)</f>
        <v>77834.899999999994</v>
      </c>
      <c r="J40" s="1311"/>
    </row>
    <row r="41" spans="2:10" ht="15.75" customHeight="1">
      <c r="B41" s="1425"/>
      <c r="C41" s="1426" t="s">
        <v>1462</v>
      </c>
      <c r="D41" s="1416"/>
      <c r="E41" s="1416"/>
      <c r="F41" s="1416"/>
      <c r="G41" s="1416"/>
      <c r="H41" s="1416"/>
      <c r="I41" s="1427"/>
      <c r="J41" s="1311"/>
    </row>
    <row r="42" spans="2:10" ht="15.75" customHeight="1">
      <c r="B42" s="1410"/>
      <c r="C42" s="1397" t="s">
        <v>1461</v>
      </c>
      <c r="D42" s="1394"/>
      <c r="E42" s="1394"/>
      <c r="F42" s="1394"/>
      <c r="G42" s="1394"/>
      <c r="H42" s="1394"/>
      <c r="I42" s="1409"/>
      <c r="J42" s="1311"/>
    </row>
    <row r="43" spans="2:10" ht="15.75" customHeight="1">
      <c r="B43" s="1410"/>
      <c r="C43" s="1396" t="s">
        <v>1460</v>
      </c>
      <c r="D43" s="1394"/>
      <c r="E43" s="1394"/>
      <c r="F43" s="1394"/>
      <c r="G43" s="1394"/>
      <c r="H43" s="1394"/>
      <c r="I43" s="1409"/>
      <c r="J43" s="1311"/>
    </row>
    <row r="44" spans="2:10" ht="15.75" customHeight="1">
      <c r="B44" s="1408">
        <v>1.1000000000000001</v>
      </c>
      <c r="C44" s="1396" t="s">
        <v>1459</v>
      </c>
      <c r="D44" s="1394" t="s">
        <v>3200</v>
      </c>
      <c r="E44" s="1394">
        <v>2.2999999999999998</v>
      </c>
      <c r="F44" s="1394">
        <v>3200</v>
      </c>
      <c r="G44" s="1394">
        <f t="shared" si="1"/>
        <v>7359.9999999999991</v>
      </c>
      <c r="H44" s="1394">
        <f>'Staff TOS'!H84+'SQ TOS '!D67</f>
        <v>2.1840000000000002</v>
      </c>
      <c r="I44" s="1409">
        <f t="shared" si="2"/>
        <v>6988.8</v>
      </c>
      <c r="J44" s="1311"/>
    </row>
    <row r="45" spans="2:10" ht="15.75" customHeight="1">
      <c r="B45" s="1408">
        <v>1.2</v>
      </c>
      <c r="C45" s="1396" t="s">
        <v>1531</v>
      </c>
      <c r="D45" s="1394" t="s">
        <v>3200</v>
      </c>
      <c r="E45" s="1394">
        <v>3.6</v>
      </c>
      <c r="F45" s="1394">
        <v>3200</v>
      </c>
      <c r="G45" s="1394">
        <f t="shared" si="1"/>
        <v>11520</v>
      </c>
      <c r="H45" s="1394">
        <v>7.74</v>
      </c>
      <c r="I45" s="1409">
        <f t="shared" si="2"/>
        <v>24768</v>
      </c>
      <c r="J45" s="1311"/>
    </row>
    <row r="46" spans="2:10" ht="15.75" customHeight="1">
      <c r="B46" s="1541">
        <v>1.3</v>
      </c>
      <c r="C46" s="1519" t="s">
        <v>3</v>
      </c>
      <c r="D46" s="1520" t="s">
        <v>3200</v>
      </c>
      <c r="E46" s="1394">
        <v>0.6</v>
      </c>
      <c r="F46" s="1394">
        <v>3200</v>
      </c>
      <c r="G46" s="1394">
        <f t="shared" si="1"/>
        <v>1920</v>
      </c>
      <c r="H46" s="1394"/>
      <c r="I46" s="1409">
        <f t="shared" si="2"/>
        <v>0</v>
      </c>
      <c r="J46" s="1311"/>
    </row>
    <row r="47" spans="2:10" ht="15.75" customHeight="1">
      <c r="B47" s="1408"/>
      <c r="C47" s="1396" t="s">
        <v>1457</v>
      </c>
      <c r="D47" s="1394"/>
      <c r="E47" s="1394"/>
      <c r="F47" s="1394"/>
      <c r="G47" s="1394">
        <f t="shared" si="1"/>
        <v>0</v>
      </c>
      <c r="H47" s="1394"/>
      <c r="I47" s="1409">
        <f t="shared" si="2"/>
        <v>0</v>
      </c>
      <c r="J47" s="1311"/>
    </row>
    <row r="48" spans="2:10" ht="15.75" customHeight="1">
      <c r="B48" s="1408">
        <v>1.3</v>
      </c>
      <c r="C48" s="1396" t="s">
        <v>1456</v>
      </c>
      <c r="D48" s="1394" t="s">
        <v>3201</v>
      </c>
      <c r="E48" s="1394">
        <v>38</v>
      </c>
      <c r="F48" s="1394">
        <v>130</v>
      </c>
      <c r="G48" s="1394">
        <f t="shared" si="1"/>
        <v>4940</v>
      </c>
      <c r="H48" s="1394">
        <f>'Staff TOS'!H101+'SQ TOS '!D84</f>
        <v>43.680000000000007</v>
      </c>
      <c r="I48" s="1409">
        <f t="shared" si="2"/>
        <v>5678.4000000000005</v>
      </c>
      <c r="J48" s="1311"/>
    </row>
    <row r="49" spans="2:10" ht="15.75" customHeight="1">
      <c r="B49" s="1408">
        <v>1.4</v>
      </c>
      <c r="C49" s="1396" t="s">
        <v>1455</v>
      </c>
      <c r="D49" s="1394" t="s">
        <v>3201</v>
      </c>
      <c r="E49" s="1394">
        <v>60</v>
      </c>
      <c r="F49" s="1394">
        <v>130</v>
      </c>
      <c r="G49" s="1394">
        <f t="shared" si="1"/>
        <v>7800</v>
      </c>
      <c r="H49" s="1394">
        <f>'Staff TOS'!H114+'SQ TOS '!D97</f>
        <v>92.44</v>
      </c>
      <c r="I49" s="1409">
        <f t="shared" si="2"/>
        <v>12017.199999999999</v>
      </c>
      <c r="J49" s="1311"/>
    </row>
    <row r="50" spans="2:10" ht="15.75" customHeight="1">
      <c r="B50" s="1541">
        <v>1.6</v>
      </c>
      <c r="C50" s="1519" t="s">
        <v>3</v>
      </c>
      <c r="D50" s="1520" t="s">
        <v>3201</v>
      </c>
      <c r="E50" s="1394">
        <v>1.5</v>
      </c>
      <c r="F50" s="1394">
        <v>130</v>
      </c>
      <c r="G50" s="1394">
        <f t="shared" si="1"/>
        <v>195</v>
      </c>
      <c r="H50" s="1394"/>
      <c r="I50" s="1409">
        <f t="shared" si="2"/>
        <v>0</v>
      </c>
      <c r="J50" s="1311"/>
    </row>
    <row r="51" spans="2:10" ht="15.75" customHeight="1">
      <c r="B51" s="1408"/>
      <c r="C51" s="1396" t="s">
        <v>1454</v>
      </c>
      <c r="D51" s="1394"/>
      <c r="E51" s="1394"/>
      <c r="F51" s="1394"/>
      <c r="G51" s="1394"/>
      <c r="H51" s="1394"/>
      <c r="I51" s="1409"/>
      <c r="J51" s="1311"/>
    </row>
    <row r="52" spans="2:10" ht="15.75" customHeight="1">
      <c r="B52" s="1408">
        <v>1.5</v>
      </c>
      <c r="C52" s="1396" t="s">
        <v>1453</v>
      </c>
      <c r="D52" s="1394" t="s">
        <v>1450</v>
      </c>
      <c r="E52" s="1394" t="s">
        <v>1444</v>
      </c>
      <c r="F52" s="1394">
        <v>36</v>
      </c>
      <c r="G52" s="1394"/>
      <c r="H52" s="1394"/>
      <c r="I52" s="1409"/>
      <c r="J52" s="1311"/>
    </row>
    <row r="53" spans="2:10" ht="15.75" customHeight="1">
      <c r="B53" s="1408">
        <v>1.6</v>
      </c>
      <c r="C53" s="1396" t="s">
        <v>1452</v>
      </c>
      <c r="D53" s="1394" t="s">
        <v>1450</v>
      </c>
      <c r="E53" s="1394">
        <v>714</v>
      </c>
      <c r="F53" s="1394">
        <v>36</v>
      </c>
      <c r="G53" s="1394">
        <f t="shared" si="1"/>
        <v>25704</v>
      </c>
      <c r="H53" s="1394">
        <f>'Staff TOS'!D119+'SQ TOS '!D101</f>
        <v>996.9043200000001</v>
      </c>
      <c r="I53" s="1409">
        <f t="shared" si="2"/>
        <v>35888.555520000002</v>
      </c>
      <c r="J53" s="1311"/>
    </row>
    <row r="54" spans="2:10" ht="15.75" customHeight="1">
      <c r="B54" s="1408">
        <v>1.7</v>
      </c>
      <c r="C54" s="1396" t="s">
        <v>1532</v>
      </c>
      <c r="D54" s="1394" t="s">
        <v>1450</v>
      </c>
      <c r="E54" s="1394">
        <v>250</v>
      </c>
      <c r="F54" s="1394">
        <v>36</v>
      </c>
      <c r="G54" s="1394">
        <f t="shared" si="1"/>
        <v>9000</v>
      </c>
      <c r="H54" s="1394">
        <f>'Staff TOS'!D123+'SQ TOS '!D105</f>
        <v>317.46150000000006</v>
      </c>
      <c r="I54" s="1409">
        <f t="shared" si="2"/>
        <v>11428.614000000001</v>
      </c>
      <c r="J54" s="1311"/>
    </row>
    <row r="55" spans="2:10" ht="15.75" customHeight="1">
      <c r="B55" s="1421">
        <v>1.8</v>
      </c>
      <c r="C55" s="1422" t="s">
        <v>1529</v>
      </c>
      <c r="D55" s="1423" t="s">
        <v>1450</v>
      </c>
      <c r="E55" s="1423"/>
      <c r="F55" s="1423"/>
      <c r="G55" s="1423"/>
      <c r="H55" s="1423"/>
      <c r="I55" s="1424"/>
      <c r="J55" s="1311"/>
    </row>
    <row r="56" spans="2:10" ht="15.75" customHeight="1">
      <c r="B56" s="2088" t="s">
        <v>1330</v>
      </c>
      <c r="C56" s="2088"/>
      <c r="D56" s="2088"/>
      <c r="E56" s="1430"/>
      <c r="F56" s="1430"/>
      <c r="G56" s="1428">
        <f>SUM(G44:G54)</f>
        <v>68439</v>
      </c>
      <c r="H56" s="1428"/>
      <c r="I56" s="1428">
        <f>SUM(I44:I54)</f>
        <v>96769.56951999999</v>
      </c>
      <c r="J56" s="1311"/>
    </row>
    <row r="57" spans="2:10" ht="15.75" customHeight="1">
      <c r="B57" s="1425"/>
      <c r="C57" s="1431" t="s">
        <v>1449</v>
      </c>
      <c r="D57" s="1416"/>
      <c r="E57" s="1416"/>
      <c r="F57" s="1416"/>
      <c r="G57" s="1416"/>
      <c r="H57" s="1416"/>
      <c r="I57" s="1427"/>
      <c r="J57" s="1311"/>
    </row>
    <row r="58" spans="2:10" ht="15.75" customHeight="1">
      <c r="B58" s="1408">
        <v>2.1</v>
      </c>
      <c r="C58" s="1396" t="s">
        <v>1447</v>
      </c>
      <c r="D58" s="1394" t="s">
        <v>3201</v>
      </c>
      <c r="E58" s="1394">
        <v>305</v>
      </c>
      <c r="F58" s="1394">
        <v>350</v>
      </c>
      <c r="G58" s="1394">
        <f t="shared" si="1"/>
        <v>106750</v>
      </c>
      <c r="H58" s="1394">
        <f>'Staff TOS'!D151+'SQ TOS '!H75</f>
        <v>267.10679999999996</v>
      </c>
      <c r="I58" s="1409">
        <f t="shared" si="2"/>
        <v>93487.37999999999</v>
      </c>
      <c r="J58" s="1311"/>
    </row>
    <row r="59" spans="2:10" ht="15.75" customHeight="1">
      <c r="B59" s="1421">
        <v>2.2000000000000002</v>
      </c>
      <c r="C59" s="1422" t="s">
        <v>1446</v>
      </c>
      <c r="D59" s="1423" t="s">
        <v>3201</v>
      </c>
      <c r="E59" s="1423">
        <v>66</v>
      </c>
      <c r="F59" s="1423">
        <v>400</v>
      </c>
      <c r="G59" s="1423">
        <f t="shared" si="1"/>
        <v>26400</v>
      </c>
      <c r="H59" s="1423">
        <f>'Staff TOS'!D172+'SQ TOS '!H80</f>
        <v>111.18719999999999</v>
      </c>
      <c r="I59" s="1424">
        <f t="shared" si="2"/>
        <v>44474.879999999997</v>
      </c>
      <c r="J59" s="1311"/>
    </row>
    <row r="60" spans="2:10" ht="15.75" customHeight="1">
      <c r="B60" s="2088" t="s">
        <v>1330</v>
      </c>
      <c r="C60" s="2088"/>
      <c r="D60" s="2088"/>
      <c r="E60" s="1430"/>
      <c r="F60" s="1430"/>
      <c r="G60" s="1428">
        <f>SUM(G58:G59)</f>
        <v>133150</v>
      </c>
      <c r="H60" s="1428"/>
      <c r="I60" s="1428">
        <f>SUM(I58:I59)</f>
        <v>137962.25999999998</v>
      </c>
      <c r="J60" s="1311"/>
    </row>
    <row r="61" spans="2:10" ht="15.75" customHeight="1">
      <c r="B61" s="1425"/>
      <c r="C61" s="1426" t="s">
        <v>1443</v>
      </c>
      <c r="D61" s="1416"/>
      <c r="E61" s="1416"/>
      <c r="F61" s="1416"/>
      <c r="G61" s="1416"/>
      <c r="H61" s="1416"/>
      <c r="I61" s="1427"/>
      <c r="J61" s="1311"/>
    </row>
    <row r="62" spans="2:10" ht="15.75" customHeight="1">
      <c r="B62" s="1408">
        <v>3.1</v>
      </c>
      <c r="C62" s="1396" t="s">
        <v>1533</v>
      </c>
      <c r="D62" s="1394" t="s">
        <v>3201</v>
      </c>
      <c r="E62" s="1394">
        <v>162</v>
      </c>
      <c r="F62" s="1394">
        <v>360</v>
      </c>
      <c r="G62" s="1394">
        <f t="shared" si="1"/>
        <v>58320</v>
      </c>
      <c r="H62" s="1394">
        <f>'Staff TOS'!H121+'SQ TOS '!H86</f>
        <v>215.35999999999999</v>
      </c>
      <c r="I62" s="1409">
        <f t="shared" si="2"/>
        <v>77529.599999999991</v>
      </c>
      <c r="J62" s="1311"/>
    </row>
    <row r="63" spans="2:10" ht="13.5" customHeight="1">
      <c r="B63" s="1541">
        <v>3.2</v>
      </c>
      <c r="C63" s="1521" t="s">
        <v>1534</v>
      </c>
      <c r="D63" s="1520" t="s">
        <v>3201</v>
      </c>
      <c r="E63" s="1394">
        <v>16</v>
      </c>
      <c r="F63" s="1394">
        <v>160</v>
      </c>
      <c r="G63" s="1394">
        <f t="shared" si="1"/>
        <v>2560</v>
      </c>
      <c r="H63" s="1394">
        <f>'Staff TOS'!H130+'SQ TOS '!H92</f>
        <v>44</v>
      </c>
      <c r="I63" s="1409">
        <f t="shared" si="2"/>
        <v>7040</v>
      </c>
      <c r="J63" s="1311"/>
    </row>
    <row r="64" spans="2:10" ht="15.75" customHeight="1">
      <c r="B64" s="1541">
        <v>3.3</v>
      </c>
      <c r="C64" s="1522" t="s">
        <v>1439</v>
      </c>
      <c r="D64" s="1520" t="s">
        <v>1406</v>
      </c>
      <c r="E64" s="1394">
        <v>34</v>
      </c>
      <c r="F64" s="1394">
        <v>120</v>
      </c>
      <c r="G64" s="1394">
        <f t="shared" si="1"/>
        <v>4080</v>
      </c>
      <c r="H64" s="1394">
        <f>'Staff TOS'!H134+'SQ TOS '!H96</f>
        <v>52.2</v>
      </c>
      <c r="I64" s="1409">
        <f t="shared" si="2"/>
        <v>6264</v>
      </c>
      <c r="J64" s="1311"/>
    </row>
    <row r="65" spans="2:10" ht="15.75" customHeight="1">
      <c r="B65" s="1541">
        <v>3.4</v>
      </c>
      <c r="C65" s="1522" t="s">
        <v>1535</v>
      </c>
      <c r="D65" s="1520" t="s">
        <v>1406</v>
      </c>
      <c r="E65" s="1394">
        <v>48</v>
      </c>
      <c r="F65" s="1394">
        <v>110</v>
      </c>
      <c r="G65" s="1394">
        <f t="shared" si="1"/>
        <v>5280</v>
      </c>
      <c r="H65" s="1394"/>
      <c r="I65" s="1409">
        <f t="shared" si="2"/>
        <v>0</v>
      </c>
      <c r="J65" s="1311"/>
    </row>
    <row r="66" spans="2:10" ht="15.75" customHeight="1">
      <c r="B66" s="1421">
        <v>3.5</v>
      </c>
      <c r="C66" s="1422" t="s">
        <v>1536</v>
      </c>
      <c r="D66" s="1423" t="s">
        <v>1406</v>
      </c>
      <c r="E66" s="1423">
        <v>20</v>
      </c>
      <c r="F66" s="1423"/>
      <c r="G66" s="1423">
        <f t="shared" si="1"/>
        <v>0</v>
      </c>
      <c r="H66" s="1423">
        <f>'Staff TOS'!H138+'SQ TOS '!H103</f>
        <v>43.2</v>
      </c>
      <c r="I66" s="1424">
        <f t="shared" si="2"/>
        <v>0</v>
      </c>
      <c r="J66" s="1311"/>
    </row>
    <row r="67" spans="2:10" ht="15.75" customHeight="1">
      <c r="B67" s="2088" t="s">
        <v>1330</v>
      </c>
      <c r="C67" s="2088"/>
      <c r="D67" s="2088"/>
      <c r="E67" s="1430"/>
      <c r="F67" s="1430"/>
      <c r="G67" s="1428">
        <f>SUM(G62:G66)</f>
        <v>70240</v>
      </c>
      <c r="H67" s="1428"/>
      <c r="I67" s="1428">
        <f>SUM(I62:I66)</f>
        <v>90833.599999999991</v>
      </c>
      <c r="J67" s="1311"/>
    </row>
    <row r="68" spans="2:10" ht="15.75" customHeight="1">
      <c r="B68" s="1425"/>
      <c r="C68" s="1426" t="s">
        <v>1438</v>
      </c>
      <c r="D68" s="1416"/>
      <c r="E68" s="1416"/>
      <c r="F68" s="1416"/>
      <c r="G68" s="1416"/>
      <c r="H68" s="1416"/>
      <c r="I68" s="1427"/>
      <c r="J68" s="1311"/>
    </row>
    <row r="69" spans="2:10" ht="15.75" customHeight="1">
      <c r="B69" s="1408">
        <v>4.0999999999999996</v>
      </c>
      <c r="C69" s="1396" t="s">
        <v>1501</v>
      </c>
      <c r="D69" s="1394" t="s">
        <v>1406</v>
      </c>
      <c r="E69" s="1394">
        <v>232</v>
      </c>
      <c r="F69" s="1394">
        <v>23</v>
      </c>
      <c r="G69" s="1394">
        <f t="shared" si="1"/>
        <v>5336</v>
      </c>
      <c r="H69" s="1394">
        <f>'Staff TOS'!H148+'SQ TOS '!H110</f>
        <v>364.5</v>
      </c>
      <c r="I69" s="1409">
        <f t="shared" si="2"/>
        <v>8383.5</v>
      </c>
      <c r="J69" s="1311"/>
    </row>
    <row r="70" spans="2:10" ht="18" customHeight="1">
      <c r="B70" s="1408">
        <v>4.2</v>
      </c>
      <c r="C70" s="1400" t="s">
        <v>1537</v>
      </c>
      <c r="D70" s="1394" t="s">
        <v>1406</v>
      </c>
      <c r="E70" s="1394">
        <v>185</v>
      </c>
      <c r="F70" s="1394">
        <v>16</v>
      </c>
      <c r="G70" s="1394">
        <f t="shared" si="1"/>
        <v>2960</v>
      </c>
      <c r="H70" s="1394">
        <f>'Staff TOS'!H161+'SQ TOS '!H119</f>
        <v>298.5</v>
      </c>
      <c r="I70" s="1409">
        <f t="shared" si="2"/>
        <v>4776</v>
      </c>
      <c r="J70" s="1311"/>
    </row>
    <row r="71" spans="2:10" ht="15.75" customHeight="1">
      <c r="B71" s="1408">
        <v>4.3</v>
      </c>
      <c r="C71" s="1396" t="s">
        <v>1435</v>
      </c>
      <c r="D71" s="1394" t="s">
        <v>1406</v>
      </c>
      <c r="E71" s="1394">
        <v>210</v>
      </c>
      <c r="F71" s="1394">
        <v>33</v>
      </c>
      <c r="G71" s="1394">
        <f t="shared" si="1"/>
        <v>6930</v>
      </c>
      <c r="H71" s="1394">
        <f>'Staff TOS'!H161+'SQ TOS '!D132</f>
        <v>229.6</v>
      </c>
      <c r="I71" s="1409">
        <f t="shared" si="2"/>
        <v>7576.8</v>
      </c>
      <c r="J71" s="1311"/>
    </row>
    <row r="72" spans="2:10" ht="15.75" customHeight="1">
      <c r="B72" s="1421">
        <v>4.4000000000000004</v>
      </c>
      <c r="C72" s="1422" t="s">
        <v>1538</v>
      </c>
      <c r="D72" s="1423" t="s">
        <v>1406</v>
      </c>
      <c r="E72" s="1423">
        <v>70</v>
      </c>
      <c r="F72" s="1423">
        <v>71</v>
      </c>
      <c r="G72" s="1423">
        <f t="shared" si="1"/>
        <v>4970</v>
      </c>
      <c r="H72" s="1423">
        <f>'Staff TOS'!H170+'SQ TOS '!D132</f>
        <v>78.240000000000009</v>
      </c>
      <c r="I72" s="1424">
        <f t="shared" si="2"/>
        <v>5555.0400000000009</v>
      </c>
      <c r="J72" s="1311"/>
    </row>
    <row r="73" spans="2:10" ht="15.75" customHeight="1">
      <c r="B73" s="2088" t="s">
        <v>1330</v>
      </c>
      <c r="C73" s="2088"/>
      <c r="D73" s="2088"/>
      <c r="E73" s="1430"/>
      <c r="F73" s="1430"/>
      <c r="G73" s="1428">
        <f>SUM(G69:G72)</f>
        <v>20196</v>
      </c>
      <c r="H73" s="1428"/>
      <c r="I73" s="1428">
        <f>SUM(I69:I72)</f>
        <v>26291.34</v>
      </c>
      <c r="J73" s="1311"/>
    </row>
    <row r="74" spans="2:10" ht="15.75" customHeight="1">
      <c r="B74" s="1425"/>
      <c r="C74" s="1426" t="s">
        <v>1428</v>
      </c>
      <c r="D74" s="1416"/>
      <c r="E74" s="1416"/>
      <c r="F74" s="1416"/>
      <c r="G74" s="1416"/>
      <c r="H74" s="1416"/>
      <c r="I74" s="1427"/>
      <c r="J74" s="1311"/>
    </row>
    <row r="75" spans="2:10" ht="15.75" customHeight="1">
      <c r="B75" s="1410"/>
      <c r="C75" s="1396" t="s">
        <v>1427</v>
      </c>
      <c r="D75" s="1394"/>
      <c r="E75" s="1394"/>
      <c r="F75" s="1394"/>
      <c r="G75" s="1394"/>
      <c r="H75" s="1394"/>
      <c r="I75" s="1409"/>
      <c r="J75" s="1311"/>
    </row>
    <row r="76" spans="2:10" ht="15.75" customHeight="1">
      <c r="B76" s="1408">
        <v>5.0999999999999996</v>
      </c>
      <c r="C76" s="1396" t="s">
        <v>1810</v>
      </c>
      <c r="D76" s="1394" t="s">
        <v>1416</v>
      </c>
      <c r="E76" s="1394">
        <v>4</v>
      </c>
      <c r="F76" s="1523">
        <v>3892.5</v>
      </c>
      <c r="G76" s="1394">
        <f t="shared" ref="G76:G108" si="3">E76*F76</f>
        <v>15570</v>
      </c>
      <c r="H76" s="1394">
        <f>'SQ TOS '!D137</f>
        <v>4</v>
      </c>
      <c r="I76" s="1409">
        <f t="shared" ref="I76:I108" si="4">F76*H76</f>
        <v>15570</v>
      </c>
      <c r="J76" s="1311"/>
    </row>
    <row r="77" spans="2:10" ht="15.75" customHeight="1">
      <c r="B77" s="1408">
        <v>5.2</v>
      </c>
      <c r="C77" s="1396" t="s">
        <v>1811</v>
      </c>
      <c r="D77" s="1394" t="s">
        <v>1416</v>
      </c>
      <c r="E77" s="1394">
        <v>4</v>
      </c>
      <c r="F77" s="1523">
        <v>4671</v>
      </c>
      <c r="G77" s="1394">
        <f t="shared" si="3"/>
        <v>18684</v>
      </c>
      <c r="H77" s="1394">
        <f>'Staff TOS'!D178</f>
        <v>3</v>
      </c>
      <c r="I77" s="1409">
        <f t="shared" si="4"/>
        <v>14013</v>
      </c>
      <c r="J77" s="1311"/>
    </row>
    <row r="78" spans="2:10" ht="15.75" customHeight="1">
      <c r="B78" s="1408">
        <v>5.3</v>
      </c>
      <c r="C78" s="1396" t="s">
        <v>1812</v>
      </c>
      <c r="D78" s="1394" t="s">
        <v>1416</v>
      </c>
      <c r="E78" s="1394">
        <v>4</v>
      </c>
      <c r="F78" s="1523">
        <v>810</v>
      </c>
      <c r="G78" s="1394">
        <f t="shared" si="3"/>
        <v>3240</v>
      </c>
      <c r="H78" s="1394"/>
      <c r="I78" s="1409">
        <f t="shared" si="4"/>
        <v>0</v>
      </c>
      <c r="J78" s="1311"/>
    </row>
    <row r="79" spans="2:10" ht="15.75" customHeight="1">
      <c r="B79" s="1408">
        <v>5.4</v>
      </c>
      <c r="C79" s="1396" t="s">
        <v>1813</v>
      </c>
      <c r="D79" s="1394"/>
      <c r="E79" s="1394"/>
      <c r="F79" s="1523">
        <v>2595</v>
      </c>
      <c r="G79" s="1394">
        <f t="shared" si="3"/>
        <v>0</v>
      </c>
      <c r="H79" s="1394"/>
      <c r="I79" s="1409">
        <f t="shared" si="4"/>
        <v>0</v>
      </c>
      <c r="J79" s="1311"/>
    </row>
    <row r="80" spans="2:10" ht="15.75" customHeight="1">
      <c r="B80" s="1408"/>
      <c r="C80" s="1396" t="s">
        <v>1420</v>
      </c>
      <c r="D80" s="1394" t="s">
        <v>1416</v>
      </c>
      <c r="E80" s="1394">
        <v>4</v>
      </c>
      <c r="F80" s="1523"/>
      <c r="G80" s="1394"/>
      <c r="H80" s="1394"/>
      <c r="I80" s="1409">
        <f t="shared" si="4"/>
        <v>0</v>
      </c>
      <c r="J80" s="1311"/>
    </row>
    <row r="81" spans="2:10" ht="15.75" customHeight="1">
      <c r="B81" s="1421">
        <v>5.5</v>
      </c>
      <c r="C81" s="1422" t="s">
        <v>1814</v>
      </c>
      <c r="D81" s="1423" t="s">
        <v>1416</v>
      </c>
      <c r="E81" s="1423">
        <v>4</v>
      </c>
      <c r="F81" s="1537">
        <v>3685.5</v>
      </c>
      <c r="G81" s="1423">
        <f t="shared" si="3"/>
        <v>14742</v>
      </c>
      <c r="H81" s="1423">
        <f>'Staff TOS'!D182</f>
        <v>4</v>
      </c>
      <c r="I81" s="1424">
        <f t="shared" si="4"/>
        <v>14742</v>
      </c>
      <c r="J81" s="1311"/>
    </row>
    <row r="82" spans="2:10" ht="15.75" customHeight="1">
      <c r="B82" s="2088" t="s">
        <v>1330</v>
      </c>
      <c r="C82" s="2088"/>
      <c r="D82" s="2088"/>
      <c r="E82" s="1430"/>
      <c r="F82" s="1538"/>
      <c r="G82" s="1428">
        <f>SUM(G76:G81)</f>
        <v>52236</v>
      </c>
      <c r="H82" s="1428"/>
      <c r="I82" s="1428">
        <f>SUM(I76:I81)</f>
        <v>44325</v>
      </c>
      <c r="J82" s="1311"/>
    </row>
    <row r="83" spans="2:10" ht="15.75" customHeight="1">
      <c r="B83" s="1425"/>
      <c r="C83" s="1426" t="s">
        <v>1415</v>
      </c>
      <c r="D83" s="1416"/>
      <c r="E83" s="1416"/>
      <c r="F83" s="1533"/>
      <c r="G83" s="1416"/>
      <c r="H83" s="1416"/>
      <c r="I83" s="1427"/>
      <c r="J83" s="1311"/>
    </row>
    <row r="84" spans="2:10" ht="15.75" customHeight="1">
      <c r="B84" s="1541">
        <v>6.1</v>
      </c>
      <c r="C84" s="1519" t="s">
        <v>1414</v>
      </c>
      <c r="D84" s="1520" t="s">
        <v>3201</v>
      </c>
      <c r="E84" s="1394">
        <v>105</v>
      </c>
      <c r="F84" s="1523">
        <v>140</v>
      </c>
      <c r="G84" s="1394">
        <f t="shared" si="3"/>
        <v>14700</v>
      </c>
      <c r="H84" s="1394">
        <f>'Staff TOS'!D210+'SQ TOS '!D164</f>
        <v>223.44799999999998</v>
      </c>
      <c r="I84" s="1409">
        <f t="shared" si="4"/>
        <v>31282.719999999998</v>
      </c>
      <c r="J84" s="1311"/>
    </row>
    <row r="85" spans="2:10" ht="15.75" customHeight="1">
      <c r="B85" s="1541">
        <v>6.2</v>
      </c>
      <c r="C85" s="1524" t="s">
        <v>1539</v>
      </c>
      <c r="D85" s="1520" t="s">
        <v>3201</v>
      </c>
      <c r="E85" s="1394">
        <v>610</v>
      </c>
      <c r="F85" s="1523">
        <v>150</v>
      </c>
      <c r="G85" s="1394">
        <f t="shared" si="3"/>
        <v>91500</v>
      </c>
      <c r="H85" s="1394">
        <f>'Staff TOS'!H210+'SQ TOS '!H137</f>
        <v>412.14440000000002</v>
      </c>
      <c r="I85" s="1409">
        <f t="shared" si="4"/>
        <v>61821.66</v>
      </c>
      <c r="J85" s="1311"/>
    </row>
    <row r="86" spans="2:10" ht="15.75" customHeight="1">
      <c r="B86" s="1541">
        <v>6.4</v>
      </c>
      <c r="C86" s="1519" t="s">
        <v>1412</v>
      </c>
      <c r="D86" s="1520" t="s">
        <v>3201</v>
      </c>
      <c r="E86" s="1394">
        <v>97</v>
      </c>
      <c r="F86" s="1523">
        <v>310</v>
      </c>
      <c r="G86" s="1394">
        <f t="shared" si="3"/>
        <v>30070</v>
      </c>
      <c r="H86" s="1394">
        <f>'Staff TOS'!H231+'SQ TOS '!H142</f>
        <v>137.21039999999999</v>
      </c>
      <c r="I86" s="1409">
        <f t="shared" si="4"/>
        <v>42535.223999999995</v>
      </c>
      <c r="J86" s="1311"/>
    </row>
    <row r="87" spans="2:10" ht="19.5" customHeight="1">
      <c r="B87" s="1408">
        <v>6.6</v>
      </c>
      <c r="C87" s="1400" t="s">
        <v>1411</v>
      </c>
      <c r="D87" s="1394" t="s">
        <v>3201</v>
      </c>
      <c r="E87" s="1394">
        <v>45</v>
      </c>
      <c r="F87" s="1523">
        <v>370</v>
      </c>
      <c r="G87" s="1394">
        <f t="shared" si="3"/>
        <v>16650</v>
      </c>
      <c r="H87" s="1394"/>
      <c r="I87" s="1409">
        <f t="shared" si="4"/>
        <v>0</v>
      </c>
      <c r="J87" s="1311"/>
    </row>
    <row r="88" spans="2:10" ht="15" customHeight="1">
      <c r="B88" s="1410">
        <v>6.12</v>
      </c>
      <c r="C88" s="1396" t="s">
        <v>1540</v>
      </c>
      <c r="D88" s="1394" t="s">
        <v>3201</v>
      </c>
      <c r="E88" s="1394">
        <v>97</v>
      </c>
      <c r="F88" s="1523">
        <v>320</v>
      </c>
      <c r="G88" s="1394">
        <f t="shared" si="3"/>
        <v>31040</v>
      </c>
      <c r="H88" s="1394">
        <f>'Staff TOS'!D265+'SQ TOS '!H151</f>
        <v>137.8904</v>
      </c>
      <c r="I88" s="1409">
        <f t="shared" si="4"/>
        <v>44124.928</v>
      </c>
      <c r="J88" s="1311"/>
    </row>
    <row r="89" spans="2:10" ht="15" customHeight="1">
      <c r="B89" s="1410">
        <v>6.13</v>
      </c>
      <c r="C89" s="1400" t="s">
        <v>1409</v>
      </c>
      <c r="D89" s="1394" t="s">
        <v>1406</v>
      </c>
      <c r="E89" s="1394">
        <v>45</v>
      </c>
      <c r="F89" s="1523">
        <v>100</v>
      </c>
      <c r="G89" s="1394">
        <f t="shared" si="3"/>
        <v>4500</v>
      </c>
      <c r="H89" s="1394">
        <f>'Staff TOS'!D275+'SQ TOS '!H156</f>
        <v>121.03999999999999</v>
      </c>
      <c r="I89" s="1409">
        <f t="shared" si="4"/>
        <v>12104</v>
      </c>
      <c r="J89" s="1311"/>
    </row>
    <row r="90" spans="2:10" ht="17.25" customHeight="1">
      <c r="B90" s="1542">
        <v>6.16</v>
      </c>
      <c r="C90" s="1525" t="s">
        <v>1510</v>
      </c>
      <c r="D90" s="1394" t="s">
        <v>1406</v>
      </c>
      <c r="E90" s="1394">
        <v>23</v>
      </c>
      <c r="F90" s="1523">
        <v>150</v>
      </c>
      <c r="G90" s="1394">
        <f t="shared" si="3"/>
        <v>3450</v>
      </c>
      <c r="H90" s="1394">
        <f>'Staff TOS'!D285+'SQ TOS '!H160</f>
        <v>21.2</v>
      </c>
      <c r="I90" s="1409">
        <f t="shared" si="4"/>
        <v>3180</v>
      </c>
      <c r="J90" s="1311"/>
    </row>
    <row r="91" spans="2:10" ht="15.75" customHeight="1">
      <c r="B91" s="1410">
        <v>6.17</v>
      </c>
      <c r="C91" s="1396" t="s">
        <v>1541</v>
      </c>
      <c r="D91" s="1394" t="s">
        <v>1406</v>
      </c>
      <c r="E91" s="1394">
        <v>5</v>
      </c>
      <c r="F91" s="1523"/>
      <c r="G91" s="1394">
        <f t="shared" si="3"/>
        <v>0</v>
      </c>
      <c r="H91" s="1394"/>
      <c r="I91" s="1409">
        <f t="shared" si="4"/>
        <v>0</v>
      </c>
      <c r="J91" s="1311"/>
    </row>
    <row r="92" spans="2:10" ht="15.75" customHeight="1">
      <c r="B92" s="1410">
        <v>6.18</v>
      </c>
      <c r="C92" s="1396" t="s">
        <v>1542</v>
      </c>
      <c r="D92" s="1394" t="s">
        <v>1406</v>
      </c>
      <c r="E92" s="1394">
        <v>5</v>
      </c>
      <c r="F92" s="1523"/>
      <c r="G92" s="1394">
        <f t="shared" si="3"/>
        <v>0</v>
      </c>
      <c r="H92" s="1394"/>
      <c r="I92" s="1409">
        <f t="shared" si="4"/>
        <v>0</v>
      </c>
      <c r="J92" s="1311"/>
    </row>
    <row r="93" spans="2:10" ht="18" customHeight="1">
      <c r="B93" s="1542">
        <v>6.21</v>
      </c>
      <c r="C93" s="1525" t="s">
        <v>1511</v>
      </c>
      <c r="D93" s="1394" t="s">
        <v>3201</v>
      </c>
      <c r="E93" s="1394">
        <v>66</v>
      </c>
      <c r="F93" s="1523">
        <v>550</v>
      </c>
      <c r="G93" s="1394">
        <f t="shared" si="3"/>
        <v>36300</v>
      </c>
      <c r="H93" s="1394">
        <f>'Staff TOS'!H247</f>
        <v>62.359999999999992</v>
      </c>
      <c r="I93" s="1409">
        <f t="shared" si="4"/>
        <v>34297.999999999993</v>
      </c>
      <c r="J93" s="1311"/>
    </row>
    <row r="94" spans="2:10" ht="18" customHeight="1">
      <c r="B94" s="1542">
        <v>6.21</v>
      </c>
      <c r="C94" s="1526" t="s">
        <v>1543</v>
      </c>
      <c r="D94" s="1520" t="s">
        <v>1402</v>
      </c>
      <c r="E94" s="1394">
        <v>64</v>
      </c>
      <c r="F94" s="1523">
        <v>100</v>
      </c>
      <c r="G94" s="1394">
        <f t="shared" si="3"/>
        <v>6400</v>
      </c>
      <c r="H94" s="1394">
        <f>'Staff TOS'!H257</f>
        <v>59.6</v>
      </c>
      <c r="I94" s="1409">
        <f t="shared" si="4"/>
        <v>5960</v>
      </c>
      <c r="J94" s="1311"/>
    </row>
    <row r="95" spans="2:10" ht="18.75" customHeight="1">
      <c r="B95" s="1543">
        <v>6.21</v>
      </c>
      <c r="C95" s="1536" t="s">
        <v>1544</v>
      </c>
      <c r="D95" s="1530" t="s">
        <v>1402</v>
      </c>
      <c r="E95" s="1423">
        <v>64</v>
      </c>
      <c r="F95" s="1537">
        <v>265</v>
      </c>
      <c r="G95" s="1423">
        <f t="shared" si="3"/>
        <v>16960</v>
      </c>
      <c r="H95" s="1423"/>
      <c r="I95" s="1424">
        <f t="shared" si="4"/>
        <v>0</v>
      </c>
      <c r="J95" s="1311"/>
    </row>
    <row r="96" spans="2:10" ht="15.75" customHeight="1">
      <c r="B96" s="2088" t="s">
        <v>1330</v>
      </c>
      <c r="C96" s="2088"/>
      <c r="D96" s="2088"/>
      <c r="E96" s="1430"/>
      <c r="F96" s="1430"/>
      <c r="G96" s="1428">
        <f>SUM(G84:G95)</f>
        <v>251570</v>
      </c>
      <c r="H96" s="1428"/>
      <c r="I96" s="1428">
        <f>SUM(I84:I95)</f>
        <v>235306.53200000001</v>
      </c>
      <c r="J96" s="1311"/>
    </row>
    <row r="97" spans="2:10" ht="15.75" customHeight="1">
      <c r="B97" s="1425"/>
      <c r="C97" s="1426" t="s">
        <v>1401</v>
      </c>
      <c r="D97" s="1416"/>
      <c r="E97" s="1416"/>
      <c r="F97" s="1416"/>
      <c r="G97" s="1416"/>
      <c r="H97" s="1416"/>
      <c r="I97" s="1427"/>
      <c r="J97" s="1311"/>
    </row>
    <row r="98" spans="2:10" ht="15.75" customHeight="1">
      <c r="B98" s="1408">
        <v>7.1</v>
      </c>
      <c r="C98" s="1519" t="s">
        <v>1398</v>
      </c>
      <c r="D98" s="1394" t="s">
        <v>3201</v>
      </c>
      <c r="E98" s="1394">
        <v>105</v>
      </c>
      <c r="F98" s="1394">
        <f>28*2/3</f>
        <v>18.666666666666668</v>
      </c>
      <c r="G98" s="1394">
        <f t="shared" si="3"/>
        <v>1960.0000000000002</v>
      </c>
      <c r="H98" s="1394">
        <f>'Staff TOS'!H261+'SQ TOS '!H164</f>
        <v>223.44799999999998</v>
      </c>
      <c r="I98" s="1409">
        <f t="shared" si="4"/>
        <v>4171.0293333333329</v>
      </c>
      <c r="J98" s="1311"/>
    </row>
    <row r="99" spans="2:10" ht="15.75" customHeight="1">
      <c r="B99" s="1541">
        <v>7.1</v>
      </c>
      <c r="C99" s="1519" t="s">
        <v>1400</v>
      </c>
      <c r="D99" s="1394" t="s">
        <v>3201</v>
      </c>
      <c r="E99" s="1394">
        <v>610</v>
      </c>
      <c r="F99" s="1394">
        <f t="shared" ref="F99:F100" si="5">28*2/3</f>
        <v>18.666666666666668</v>
      </c>
      <c r="G99" s="1394">
        <f t="shared" si="3"/>
        <v>11386.666666666668</v>
      </c>
      <c r="H99" s="1394">
        <f>'Staff TOS'!H265</f>
        <v>237.03640000000001</v>
      </c>
      <c r="I99" s="1409">
        <f t="shared" si="4"/>
        <v>4424.6794666666674</v>
      </c>
      <c r="J99" s="1311"/>
    </row>
    <row r="100" spans="2:10" ht="15.75" customHeight="1">
      <c r="B100" s="1421">
        <v>7.3</v>
      </c>
      <c r="C100" s="1535" t="s">
        <v>1399</v>
      </c>
      <c r="D100" s="1423" t="s">
        <v>3201</v>
      </c>
      <c r="E100" s="1423">
        <v>97</v>
      </c>
      <c r="F100" s="1423">
        <f t="shared" si="5"/>
        <v>18.666666666666668</v>
      </c>
      <c r="G100" s="1423">
        <f t="shared" si="3"/>
        <v>1810.6666666666667</v>
      </c>
      <c r="H100" s="1423">
        <f>'Staff TOS'!H268</f>
        <v>91.850400000000008</v>
      </c>
      <c r="I100" s="1424">
        <f t="shared" si="4"/>
        <v>1714.5408000000002</v>
      </c>
      <c r="J100" s="1311"/>
    </row>
    <row r="101" spans="2:10" ht="15.75" customHeight="1">
      <c r="B101" s="2088" t="s">
        <v>1330</v>
      </c>
      <c r="C101" s="2088"/>
      <c r="D101" s="2088"/>
      <c r="E101" s="1430"/>
      <c r="F101" s="1430"/>
      <c r="G101" s="1428">
        <f>SUM(G98:G100)</f>
        <v>15157.333333333334</v>
      </c>
      <c r="H101" s="1428"/>
      <c r="I101" s="1428">
        <f>SUM(I98:I100)</f>
        <v>10310.249600000001</v>
      </c>
      <c r="J101" s="1311"/>
    </row>
    <row r="102" spans="2:10" ht="15.75" customHeight="1">
      <c r="B102" s="1544"/>
      <c r="C102" s="1426" t="s">
        <v>1395</v>
      </c>
      <c r="D102" s="1416"/>
      <c r="E102" s="1416"/>
      <c r="F102" s="1416"/>
      <c r="G102" s="1416"/>
      <c r="H102" s="1416"/>
      <c r="I102" s="1427"/>
      <c r="J102" s="1311"/>
    </row>
    <row r="103" spans="2:10" ht="15.75" customHeight="1">
      <c r="B103" s="1408">
        <v>9.1</v>
      </c>
      <c r="C103" s="1396" t="s">
        <v>1545</v>
      </c>
      <c r="D103" s="1394"/>
      <c r="E103" s="1394"/>
      <c r="F103" s="1394"/>
      <c r="G103" s="1394"/>
      <c r="H103" s="1394"/>
      <c r="I103" s="1409"/>
      <c r="J103" s="1311"/>
    </row>
    <row r="104" spans="2:10" ht="15.75" customHeight="1">
      <c r="B104" s="1410"/>
      <c r="C104" s="1396" t="s">
        <v>1391</v>
      </c>
      <c r="D104" s="1394" t="s">
        <v>1370</v>
      </c>
      <c r="E104" s="1394">
        <v>90</v>
      </c>
      <c r="F104" s="1394">
        <v>40</v>
      </c>
      <c r="G104" s="1394">
        <f t="shared" si="3"/>
        <v>3600</v>
      </c>
      <c r="H104" s="1394"/>
      <c r="I104" s="1409">
        <f>F104*H104</f>
        <v>0</v>
      </c>
      <c r="J104" s="1311"/>
    </row>
    <row r="105" spans="2:10" ht="15.75" customHeight="1">
      <c r="B105" s="1410"/>
      <c r="C105" s="1396" t="s">
        <v>1390</v>
      </c>
      <c r="D105" s="1394" t="s">
        <v>1370</v>
      </c>
      <c r="E105" s="1394">
        <v>20</v>
      </c>
      <c r="F105" s="1394">
        <v>50</v>
      </c>
      <c r="G105" s="1394">
        <f t="shared" si="3"/>
        <v>1000</v>
      </c>
      <c r="H105" s="1394"/>
      <c r="I105" s="1409">
        <f>F105*H105</f>
        <v>0</v>
      </c>
      <c r="J105" s="1311"/>
    </row>
    <row r="106" spans="2:10" ht="15.75" customHeight="1">
      <c r="B106" s="1408"/>
      <c r="C106" s="1396" t="s">
        <v>1549</v>
      </c>
      <c r="D106" s="1394" t="s">
        <v>1370</v>
      </c>
      <c r="E106" s="1394">
        <v>15</v>
      </c>
      <c r="F106" s="1394">
        <v>6</v>
      </c>
      <c r="G106" s="1394">
        <f t="shared" si="3"/>
        <v>90</v>
      </c>
      <c r="H106" s="1394">
        <f>'Staff TOS'!H275</f>
        <v>9.44</v>
      </c>
      <c r="I106" s="1409">
        <f t="shared" si="4"/>
        <v>56.64</v>
      </c>
      <c r="J106" s="1311"/>
    </row>
    <row r="107" spans="2:10" ht="15.75" customHeight="1">
      <c r="B107" s="1408"/>
      <c r="C107" s="1396" t="s">
        <v>1550</v>
      </c>
      <c r="D107" s="1394" t="s">
        <v>1370</v>
      </c>
      <c r="E107" s="1394">
        <v>6</v>
      </c>
      <c r="F107" s="1394">
        <v>95</v>
      </c>
      <c r="G107" s="1394">
        <f t="shared" si="3"/>
        <v>570</v>
      </c>
      <c r="H107" s="1394">
        <f>'Staff TOS'!H279</f>
        <v>30.8</v>
      </c>
      <c r="I107" s="1409">
        <f t="shared" si="4"/>
        <v>2926</v>
      </c>
      <c r="J107" s="1311"/>
    </row>
    <row r="108" spans="2:10" ht="15.75" customHeight="1">
      <c r="B108" s="1421"/>
      <c r="C108" s="1422" t="s">
        <v>1551</v>
      </c>
      <c r="D108" s="1423" t="s">
        <v>1370</v>
      </c>
      <c r="E108" s="1423">
        <v>10</v>
      </c>
      <c r="F108" s="1423">
        <v>125</v>
      </c>
      <c r="G108" s="1423">
        <f t="shared" si="3"/>
        <v>1250</v>
      </c>
      <c r="H108" s="1423">
        <f>'Staff TOS'!H283</f>
        <v>9.1999999999999993</v>
      </c>
      <c r="I108" s="1424">
        <f t="shared" si="4"/>
        <v>1150</v>
      </c>
      <c r="J108" s="1311"/>
    </row>
    <row r="109" spans="2:10" ht="15.75" customHeight="1">
      <c r="B109" s="2088" t="s">
        <v>1330</v>
      </c>
      <c r="C109" s="2088"/>
      <c r="D109" s="2088"/>
      <c r="E109" s="1430"/>
      <c r="F109" s="1430"/>
      <c r="G109" s="1428">
        <f>SUM(G104:G108)</f>
        <v>6510</v>
      </c>
      <c r="H109" s="1428"/>
      <c r="I109" s="1428">
        <f>SUM(I104:I108)</f>
        <v>4132.6399999999994</v>
      </c>
      <c r="J109" s="1311"/>
    </row>
    <row r="110" spans="2:10" s="1516" customFormat="1" ht="15.75" customHeight="1">
      <c r="B110" s="1545"/>
      <c r="C110" s="1534" t="s">
        <v>1561</v>
      </c>
      <c r="D110" s="1533"/>
      <c r="E110" s="1533"/>
      <c r="F110" s="1533"/>
      <c r="G110" s="1416"/>
      <c r="H110" s="1416"/>
      <c r="I110" s="1427"/>
    </row>
    <row r="111" spans="2:10" s="1516" customFormat="1" ht="15.75" customHeight="1">
      <c r="B111" s="1542">
        <v>4</v>
      </c>
      <c r="C111" s="1527" t="s">
        <v>1366</v>
      </c>
      <c r="D111" s="1528"/>
      <c r="E111" s="1528"/>
      <c r="F111" s="1520"/>
      <c r="G111" s="1394"/>
      <c r="H111" s="1394"/>
      <c r="I111" s="1409"/>
    </row>
    <row r="112" spans="2:10" s="1516" customFormat="1" ht="15.75" customHeight="1">
      <c r="B112" s="1542">
        <v>4.01</v>
      </c>
      <c r="C112" s="1527" t="s">
        <v>3202</v>
      </c>
      <c r="D112" s="1528" t="s">
        <v>1332</v>
      </c>
      <c r="E112" s="1528">
        <v>24</v>
      </c>
      <c r="F112" s="1520">
        <v>400</v>
      </c>
      <c r="G112" s="1394">
        <f t="shared" ref="G112:G133" si="6">E112*F112</f>
        <v>9600</v>
      </c>
      <c r="H112" s="1394">
        <f>'Staff TOS'!D297+'SQ TOS '!H170</f>
        <v>36</v>
      </c>
      <c r="I112" s="1409">
        <f t="shared" ref="I112:I133" si="7">F112*H112</f>
        <v>14400</v>
      </c>
    </row>
    <row r="113" spans="2:9" s="1516" customFormat="1" ht="15.75" customHeight="1">
      <c r="B113" s="1542">
        <v>5</v>
      </c>
      <c r="C113" s="1527" t="s">
        <v>1365</v>
      </c>
      <c r="D113" s="1528"/>
      <c r="E113" s="1528"/>
      <c r="F113" s="1520"/>
      <c r="G113" s="1394"/>
      <c r="H113" s="1394"/>
      <c r="I113" s="1409"/>
    </row>
    <row r="114" spans="2:9" s="1516" customFormat="1" ht="15.75" customHeight="1">
      <c r="B114" s="1542">
        <v>5.01</v>
      </c>
      <c r="C114" s="1527" t="s">
        <v>1364</v>
      </c>
      <c r="D114" s="1528" t="s">
        <v>1332</v>
      </c>
      <c r="E114" s="1528">
        <v>12</v>
      </c>
      <c r="F114" s="1520">
        <v>60</v>
      </c>
      <c r="G114" s="1394">
        <f t="shared" si="6"/>
        <v>720</v>
      </c>
      <c r="H114" s="1394">
        <f>'Staff TOS'!D302</f>
        <v>8</v>
      </c>
      <c r="I114" s="1409">
        <f t="shared" si="7"/>
        <v>480</v>
      </c>
    </row>
    <row r="115" spans="2:9" s="1516" customFormat="1" ht="15.75" customHeight="1">
      <c r="B115" s="1542">
        <v>5.0199999999999996</v>
      </c>
      <c r="C115" s="1527" t="s">
        <v>1362</v>
      </c>
      <c r="D115" s="1528" t="s">
        <v>1360</v>
      </c>
      <c r="E115" s="1528">
        <v>16</v>
      </c>
      <c r="F115" s="1520">
        <v>60</v>
      </c>
      <c r="G115" s="1394">
        <f t="shared" si="6"/>
        <v>960</v>
      </c>
      <c r="H115" s="1394">
        <f>'Staff TOS'!D306</f>
        <v>16</v>
      </c>
      <c r="I115" s="1409">
        <f t="shared" si="7"/>
        <v>960</v>
      </c>
    </row>
    <row r="116" spans="2:9" s="1516" customFormat="1" ht="15.75" customHeight="1">
      <c r="B116" s="1542">
        <v>5.03</v>
      </c>
      <c r="C116" s="1527" t="s">
        <v>1361</v>
      </c>
      <c r="D116" s="1528" t="s">
        <v>1360</v>
      </c>
      <c r="E116" s="1528">
        <v>4</v>
      </c>
      <c r="F116" s="1520">
        <v>60</v>
      </c>
      <c r="G116" s="1394">
        <f t="shared" si="6"/>
        <v>240</v>
      </c>
      <c r="H116" s="1394">
        <f>'Staff TOS'!D310</f>
        <v>4</v>
      </c>
      <c r="I116" s="1409">
        <f t="shared" si="7"/>
        <v>240</v>
      </c>
    </row>
    <row r="117" spans="2:9" s="1516" customFormat="1" ht="15.75" customHeight="1">
      <c r="B117" s="1542">
        <v>6</v>
      </c>
      <c r="C117" s="1527" t="s">
        <v>1359</v>
      </c>
      <c r="D117" s="1528"/>
      <c r="E117" s="1528"/>
      <c r="F117" s="1520"/>
      <c r="G117" s="1394"/>
      <c r="H117" s="1394"/>
      <c r="I117" s="1409"/>
    </row>
    <row r="118" spans="2:9" s="1516" customFormat="1" ht="15.75" customHeight="1">
      <c r="B118" s="1542">
        <v>6.01</v>
      </c>
      <c r="C118" s="1527" t="s">
        <v>1358</v>
      </c>
      <c r="D118" s="1528" t="s">
        <v>1332</v>
      </c>
      <c r="E118" s="1528">
        <v>16</v>
      </c>
      <c r="F118" s="1520">
        <v>260</v>
      </c>
      <c r="G118" s="1394">
        <f t="shared" si="6"/>
        <v>4160</v>
      </c>
      <c r="H118" s="1394">
        <f>'Staff TOS'!D315</f>
        <v>4</v>
      </c>
      <c r="I118" s="1409">
        <f t="shared" si="7"/>
        <v>1040</v>
      </c>
    </row>
    <row r="119" spans="2:9" s="1516" customFormat="1" ht="15.75" customHeight="1">
      <c r="B119" s="1542">
        <v>6.02</v>
      </c>
      <c r="C119" s="1527" t="s">
        <v>1563</v>
      </c>
      <c r="D119" s="1528" t="s">
        <v>1332</v>
      </c>
      <c r="E119" s="1528">
        <v>4</v>
      </c>
      <c r="F119" s="1520">
        <v>280</v>
      </c>
      <c r="G119" s="1394">
        <f t="shared" si="6"/>
        <v>1120</v>
      </c>
      <c r="H119" s="1394"/>
      <c r="I119" s="1409">
        <f t="shared" si="7"/>
        <v>0</v>
      </c>
    </row>
    <row r="120" spans="2:9" s="1516" customFormat="1" ht="15.75" customHeight="1">
      <c r="B120" s="1542">
        <v>6.05</v>
      </c>
      <c r="C120" s="1527" t="s">
        <v>1564</v>
      </c>
      <c r="D120" s="1528" t="s">
        <v>1332</v>
      </c>
      <c r="E120" s="1528">
        <v>8</v>
      </c>
      <c r="F120" s="1520">
        <v>750</v>
      </c>
      <c r="G120" s="1394">
        <f t="shared" si="6"/>
        <v>6000</v>
      </c>
      <c r="H120" s="1394"/>
      <c r="I120" s="1409">
        <f t="shared" si="7"/>
        <v>0</v>
      </c>
    </row>
    <row r="121" spans="2:9" s="1516" customFormat="1" ht="15.75" customHeight="1">
      <c r="B121" s="1542">
        <v>7</v>
      </c>
      <c r="C121" s="1527" t="s">
        <v>1356</v>
      </c>
      <c r="D121" s="1528"/>
      <c r="E121" s="1528"/>
      <c r="F121" s="1520"/>
      <c r="G121" s="1394"/>
      <c r="H121" s="1394"/>
      <c r="I121" s="1409"/>
    </row>
    <row r="122" spans="2:9" s="1516" customFormat="1" ht="15.75" customHeight="1">
      <c r="B122" s="1542">
        <v>7.01</v>
      </c>
      <c r="C122" s="1527" t="s">
        <v>1355</v>
      </c>
      <c r="D122" s="1528" t="s">
        <v>1332</v>
      </c>
      <c r="E122" s="1528">
        <v>16</v>
      </c>
      <c r="F122" s="1520">
        <v>40</v>
      </c>
      <c r="G122" s="1394">
        <f t="shared" si="6"/>
        <v>640</v>
      </c>
      <c r="H122" s="1394">
        <f>'Staff TOS'!D320</f>
        <v>24</v>
      </c>
      <c r="I122" s="1409">
        <f t="shared" si="7"/>
        <v>960</v>
      </c>
    </row>
    <row r="123" spans="2:9" s="1516" customFormat="1" ht="15.75" customHeight="1">
      <c r="B123" s="1542">
        <v>7.02</v>
      </c>
      <c r="C123" s="1527" t="s">
        <v>1354</v>
      </c>
      <c r="D123" s="1528" t="s">
        <v>1332</v>
      </c>
      <c r="E123" s="1528">
        <v>4</v>
      </c>
      <c r="F123" s="1520">
        <v>100</v>
      </c>
      <c r="G123" s="1394">
        <f t="shared" si="6"/>
        <v>400</v>
      </c>
      <c r="H123" s="1394"/>
      <c r="I123" s="1409">
        <f t="shared" si="7"/>
        <v>0</v>
      </c>
    </row>
    <row r="124" spans="2:9" s="1516" customFormat="1" ht="15.75" customHeight="1">
      <c r="B124" s="1542">
        <v>7.03</v>
      </c>
      <c r="C124" s="1527" t="s">
        <v>1565</v>
      </c>
      <c r="D124" s="1528" t="s">
        <v>1332</v>
      </c>
      <c r="E124" s="1528">
        <v>4</v>
      </c>
      <c r="F124" s="1520">
        <v>220</v>
      </c>
      <c r="G124" s="1394">
        <f t="shared" si="6"/>
        <v>880</v>
      </c>
      <c r="H124" s="1394"/>
      <c r="I124" s="1409">
        <f t="shared" si="7"/>
        <v>0</v>
      </c>
    </row>
    <row r="125" spans="2:9" s="1516" customFormat="1" ht="15.75" customHeight="1">
      <c r="B125" s="1542">
        <v>8</v>
      </c>
      <c r="C125" s="1527" t="s">
        <v>1334</v>
      </c>
      <c r="D125" s="1528"/>
      <c r="E125" s="1528"/>
      <c r="F125" s="1520"/>
      <c r="G125" s="1394"/>
      <c r="H125" s="1394"/>
      <c r="I125" s="1409"/>
    </row>
    <row r="126" spans="2:9" s="1516" customFormat="1" ht="15.75" customHeight="1">
      <c r="B126" s="1542">
        <v>8.01</v>
      </c>
      <c r="C126" s="1527" t="s">
        <v>1333</v>
      </c>
      <c r="D126" s="1528" t="s">
        <v>1332</v>
      </c>
      <c r="E126" s="1528">
        <v>4</v>
      </c>
      <c r="F126" s="1520">
        <v>3000</v>
      </c>
      <c r="G126" s="1394">
        <f t="shared" si="6"/>
        <v>12000</v>
      </c>
      <c r="H126" s="1394">
        <f>'Staff TOS'!D330</f>
        <v>4</v>
      </c>
      <c r="I126" s="1409">
        <f t="shared" si="7"/>
        <v>12000</v>
      </c>
    </row>
    <row r="127" spans="2:9" s="1516" customFormat="1" ht="15.75" customHeight="1">
      <c r="B127" s="1542">
        <v>8.02</v>
      </c>
      <c r="C127" s="1527" t="s">
        <v>1566</v>
      </c>
      <c r="D127" s="1528" t="s">
        <v>1331</v>
      </c>
      <c r="E127" s="1528">
        <v>24</v>
      </c>
      <c r="F127" s="1520">
        <v>80</v>
      </c>
      <c r="G127" s="1394">
        <f t="shared" si="6"/>
        <v>1920</v>
      </c>
      <c r="H127" s="1394"/>
      <c r="I127" s="1409">
        <f t="shared" si="7"/>
        <v>0</v>
      </c>
    </row>
    <row r="128" spans="2:9" s="1516" customFormat="1" ht="15.75" customHeight="1">
      <c r="B128" s="1542">
        <v>9</v>
      </c>
      <c r="C128" s="1527" t="s">
        <v>1353</v>
      </c>
      <c r="D128" s="1528"/>
      <c r="E128" s="1528"/>
      <c r="F128" s="1520"/>
      <c r="G128" s="1394"/>
      <c r="H128" s="1394"/>
      <c r="I128" s="1409"/>
    </row>
    <row r="129" spans="2:10" s="1516" customFormat="1" ht="15.75" customHeight="1">
      <c r="B129" s="1542">
        <v>9.01</v>
      </c>
      <c r="C129" s="1527" t="s">
        <v>1352</v>
      </c>
      <c r="D129" s="1528" t="s">
        <v>1332</v>
      </c>
      <c r="E129" s="1528">
        <v>4</v>
      </c>
      <c r="F129" s="1520">
        <v>400</v>
      </c>
      <c r="G129" s="1394">
        <f t="shared" si="6"/>
        <v>1600</v>
      </c>
      <c r="H129" s="1394">
        <f>'Staff TOS'!D325</f>
        <v>4</v>
      </c>
      <c r="I129" s="1409">
        <f t="shared" si="7"/>
        <v>1600</v>
      </c>
    </row>
    <row r="130" spans="2:10" s="1516" customFormat="1" ht="15.75" customHeight="1">
      <c r="B130" s="1542">
        <v>6.03</v>
      </c>
      <c r="C130" s="1527" t="s">
        <v>1351</v>
      </c>
      <c r="D130" s="1528" t="s">
        <v>1332</v>
      </c>
      <c r="E130" s="1528">
        <v>4</v>
      </c>
      <c r="F130" s="1520">
        <v>300</v>
      </c>
      <c r="G130" s="1394">
        <f t="shared" si="6"/>
        <v>1200</v>
      </c>
      <c r="H130" s="1394"/>
      <c r="I130" s="1409">
        <f t="shared" si="7"/>
        <v>0</v>
      </c>
    </row>
    <row r="131" spans="2:10" s="1516" customFormat="1" ht="15.75" customHeight="1">
      <c r="B131" s="1542">
        <v>8</v>
      </c>
      <c r="C131" s="1527" t="s">
        <v>1344</v>
      </c>
      <c r="D131" s="1528"/>
      <c r="E131" s="1528"/>
      <c r="F131" s="1520"/>
      <c r="G131" s="1394">
        <f t="shared" si="6"/>
        <v>0</v>
      </c>
      <c r="H131" s="1394"/>
      <c r="I131" s="1409">
        <f t="shared" si="7"/>
        <v>0</v>
      </c>
    </row>
    <row r="132" spans="2:10" s="1516" customFormat="1" ht="15.75" customHeight="1">
      <c r="B132" s="1542">
        <v>8.01</v>
      </c>
      <c r="C132" s="1527" t="s">
        <v>1343</v>
      </c>
      <c r="D132" s="1528" t="s">
        <v>1332</v>
      </c>
      <c r="E132" s="1528">
        <v>4</v>
      </c>
      <c r="F132" s="1520">
        <v>600</v>
      </c>
      <c r="G132" s="1394">
        <f t="shared" si="6"/>
        <v>2400</v>
      </c>
      <c r="H132" s="1394"/>
      <c r="I132" s="1409">
        <f t="shared" si="7"/>
        <v>0</v>
      </c>
    </row>
    <row r="133" spans="2:10" s="1516" customFormat="1" ht="15.75" customHeight="1">
      <c r="B133" s="1543">
        <v>8.02</v>
      </c>
      <c r="C133" s="1531" t="s">
        <v>1342</v>
      </c>
      <c r="D133" s="1532" t="s">
        <v>1332</v>
      </c>
      <c r="E133" s="1532">
        <v>4</v>
      </c>
      <c r="F133" s="1530">
        <v>550</v>
      </c>
      <c r="G133" s="1423">
        <f t="shared" si="6"/>
        <v>2200</v>
      </c>
      <c r="H133" s="1423"/>
      <c r="I133" s="1424">
        <f t="shared" si="7"/>
        <v>0</v>
      </c>
    </row>
    <row r="134" spans="2:10" s="1516" customFormat="1" ht="15.75" customHeight="1">
      <c r="B134" s="2088" t="s">
        <v>1330</v>
      </c>
      <c r="C134" s="2088"/>
      <c r="D134" s="2088"/>
      <c r="E134" s="1430"/>
      <c r="F134" s="1430"/>
      <c r="G134" s="1428">
        <f>SUM(G111:G133)</f>
        <v>46040</v>
      </c>
      <c r="H134" s="1428"/>
      <c r="I134" s="1428">
        <f>SUM(I111:I133)</f>
        <v>31680</v>
      </c>
    </row>
    <row r="135" spans="2:10" ht="15.75" customHeight="1">
      <c r="B135" s="1318"/>
      <c r="C135" s="1317"/>
      <c r="D135" s="1318"/>
      <c r="E135" s="1318"/>
      <c r="F135" s="1318"/>
      <c r="G135" s="1318"/>
      <c r="H135" s="1318"/>
      <c r="I135" s="1318"/>
      <c r="J135" s="103"/>
    </row>
    <row r="136" spans="2:10" ht="15.75" customHeight="1">
      <c r="B136" s="1318"/>
      <c r="C136" s="1317"/>
      <c r="D136" s="1318"/>
      <c r="E136" s="1318"/>
      <c r="F136" s="1318"/>
      <c r="G136" s="1318"/>
      <c r="H136" s="1318"/>
      <c r="I136" s="1318"/>
      <c r="J136" s="103"/>
    </row>
    <row r="137" spans="2:10" ht="15.75" customHeight="1">
      <c r="B137" s="1318"/>
      <c r="C137" s="1317"/>
      <c r="D137" s="1318"/>
      <c r="E137" s="1318"/>
      <c r="F137" s="1318"/>
      <c r="G137" s="1318"/>
      <c r="H137" s="1318"/>
      <c r="I137" s="1318"/>
      <c r="J137" s="103"/>
    </row>
    <row r="138" spans="2:10" ht="15.75" customHeight="1">
      <c r="B138" s="1318"/>
      <c r="C138" s="1317"/>
      <c r="D138" s="1318"/>
      <c r="E138" s="1318"/>
      <c r="F138" s="1318"/>
      <c r="G138" s="1318"/>
      <c r="H138" s="1318"/>
      <c r="I138" s="1318"/>
      <c r="J138" s="103"/>
    </row>
    <row r="139" spans="2:10" ht="15.75" customHeight="1">
      <c r="B139" s="1318"/>
      <c r="C139" s="1317"/>
      <c r="D139" s="1318"/>
      <c r="E139" s="1318"/>
      <c r="F139" s="1318"/>
      <c r="G139" s="1318"/>
      <c r="H139" s="1318"/>
      <c r="I139" s="1318"/>
      <c r="J139" s="103"/>
    </row>
    <row r="140" spans="2:10" ht="15.75" customHeight="1">
      <c r="B140" s="1318"/>
      <c r="C140" s="1317"/>
      <c r="D140" s="1318"/>
      <c r="E140" s="1318"/>
      <c r="F140" s="1318"/>
      <c r="G140" s="1318"/>
      <c r="H140" s="1318"/>
      <c r="I140" s="1318"/>
      <c r="J140" s="103"/>
    </row>
    <row r="141" spans="2:10" ht="15.75" customHeight="1">
      <c r="B141" s="1318"/>
      <c r="C141" s="1317"/>
      <c r="D141" s="1318"/>
      <c r="E141" s="1318"/>
      <c r="F141" s="1318"/>
      <c r="G141" s="1318"/>
      <c r="H141" s="1318"/>
      <c r="I141" s="1318"/>
      <c r="J141" s="103"/>
    </row>
    <row r="142" spans="2:10" ht="15.75" customHeight="1">
      <c r="B142" s="1318"/>
      <c r="C142" s="1317"/>
      <c r="D142" s="1318"/>
      <c r="E142" s="1318"/>
      <c r="F142" s="1318"/>
      <c r="G142" s="1318"/>
      <c r="H142" s="1318"/>
      <c r="I142" s="1318"/>
      <c r="J142" s="103"/>
    </row>
    <row r="143" spans="2:10" ht="15.75" customHeight="1">
      <c r="B143" s="1318"/>
      <c r="C143" s="1317"/>
      <c r="D143" s="1318"/>
      <c r="E143" s="1318"/>
      <c r="F143" s="1318"/>
      <c r="G143" s="1318"/>
      <c r="H143" s="1318"/>
      <c r="I143" s="1318"/>
      <c r="J143" s="103"/>
    </row>
    <row r="144" spans="2:10" ht="15.75" customHeight="1">
      <c r="B144" s="1318"/>
      <c r="C144" s="1317"/>
      <c r="D144" s="1318"/>
      <c r="E144" s="1318"/>
      <c r="F144" s="1318"/>
      <c r="G144" s="1318"/>
      <c r="H144" s="1318"/>
      <c r="I144" s="1318"/>
      <c r="J144" s="103"/>
    </row>
    <row r="145" spans="2:10" ht="15.75" customHeight="1">
      <c r="B145" s="1318"/>
      <c r="C145" s="1317"/>
      <c r="D145" s="1318"/>
      <c r="E145" s="1318"/>
      <c r="F145" s="1318"/>
      <c r="G145" s="1318"/>
      <c r="H145" s="1318"/>
      <c r="I145" s="1318"/>
      <c r="J145" s="103"/>
    </row>
    <row r="146" spans="2:10" ht="15.75" customHeight="1">
      <c r="B146" s="1318"/>
      <c r="C146" s="1317"/>
      <c r="D146" s="1318"/>
      <c r="E146" s="1318"/>
      <c r="F146" s="1318"/>
      <c r="G146" s="1318"/>
      <c r="H146" s="1318"/>
      <c r="I146" s="1318"/>
      <c r="J146" s="103"/>
    </row>
    <row r="147" spans="2:10" ht="15.75" customHeight="1">
      <c r="B147" s="1318"/>
      <c r="C147" s="1317"/>
      <c r="D147" s="1318"/>
      <c r="E147" s="1318"/>
      <c r="F147" s="1318"/>
      <c r="G147" s="1318"/>
      <c r="H147" s="1318"/>
      <c r="I147" s="1318"/>
      <c r="J147" s="103"/>
    </row>
    <row r="148" spans="2:10" ht="15.75" customHeight="1">
      <c r="B148" s="1318"/>
      <c r="C148" s="1317"/>
      <c r="D148" s="1318"/>
      <c r="E148" s="1318"/>
      <c r="F148" s="1318"/>
      <c r="G148" s="1318"/>
      <c r="H148" s="1318"/>
      <c r="I148" s="1318"/>
      <c r="J148" s="103"/>
    </row>
    <row r="149" spans="2:10" ht="15.75" customHeight="1">
      <c r="B149" s="1318"/>
      <c r="C149" s="1317"/>
      <c r="D149" s="1318"/>
      <c r="E149" s="1318"/>
      <c r="F149" s="1318"/>
      <c r="G149" s="1318"/>
      <c r="H149" s="1318"/>
      <c r="I149" s="1318"/>
      <c r="J149" s="103"/>
    </row>
    <row r="150" spans="2:10" ht="15.75" customHeight="1">
      <c r="B150" s="1318"/>
      <c r="C150" s="1317"/>
      <c r="D150" s="1318"/>
      <c r="E150" s="1318"/>
      <c r="F150" s="1318"/>
      <c r="G150" s="1318"/>
      <c r="H150" s="1318"/>
      <c r="I150" s="1318"/>
      <c r="J150" s="103"/>
    </row>
    <row r="151" spans="2:10" ht="15.75" customHeight="1">
      <c r="B151" s="1318"/>
      <c r="C151" s="1317"/>
      <c r="D151" s="1318"/>
      <c r="E151" s="1318"/>
      <c r="F151" s="1318"/>
      <c r="G151" s="1318"/>
      <c r="H151" s="1318"/>
      <c r="I151" s="1318"/>
      <c r="J151" s="103"/>
    </row>
    <row r="152" spans="2:10" ht="15.75" customHeight="1">
      <c r="B152" s="1318"/>
      <c r="C152" s="1317"/>
      <c r="D152" s="1318"/>
      <c r="E152" s="1318"/>
      <c r="F152" s="1318"/>
      <c r="G152" s="1318"/>
      <c r="H152" s="1318"/>
      <c r="I152" s="1318"/>
      <c r="J152" s="103"/>
    </row>
    <row r="153" spans="2:10" ht="15.75" customHeight="1">
      <c r="B153" s="1318"/>
      <c r="C153" s="1317"/>
      <c r="D153" s="1318"/>
      <c r="E153" s="1318"/>
      <c r="F153" s="1318"/>
      <c r="G153" s="1318"/>
      <c r="H153" s="1318"/>
      <c r="I153" s="1318"/>
      <c r="J153" s="103"/>
    </row>
    <row r="154" spans="2:10" ht="15.75" customHeight="1">
      <c r="B154" s="1318"/>
      <c r="C154" s="1317"/>
      <c r="D154" s="1318"/>
      <c r="E154" s="1318"/>
      <c r="F154" s="1318"/>
      <c r="G154" s="1318"/>
      <c r="H154" s="1318"/>
      <c r="I154" s="1318"/>
      <c r="J154" s="103"/>
    </row>
    <row r="155" spans="2:10" ht="15.75" customHeight="1">
      <c r="B155" s="1318"/>
      <c r="C155" s="1317"/>
      <c r="D155" s="1318"/>
      <c r="E155" s="1318"/>
      <c r="F155" s="1318"/>
      <c r="G155" s="1318"/>
      <c r="H155" s="1318"/>
      <c r="I155" s="1318"/>
      <c r="J155" s="103"/>
    </row>
    <row r="156" spans="2:10" ht="15.75" customHeight="1">
      <c r="B156" s="1318"/>
      <c r="C156" s="1317"/>
      <c r="D156" s="1318"/>
      <c r="E156" s="1318"/>
      <c r="F156" s="1318"/>
      <c r="G156" s="1318"/>
      <c r="H156" s="1318"/>
      <c r="I156" s="1318"/>
      <c r="J156" s="103"/>
    </row>
    <row r="157" spans="2:10" ht="15.75" customHeight="1">
      <c r="B157" s="1318"/>
      <c r="C157" s="1317"/>
      <c r="D157" s="1318"/>
      <c r="E157" s="1318"/>
      <c r="F157" s="1318"/>
      <c r="G157" s="1318"/>
      <c r="H157" s="1318"/>
      <c r="I157" s="1318"/>
      <c r="J157" s="103"/>
    </row>
    <row r="158" spans="2:10" ht="15.75" customHeight="1">
      <c r="B158" s="1318"/>
      <c r="C158" s="1317"/>
      <c r="D158" s="1318"/>
      <c r="E158" s="1318"/>
      <c r="F158" s="1318"/>
      <c r="G158" s="1318"/>
      <c r="H158" s="1318"/>
      <c r="I158" s="1318"/>
      <c r="J158" s="103"/>
    </row>
    <row r="159" spans="2:10" ht="15.75" customHeight="1">
      <c r="B159" s="1318"/>
      <c r="C159" s="1317"/>
      <c r="D159" s="1318"/>
      <c r="E159" s="1318"/>
      <c r="F159" s="1318"/>
      <c r="G159" s="1318"/>
      <c r="H159" s="1318"/>
      <c r="I159" s="1318"/>
      <c r="J159" s="103"/>
    </row>
    <row r="160" spans="2:10" ht="15.75" customHeight="1">
      <c r="B160" s="1318"/>
      <c r="C160" s="1317"/>
      <c r="D160" s="1318"/>
      <c r="E160" s="1318"/>
      <c r="F160" s="1318"/>
      <c r="G160" s="1318"/>
      <c r="H160" s="1318"/>
      <c r="I160" s="1318"/>
      <c r="J160" s="103"/>
    </row>
    <row r="161" spans="2:10" ht="15.75" customHeight="1">
      <c r="B161" s="1318"/>
      <c r="C161" s="1317"/>
      <c r="D161" s="1318"/>
      <c r="E161" s="1318"/>
      <c r="F161" s="1318"/>
      <c r="G161" s="1318"/>
      <c r="H161" s="1318"/>
      <c r="I161" s="1318"/>
      <c r="J161" s="103"/>
    </row>
    <row r="162" spans="2:10" ht="15.75" customHeight="1">
      <c r="B162" s="1318"/>
      <c r="C162" s="1317"/>
      <c r="D162" s="1318"/>
      <c r="E162" s="1318"/>
      <c r="F162" s="1318"/>
      <c r="G162" s="1318"/>
      <c r="H162" s="1318"/>
      <c r="I162" s="1318"/>
      <c r="J162" s="103"/>
    </row>
    <row r="163" spans="2:10" ht="15.75" customHeight="1">
      <c r="B163" s="1318"/>
      <c r="C163" s="1317"/>
      <c r="D163" s="1318"/>
      <c r="E163" s="1318"/>
      <c r="F163" s="1318"/>
      <c r="G163" s="1318"/>
      <c r="H163" s="1318"/>
      <c r="I163" s="1318"/>
      <c r="J163" s="103"/>
    </row>
    <row r="164" spans="2:10" ht="15.75" customHeight="1">
      <c r="B164" s="1318"/>
      <c r="C164" s="1317"/>
      <c r="D164" s="1318"/>
      <c r="E164" s="1318"/>
      <c r="F164" s="1318"/>
      <c r="G164" s="1318"/>
      <c r="H164" s="1318"/>
      <c r="I164" s="1318"/>
      <c r="J164" s="103"/>
    </row>
    <row r="165" spans="2:10" ht="15.75" customHeight="1">
      <c r="B165" s="1318"/>
      <c r="C165" s="1317"/>
      <c r="D165" s="1318"/>
      <c r="E165" s="1318"/>
      <c r="F165" s="1318"/>
      <c r="G165" s="1318"/>
      <c r="H165" s="1318"/>
      <c r="I165" s="1318"/>
      <c r="J165" s="103"/>
    </row>
    <row r="166" spans="2:10" ht="15.75" customHeight="1">
      <c r="B166" s="1318"/>
      <c r="C166" s="1317"/>
      <c r="D166" s="1318"/>
      <c r="E166" s="1318"/>
      <c r="F166" s="1318"/>
      <c r="G166" s="1318"/>
      <c r="H166" s="1318"/>
      <c r="I166" s="1318"/>
      <c r="J166" s="103"/>
    </row>
    <row r="167" spans="2:10" ht="15.75" customHeight="1">
      <c r="B167" s="1318"/>
      <c r="C167" s="1317"/>
      <c r="D167" s="1318"/>
      <c r="E167" s="1318"/>
      <c r="F167" s="1318"/>
      <c r="G167" s="1318"/>
      <c r="H167" s="1318"/>
      <c r="I167" s="1318"/>
      <c r="J167" s="103"/>
    </row>
    <row r="168" spans="2:10" ht="15.75" customHeight="1">
      <c r="B168" s="1318"/>
      <c r="C168" s="1317"/>
      <c r="D168" s="1318"/>
      <c r="E168" s="1318"/>
      <c r="F168" s="1318"/>
      <c r="G168" s="1318"/>
      <c r="H168" s="1318"/>
      <c r="I168" s="1318"/>
      <c r="J168" s="103"/>
    </row>
    <row r="169" spans="2:10" ht="15.75" customHeight="1">
      <c r="B169" s="1318"/>
      <c r="C169" s="1317"/>
      <c r="D169" s="1318"/>
      <c r="E169" s="1318"/>
      <c r="F169" s="1318"/>
      <c r="G169" s="1318"/>
      <c r="H169" s="1318"/>
      <c r="I169" s="1318"/>
      <c r="J169" s="103"/>
    </row>
    <row r="170" spans="2:10" ht="15.75" customHeight="1">
      <c r="B170" s="1318"/>
      <c r="C170" s="1317"/>
      <c r="D170" s="1318"/>
      <c r="E170" s="1318"/>
      <c r="F170" s="1318"/>
      <c r="G170" s="1318"/>
      <c r="H170" s="1318"/>
      <c r="I170" s="1318"/>
      <c r="J170" s="103"/>
    </row>
    <row r="171" spans="2:10" ht="15.75" customHeight="1">
      <c r="B171" s="1318"/>
      <c r="C171" s="1317"/>
      <c r="D171" s="1318"/>
      <c r="E171" s="1318"/>
      <c r="F171" s="1318"/>
      <c r="G171" s="1318"/>
      <c r="H171" s="1318"/>
      <c r="I171" s="1318"/>
      <c r="J171" s="103"/>
    </row>
    <row r="172" spans="2:10" ht="15.75" customHeight="1">
      <c r="B172" s="1318"/>
      <c r="C172" s="1317"/>
      <c r="D172" s="1318"/>
      <c r="E172" s="1318"/>
      <c r="F172" s="1318"/>
      <c r="G172" s="1318"/>
      <c r="H172" s="1318"/>
      <c r="I172" s="1318"/>
      <c r="J172" s="103"/>
    </row>
    <row r="173" spans="2:10" ht="15.75" customHeight="1">
      <c r="B173" s="1318"/>
      <c r="C173" s="1317"/>
      <c r="D173" s="1318"/>
      <c r="E173" s="1318"/>
      <c r="F173" s="1318"/>
      <c r="G173" s="1318"/>
      <c r="H173" s="1318"/>
      <c r="I173" s="1318"/>
      <c r="J173" s="103"/>
    </row>
    <row r="174" spans="2:10" ht="15.75" customHeight="1">
      <c r="B174" s="1318"/>
      <c r="C174" s="1317"/>
      <c r="D174" s="1318"/>
      <c r="E174" s="1318"/>
      <c r="F174" s="1318"/>
      <c r="G174" s="1318"/>
      <c r="H174" s="1318"/>
      <c r="I174" s="1318"/>
      <c r="J174" s="103"/>
    </row>
    <row r="175" spans="2:10" ht="15.75" customHeight="1">
      <c r="B175" s="1318"/>
      <c r="C175" s="1317"/>
      <c r="D175" s="1318"/>
      <c r="E175" s="1318"/>
      <c r="F175" s="1318"/>
      <c r="G175" s="1318"/>
      <c r="H175" s="1318"/>
      <c r="I175" s="1318"/>
      <c r="J175" s="103"/>
    </row>
    <row r="176" spans="2:10" ht="15.75" customHeight="1">
      <c r="B176" s="1318"/>
      <c r="C176" s="1317"/>
      <c r="D176" s="1318"/>
      <c r="E176" s="1318"/>
      <c r="F176" s="1318"/>
      <c r="G176" s="1318"/>
      <c r="H176" s="1318"/>
      <c r="I176" s="1318"/>
      <c r="J176" s="103"/>
    </row>
    <row r="177" spans="2:10" ht="15.75" customHeight="1">
      <c r="B177" s="1318"/>
      <c r="C177" s="1317"/>
      <c r="D177" s="1318"/>
      <c r="E177" s="1318"/>
      <c r="F177" s="1318"/>
      <c r="G177" s="1318"/>
      <c r="H177" s="1318"/>
      <c r="I177" s="1318"/>
      <c r="J177" s="103"/>
    </row>
    <row r="178" spans="2:10" ht="15.75" customHeight="1">
      <c r="B178" s="1318"/>
      <c r="C178" s="1317"/>
      <c r="D178" s="1318"/>
      <c r="E178" s="1318"/>
      <c r="F178" s="1318"/>
      <c r="G178" s="1318"/>
      <c r="H178" s="1318"/>
      <c r="I178" s="1318"/>
      <c r="J178" s="103"/>
    </row>
    <row r="179" spans="2:10" ht="15.75" customHeight="1">
      <c r="B179" s="1318"/>
      <c r="C179" s="1317"/>
      <c r="D179" s="1318"/>
      <c r="E179" s="1318"/>
      <c r="F179" s="1318"/>
      <c r="G179" s="1318"/>
      <c r="H179" s="1318"/>
      <c r="I179" s="1318"/>
      <c r="J179" s="103"/>
    </row>
    <row r="180" spans="2:10" ht="15.75" customHeight="1">
      <c r="B180" s="1318"/>
      <c r="C180" s="1317"/>
      <c r="D180" s="1318"/>
      <c r="E180" s="1318"/>
      <c r="F180" s="1318"/>
      <c r="G180" s="1318"/>
      <c r="H180" s="1318"/>
      <c r="I180" s="1318"/>
      <c r="J180" s="103"/>
    </row>
    <row r="181" spans="2:10" ht="15.75" customHeight="1">
      <c r="B181" s="1318"/>
      <c r="C181" s="1317"/>
      <c r="D181" s="1318"/>
      <c r="E181" s="1318"/>
      <c r="F181" s="1318"/>
      <c r="G181" s="1318"/>
      <c r="H181" s="1318"/>
      <c r="I181" s="1318"/>
      <c r="J181" s="103"/>
    </row>
    <row r="182" spans="2:10" ht="15.75" customHeight="1">
      <c r="B182" s="1318"/>
      <c r="C182" s="1317"/>
      <c r="D182" s="1318"/>
      <c r="E182" s="1318"/>
      <c r="F182" s="1318"/>
      <c r="G182" s="1318"/>
      <c r="H182" s="1318"/>
      <c r="I182" s="1318"/>
      <c r="J182" s="103"/>
    </row>
    <row r="183" spans="2:10" ht="15.75" customHeight="1">
      <c r="B183" s="1318"/>
      <c r="C183" s="1317"/>
      <c r="D183" s="1318"/>
      <c r="E183" s="1318"/>
      <c r="F183" s="1318"/>
      <c r="G183" s="1318"/>
      <c r="H183" s="1318"/>
      <c r="I183" s="1318"/>
      <c r="J183" s="103"/>
    </row>
    <row r="184" spans="2:10" ht="15.75" customHeight="1">
      <c r="B184" s="1318"/>
      <c r="C184" s="1317"/>
      <c r="D184" s="1318"/>
      <c r="E184" s="1318"/>
      <c r="F184" s="1318"/>
      <c r="G184" s="1318"/>
      <c r="H184" s="1318"/>
      <c r="I184" s="1318"/>
      <c r="J184" s="103"/>
    </row>
    <row r="185" spans="2:10" ht="15.75" customHeight="1">
      <c r="B185" s="1318"/>
      <c r="C185" s="1317"/>
      <c r="D185" s="1318"/>
      <c r="E185" s="1318"/>
      <c r="F185" s="1318"/>
      <c r="G185" s="1318"/>
      <c r="H185" s="1318"/>
      <c r="I185" s="1318"/>
      <c r="J185" s="103"/>
    </row>
    <row r="186" spans="2:10" ht="15.75" customHeight="1">
      <c r="B186" s="1318"/>
      <c r="C186" s="1317"/>
      <c r="D186" s="1318"/>
      <c r="E186" s="1318"/>
      <c r="F186" s="1318"/>
      <c r="G186" s="1318"/>
      <c r="H186" s="1318"/>
      <c r="I186" s="1318"/>
      <c r="J186" s="103"/>
    </row>
    <row r="187" spans="2:10" ht="15.75" customHeight="1">
      <c r="B187" s="1318"/>
      <c r="C187" s="1317"/>
      <c r="D187" s="1318"/>
      <c r="E187" s="1318"/>
      <c r="F187" s="1318"/>
      <c r="G187" s="1318"/>
      <c r="H187" s="1318"/>
      <c r="I187" s="1318"/>
      <c r="J187" s="103"/>
    </row>
    <row r="188" spans="2:10" ht="15.75" customHeight="1">
      <c r="B188" s="1318"/>
      <c r="C188" s="1317"/>
      <c r="D188" s="1318"/>
      <c r="E188" s="1318"/>
      <c r="F188" s="1318"/>
      <c r="G188" s="1318"/>
      <c r="H188" s="1318"/>
      <c r="I188" s="1318"/>
      <c r="J188" s="103"/>
    </row>
    <row r="189" spans="2:10" ht="15.75" customHeight="1">
      <c r="B189" s="1318"/>
      <c r="C189" s="1317"/>
      <c r="D189" s="1318"/>
      <c r="E189" s="1318"/>
      <c r="F189" s="1318"/>
      <c r="G189" s="1318"/>
      <c r="H189" s="1318"/>
      <c r="I189" s="1318"/>
      <c r="J189" s="103"/>
    </row>
    <row r="190" spans="2:10" ht="15.75" customHeight="1">
      <c r="B190" s="1318"/>
      <c r="C190" s="1317"/>
      <c r="D190" s="1318"/>
      <c r="E190" s="1318"/>
      <c r="F190" s="1318"/>
      <c r="G190" s="1318"/>
      <c r="H190" s="1318"/>
      <c r="I190" s="1318"/>
      <c r="J190" s="103"/>
    </row>
    <row r="191" spans="2:10" ht="15.75" customHeight="1">
      <c r="B191" s="1318"/>
      <c r="C191" s="1317"/>
      <c r="D191" s="1318"/>
      <c r="E191" s="1318"/>
      <c r="F191" s="1318"/>
      <c r="G191" s="1318"/>
      <c r="H191" s="1318"/>
      <c r="I191" s="1318"/>
      <c r="J191" s="103"/>
    </row>
    <row r="192" spans="2:10" ht="15.75" customHeight="1">
      <c r="B192" s="1318"/>
      <c r="C192" s="1317"/>
      <c r="D192" s="1318"/>
      <c r="E192" s="1318"/>
      <c r="F192" s="1318"/>
      <c r="G192" s="1318"/>
      <c r="H192" s="1318"/>
      <c r="I192" s="1318"/>
      <c r="J192" s="103"/>
    </row>
    <row r="193" spans="2:10" ht="15.75" customHeight="1">
      <c r="B193" s="1318"/>
      <c r="C193" s="1317"/>
      <c r="D193" s="1318"/>
      <c r="E193" s="1318"/>
      <c r="F193" s="1318"/>
      <c r="G193" s="1318"/>
      <c r="H193" s="1318"/>
      <c r="I193" s="1318"/>
      <c r="J193" s="103"/>
    </row>
    <row r="194" spans="2:10" ht="15.75" customHeight="1">
      <c r="B194" s="1318"/>
      <c r="C194" s="1317"/>
      <c r="D194" s="1318"/>
      <c r="E194" s="1318"/>
      <c r="F194" s="1318"/>
      <c r="G194" s="1318"/>
      <c r="H194" s="1318"/>
      <c r="I194" s="1318"/>
      <c r="J194" s="103"/>
    </row>
    <row r="195" spans="2:10" ht="15.75" customHeight="1">
      <c r="B195" s="1318"/>
      <c r="C195" s="1317"/>
      <c r="D195" s="1318"/>
      <c r="E195" s="1318"/>
      <c r="F195" s="1318"/>
      <c r="G195" s="1318"/>
      <c r="H195" s="1318"/>
      <c r="I195" s="1318"/>
      <c r="J195" s="103"/>
    </row>
    <row r="196" spans="2:10" ht="15.75" customHeight="1">
      <c r="B196" s="1318"/>
      <c r="C196" s="1317"/>
      <c r="D196" s="1318"/>
      <c r="E196" s="1318"/>
      <c r="F196" s="1318"/>
      <c r="G196" s="1318"/>
      <c r="H196" s="1318"/>
      <c r="I196" s="1318"/>
      <c r="J196" s="103"/>
    </row>
    <row r="197" spans="2:10" ht="15.75" customHeight="1">
      <c r="B197" s="1318"/>
      <c r="C197" s="1317"/>
      <c r="D197" s="1318"/>
      <c r="E197" s="1318"/>
      <c r="F197" s="1318"/>
      <c r="G197" s="1318"/>
      <c r="H197" s="1318"/>
      <c r="I197" s="1318"/>
      <c r="J197" s="103"/>
    </row>
    <row r="198" spans="2:10" ht="15.75" customHeight="1">
      <c r="B198" s="1318"/>
      <c r="C198" s="1317"/>
      <c r="D198" s="1318"/>
      <c r="E198" s="1318"/>
      <c r="F198" s="1318"/>
      <c r="G198" s="1318"/>
      <c r="H198" s="1318"/>
      <c r="I198" s="1318"/>
      <c r="J198" s="103"/>
    </row>
    <row r="199" spans="2:10" ht="15.75" customHeight="1">
      <c r="B199" s="1318"/>
      <c r="C199" s="1317"/>
      <c r="D199" s="1318"/>
      <c r="E199" s="1318"/>
      <c r="F199" s="1318"/>
      <c r="G199" s="1318"/>
      <c r="H199" s="1318"/>
      <c r="I199" s="1318"/>
      <c r="J199" s="103"/>
    </row>
    <row r="200" spans="2:10" ht="15.75" customHeight="1">
      <c r="B200" s="1318"/>
      <c r="C200" s="1317"/>
      <c r="D200" s="1318"/>
      <c r="E200" s="1318"/>
      <c r="F200" s="1318"/>
      <c r="G200" s="1318"/>
      <c r="H200" s="1318"/>
      <c r="I200" s="1318"/>
      <c r="J200" s="103"/>
    </row>
    <row r="201" spans="2:10" ht="15.75" customHeight="1">
      <c r="B201" s="1318"/>
      <c r="C201" s="1317"/>
      <c r="D201" s="1318"/>
      <c r="E201" s="1318"/>
      <c r="F201" s="1318"/>
      <c r="G201" s="1318"/>
      <c r="H201" s="1318"/>
      <c r="I201" s="1318"/>
      <c r="J201" s="103"/>
    </row>
    <row r="202" spans="2:10" ht="15.75" customHeight="1">
      <c r="B202" s="1318"/>
      <c r="C202" s="1317"/>
      <c r="D202" s="1318"/>
      <c r="E202" s="1318"/>
      <c r="F202" s="1318"/>
      <c r="G202" s="1318"/>
      <c r="H202" s="1318"/>
      <c r="I202" s="1318"/>
      <c r="J202" s="103"/>
    </row>
    <row r="203" spans="2:10" ht="15.75" customHeight="1">
      <c r="B203" s="1318"/>
      <c r="C203" s="1317"/>
      <c r="D203" s="1318"/>
      <c r="E203" s="1318"/>
      <c r="F203" s="1318"/>
      <c r="G203" s="1318"/>
      <c r="H203" s="1318"/>
      <c r="I203" s="1318"/>
      <c r="J203" s="103"/>
    </row>
    <row r="204" spans="2:10" ht="15.75" customHeight="1">
      <c r="B204" s="1318"/>
      <c r="C204" s="1317"/>
      <c r="D204" s="1318"/>
      <c r="E204" s="1318"/>
      <c r="F204" s="1318"/>
      <c r="G204" s="1318"/>
      <c r="H204" s="1318"/>
      <c r="I204" s="1318"/>
      <c r="J204" s="103"/>
    </row>
    <row r="205" spans="2:10" ht="15.75" customHeight="1">
      <c r="B205" s="1318"/>
      <c r="C205" s="1317"/>
      <c r="D205" s="1318"/>
      <c r="E205" s="1318"/>
      <c r="F205" s="1318"/>
      <c r="G205" s="1318"/>
      <c r="H205" s="1318"/>
      <c r="I205" s="1318"/>
      <c r="J205" s="103"/>
    </row>
    <row r="206" spans="2:10" ht="15.75" customHeight="1">
      <c r="B206" s="1318"/>
      <c r="C206" s="1317"/>
      <c r="D206" s="1318"/>
      <c r="E206" s="1318"/>
      <c r="F206" s="1318"/>
      <c r="G206" s="1318"/>
      <c r="H206" s="1318"/>
      <c r="I206" s="1318"/>
      <c r="J206" s="103"/>
    </row>
    <row r="207" spans="2:10" ht="15.75" customHeight="1">
      <c r="B207" s="1318"/>
      <c r="C207" s="1317"/>
      <c r="D207" s="1318"/>
      <c r="E207" s="1318"/>
      <c r="F207" s="1318"/>
      <c r="G207" s="1318"/>
      <c r="H207" s="1318"/>
      <c r="I207" s="1318"/>
      <c r="J207" s="103"/>
    </row>
    <row r="208" spans="2:10" ht="15.75" customHeight="1">
      <c r="B208" s="1318"/>
      <c r="C208" s="1317"/>
      <c r="D208" s="1318"/>
      <c r="E208" s="1318"/>
      <c r="F208" s="1318"/>
      <c r="G208" s="1318"/>
      <c r="H208" s="1318"/>
      <c r="I208" s="1318"/>
      <c r="J208" s="103"/>
    </row>
    <row r="209" spans="2:10" ht="15.75" customHeight="1">
      <c r="B209" s="1318"/>
      <c r="C209" s="1317"/>
      <c r="D209" s="1318"/>
      <c r="E209" s="1318"/>
      <c r="F209" s="1318"/>
      <c r="G209" s="1318"/>
      <c r="H209" s="1318"/>
      <c r="I209" s="1318"/>
      <c r="J209" s="103"/>
    </row>
    <row r="210" spans="2:10" ht="15.75" customHeight="1">
      <c r="B210" s="1318"/>
      <c r="C210" s="1317"/>
      <c r="D210" s="1318"/>
      <c r="E210" s="1318"/>
      <c r="F210" s="1318"/>
      <c r="G210" s="1318"/>
      <c r="H210" s="1318"/>
      <c r="I210" s="1318"/>
      <c r="J210" s="103"/>
    </row>
    <row r="211" spans="2:10" ht="15.75" customHeight="1">
      <c r="B211" s="1318"/>
      <c r="C211" s="1317"/>
      <c r="D211" s="1318"/>
      <c r="E211" s="1318"/>
      <c r="F211" s="1318"/>
      <c r="G211" s="1318"/>
      <c r="H211" s="1318"/>
      <c r="I211" s="1318"/>
      <c r="J211" s="103"/>
    </row>
    <row r="212" spans="2:10" ht="15.75" customHeight="1">
      <c r="B212" s="1318"/>
      <c r="C212" s="1317"/>
      <c r="D212" s="1318"/>
      <c r="E212" s="1318"/>
      <c r="F212" s="1318"/>
      <c r="G212" s="1318"/>
      <c r="H212" s="1318"/>
      <c r="I212" s="1318"/>
      <c r="J212" s="103"/>
    </row>
    <row r="213" spans="2:10" ht="15.75" customHeight="1">
      <c r="B213" s="1318"/>
      <c r="C213" s="1317"/>
      <c r="D213" s="1318"/>
      <c r="E213" s="1318"/>
      <c r="F213" s="1318"/>
      <c r="G213" s="1318"/>
      <c r="H213" s="1318"/>
      <c r="I213" s="1318"/>
      <c r="J213" s="103"/>
    </row>
    <row r="214" spans="2:10" ht="15.75" customHeight="1">
      <c r="B214" s="1318"/>
      <c r="C214" s="1317"/>
      <c r="D214" s="1318"/>
      <c r="E214" s="1318"/>
      <c r="F214" s="1318"/>
      <c r="G214" s="1318"/>
      <c r="H214" s="1318"/>
      <c r="I214" s="1318"/>
      <c r="J214" s="103"/>
    </row>
    <row r="215" spans="2:10" ht="15.75" customHeight="1">
      <c r="B215" s="1318"/>
      <c r="C215" s="1317"/>
      <c r="D215" s="1318"/>
      <c r="E215" s="1318"/>
      <c r="F215" s="1318"/>
      <c r="G215" s="1318"/>
      <c r="H215" s="1318"/>
      <c r="I215" s="1318"/>
      <c r="J215" s="103"/>
    </row>
    <row r="216" spans="2:10" ht="15.75" customHeight="1">
      <c r="B216" s="1318"/>
      <c r="C216" s="1317"/>
      <c r="D216" s="1318"/>
      <c r="E216" s="1318"/>
      <c r="F216" s="1318"/>
      <c r="G216" s="1318"/>
      <c r="H216" s="1318"/>
      <c r="I216" s="1318"/>
      <c r="J216" s="103"/>
    </row>
    <row r="217" spans="2:10" ht="15.75" customHeight="1">
      <c r="B217" s="1318"/>
      <c r="C217" s="1317"/>
      <c r="D217" s="1318"/>
      <c r="E217" s="1318"/>
      <c r="F217" s="1318"/>
      <c r="G217" s="1318"/>
      <c r="H217" s="1318"/>
      <c r="I217" s="1318"/>
      <c r="J217" s="103"/>
    </row>
    <row r="218" spans="2:10" ht="15.75" customHeight="1">
      <c r="B218" s="1318"/>
      <c r="C218" s="1317"/>
      <c r="D218" s="1318"/>
      <c r="E218" s="1318"/>
      <c r="F218" s="1318"/>
      <c r="G218" s="1318"/>
      <c r="H218" s="1318"/>
      <c r="I218" s="1318"/>
      <c r="J218" s="103"/>
    </row>
    <row r="219" spans="2:10" ht="15.75" customHeight="1">
      <c r="B219" s="1318"/>
      <c r="C219" s="1317"/>
      <c r="D219" s="1318"/>
      <c r="E219" s="1318"/>
      <c r="F219" s="1318"/>
      <c r="G219" s="1318"/>
      <c r="H219" s="1318"/>
      <c r="I219" s="1318"/>
      <c r="J219" s="103"/>
    </row>
    <row r="220" spans="2:10" ht="15.75" customHeight="1">
      <c r="B220" s="1318"/>
      <c r="C220" s="1317"/>
      <c r="D220" s="1318"/>
      <c r="E220" s="1318"/>
      <c r="F220" s="1318"/>
      <c r="G220" s="1318"/>
      <c r="H220" s="1318"/>
      <c r="I220" s="1318"/>
      <c r="J220" s="103"/>
    </row>
    <row r="221" spans="2:10" ht="15.75" customHeight="1">
      <c r="B221" s="1318"/>
      <c r="C221" s="1317"/>
      <c r="D221" s="1318"/>
      <c r="E221" s="1318"/>
      <c r="F221" s="1318"/>
      <c r="G221" s="1318"/>
      <c r="H221" s="1318"/>
      <c r="I221" s="1318"/>
      <c r="J221" s="103"/>
    </row>
    <row r="222" spans="2:10" ht="15.75" customHeight="1">
      <c r="B222" s="1318"/>
      <c r="C222" s="1317"/>
      <c r="D222" s="1318"/>
      <c r="E222" s="1318"/>
      <c r="F222" s="1318"/>
      <c r="G222" s="1318"/>
      <c r="H222" s="1318"/>
      <c r="I222" s="1318"/>
      <c r="J222" s="103"/>
    </row>
    <row r="223" spans="2:10" ht="15.75" customHeight="1">
      <c r="B223" s="1318"/>
      <c r="C223" s="1317"/>
      <c r="D223" s="1318"/>
      <c r="E223" s="1318"/>
      <c r="F223" s="1318"/>
      <c r="G223" s="1318"/>
      <c r="H223" s="1318"/>
      <c r="I223" s="1318"/>
      <c r="J223" s="103"/>
    </row>
    <row r="224" spans="2:10" ht="15.75" customHeight="1">
      <c r="B224" s="1318"/>
      <c r="C224" s="1317"/>
      <c r="D224" s="1318"/>
      <c r="E224" s="1318"/>
      <c r="F224" s="1318"/>
      <c r="G224" s="1318"/>
      <c r="H224" s="1318"/>
      <c r="I224" s="1318"/>
      <c r="J224" s="103"/>
    </row>
    <row r="225" spans="2:10" ht="15.75" customHeight="1">
      <c r="B225" s="1318"/>
      <c r="C225" s="1317"/>
      <c r="D225" s="1318"/>
      <c r="E225" s="1318"/>
      <c r="F225" s="1318"/>
      <c r="G225" s="1318"/>
      <c r="H225" s="1318"/>
      <c r="I225" s="1318"/>
      <c r="J225" s="103"/>
    </row>
    <row r="226" spans="2:10" ht="15.75" customHeight="1">
      <c r="B226" s="1318"/>
      <c r="C226" s="1317"/>
      <c r="D226" s="1318"/>
      <c r="E226" s="1318"/>
      <c r="F226" s="1318"/>
      <c r="G226" s="1318"/>
      <c r="H226" s="1318"/>
      <c r="I226" s="1318"/>
      <c r="J226" s="103"/>
    </row>
    <row r="227" spans="2:10" ht="15.75" customHeight="1">
      <c r="B227" s="1318"/>
      <c r="C227" s="1317"/>
      <c r="D227" s="1318"/>
      <c r="E227" s="1318"/>
      <c r="F227" s="1318"/>
      <c r="G227" s="1318"/>
      <c r="H227" s="1318"/>
      <c r="I227" s="1318"/>
      <c r="J227" s="103"/>
    </row>
    <row r="228" spans="2:10" ht="15.75" customHeight="1">
      <c r="B228" s="1318"/>
      <c r="C228" s="1317"/>
      <c r="D228" s="1318"/>
      <c r="E228" s="1318"/>
      <c r="F228" s="1318"/>
      <c r="G228" s="1318"/>
      <c r="H228" s="1318"/>
      <c r="I228" s="1318"/>
      <c r="J228" s="103"/>
    </row>
    <row r="229" spans="2:10" ht="15.75" customHeight="1">
      <c r="B229" s="1318"/>
      <c r="C229" s="1317"/>
      <c r="D229" s="1318"/>
      <c r="E229" s="1318"/>
      <c r="F229" s="1318"/>
      <c r="G229" s="1318"/>
      <c r="H229" s="1318"/>
      <c r="I229" s="1318"/>
      <c r="J229" s="103"/>
    </row>
    <row r="230" spans="2:10" ht="15.75" customHeight="1">
      <c r="B230" s="1318"/>
      <c r="C230" s="1317"/>
      <c r="D230" s="1318"/>
      <c r="E230" s="1318"/>
      <c r="F230" s="1318"/>
      <c r="G230" s="1318"/>
      <c r="H230" s="1318"/>
      <c r="I230" s="1318"/>
      <c r="J230" s="103"/>
    </row>
    <row r="231" spans="2:10" ht="15.75" customHeight="1">
      <c r="B231" s="1318"/>
      <c r="C231" s="1317"/>
      <c r="D231" s="1318"/>
      <c r="E231" s="1318"/>
      <c r="F231" s="1318"/>
      <c r="G231" s="1318"/>
      <c r="H231" s="1318"/>
      <c r="I231" s="1318"/>
      <c r="J231" s="103"/>
    </row>
    <row r="232" spans="2:10" ht="15.75" customHeight="1">
      <c r="B232" s="1318"/>
      <c r="C232" s="1317"/>
      <c r="D232" s="1318"/>
      <c r="E232" s="1318"/>
      <c r="F232" s="1318"/>
      <c r="G232" s="1318"/>
      <c r="H232" s="1318"/>
      <c r="I232" s="1318"/>
      <c r="J232" s="103"/>
    </row>
    <row r="233" spans="2:10" ht="15.75" customHeight="1">
      <c r="B233" s="1318"/>
      <c r="C233" s="1317"/>
      <c r="D233" s="1318"/>
      <c r="E233" s="1318"/>
      <c r="F233" s="1318"/>
      <c r="G233" s="1318"/>
      <c r="H233" s="1318"/>
      <c r="I233" s="1318"/>
      <c r="J233" s="103"/>
    </row>
    <row r="234" spans="2:10" ht="15.75" customHeight="1">
      <c r="B234" s="1318"/>
      <c r="C234" s="1317"/>
      <c r="D234" s="1318"/>
      <c r="E234" s="1318"/>
      <c r="F234" s="1318"/>
      <c r="G234" s="1318"/>
      <c r="H234" s="1318"/>
      <c r="I234" s="1318"/>
      <c r="J234" s="103"/>
    </row>
    <row r="235" spans="2:10" ht="15.75" customHeight="1">
      <c r="B235" s="1318"/>
      <c r="C235" s="1317"/>
      <c r="D235" s="1318"/>
      <c r="E235" s="1318"/>
      <c r="F235" s="1318"/>
      <c r="G235" s="1318"/>
      <c r="H235" s="1318"/>
      <c r="I235" s="1318"/>
      <c r="J235" s="103"/>
    </row>
    <row r="236" spans="2:10" ht="15.75" customHeight="1">
      <c r="B236" s="1318"/>
      <c r="C236" s="1317"/>
      <c r="D236" s="1318"/>
      <c r="E236" s="1318"/>
      <c r="F236" s="1318"/>
      <c r="G236" s="1318"/>
      <c r="H236" s="1318"/>
      <c r="I236" s="1318"/>
      <c r="J236" s="103"/>
    </row>
    <row r="237" spans="2:10" ht="15.75" customHeight="1">
      <c r="B237" s="1318"/>
      <c r="C237" s="1317"/>
      <c r="D237" s="1318"/>
      <c r="E237" s="1318"/>
      <c r="F237" s="1318"/>
      <c r="G237" s="1318"/>
      <c r="H237" s="1318"/>
      <c r="I237" s="1318"/>
      <c r="J237" s="103"/>
    </row>
    <row r="238" spans="2:10" ht="15.75" customHeight="1">
      <c r="B238" s="1318"/>
      <c r="C238" s="1317"/>
      <c r="D238" s="1318"/>
      <c r="E238" s="1318"/>
      <c r="F238" s="1318"/>
      <c r="G238" s="1318"/>
      <c r="H238" s="1318"/>
      <c r="I238" s="1318"/>
      <c r="J238" s="103"/>
    </row>
    <row r="239" spans="2:10" ht="15.75" customHeight="1">
      <c r="B239" s="1318"/>
      <c r="C239" s="1317"/>
      <c r="D239" s="1318"/>
      <c r="E239" s="1318"/>
      <c r="F239" s="1318"/>
      <c r="G239" s="1318"/>
      <c r="H239" s="1318"/>
      <c r="I239" s="1318"/>
      <c r="J239" s="103"/>
    </row>
    <row r="240" spans="2:10" ht="15.75" customHeight="1">
      <c r="B240" s="1318"/>
      <c r="C240" s="1317"/>
      <c r="D240" s="1318"/>
      <c r="E240" s="1318"/>
      <c r="F240" s="1318"/>
      <c r="G240" s="1318"/>
      <c r="H240" s="1318"/>
      <c r="I240" s="1318"/>
      <c r="J240" s="103"/>
    </row>
    <row r="241" spans="2:10" ht="15.75" customHeight="1">
      <c r="B241" s="1318"/>
      <c r="C241" s="1317"/>
      <c r="D241" s="1318"/>
      <c r="E241" s="1318"/>
      <c r="F241" s="1318"/>
      <c r="G241" s="1318"/>
      <c r="H241" s="1318"/>
      <c r="I241" s="1318"/>
      <c r="J241" s="103"/>
    </row>
    <row r="242" spans="2:10" ht="15.75" customHeight="1">
      <c r="B242" s="1318"/>
      <c r="C242" s="1317"/>
      <c r="D242" s="1318"/>
      <c r="E242" s="1318"/>
      <c r="F242" s="1318"/>
      <c r="G242" s="1318"/>
      <c r="H242" s="1318"/>
      <c r="I242" s="1318"/>
      <c r="J242" s="103"/>
    </row>
    <row r="243" spans="2:10" ht="15.75" customHeight="1">
      <c r="B243" s="1318"/>
      <c r="C243" s="1317"/>
      <c r="D243" s="1318"/>
      <c r="E243" s="1318"/>
      <c r="F243" s="1318"/>
      <c r="G243" s="1318"/>
      <c r="H243" s="1318"/>
      <c r="I243" s="1318"/>
      <c r="J243" s="103"/>
    </row>
    <row r="244" spans="2:10" ht="15.75" customHeight="1">
      <c r="B244" s="1318"/>
      <c r="C244" s="1317"/>
      <c r="D244" s="1318"/>
      <c r="E244" s="1318"/>
      <c r="F244" s="1318"/>
      <c r="G244" s="1318"/>
      <c r="H244" s="1318"/>
      <c r="I244" s="1318"/>
      <c r="J244" s="103"/>
    </row>
    <row r="245" spans="2:10" ht="15.75" customHeight="1">
      <c r="B245" s="1318"/>
      <c r="C245" s="1317"/>
      <c r="D245" s="1318"/>
      <c r="E245" s="1318"/>
      <c r="F245" s="1318"/>
      <c r="G245" s="1318"/>
      <c r="H245" s="1318"/>
      <c r="I245" s="1318"/>
      <c r="J245" s="103"/>
    </row>
    <row r="246" spans="2:10" ht="15.75" customHeight="1">
      <c r="B246" s="1318"/>
      <c r="C246" s="1317"/>
      <c r="D246" s="1318"/>
      <c r="E246" s="1318"/>
      <c r="F246" s="1318"/>
      <c r="G246" s="1318"/>
      <c r="H246" s="1318"/>
      <c r="I246" s="1318"/>
      <c r="J246" s="103"/>
    </row>
    <row r="247" spans="2:10" ht="15.75" customHeight="1">
      <c r="B247" s="1318"/>
      <c r="C247" s="1317"/>
      <c r="D247" s="1318"/>
      <c r="E247" s="1318"/>
      <c r="F247" s="1318"/>
      <c r="G247" s="1318"/>
      <c r="H247" s="1318"/>
      <c r="I247" s="1318"/>
      <c r="J247" s="103"/>
    </row>
    <row r="248" spans="2:10" ht="15.75" customHeight="1">
      <c r="B248" s="1318"/>
      <c r="C248" s="1317"/>
      <c r="D248" s="1318"/>
      <c r="E248" s="1318"/>
      <c r="F248" s="1318"/>
      <c r="G248" s="1318"/>
      <c r="H248" s="1318"/>
      <c r="I248" s="1318"/>
      <c r="J248" s="103"/>
    </row>
    <row r="249" spans="2:10" ht="15.75" customHeight="1">
      <c r="B249" s="1318"/>
      <c r="C249" s="1317"/>
      <c r="D249" s="1318"/>
      <c r="E249" s="1318"/>
      <c r="F249" s="1318"/>
      <c r="G249" s="1318"/>
      <c r="H249" s="1318"/>
      <c r="I249" s="1318"/>
      <c r="J249" s="103"/>
    </row>
    <row r="250" spans="2:10" ht="15.75" customHeight="1">
      <c r="B250" s="1318"/>
      <c r="C250" s="1317"/>
      <c r="D250" s="1318"/>
      <c r="E250" s="1318"/>
      <c r="F250" s="1318"/>
      <c r="G250" s="1318"/>
      <c r="H250" s="1318"/>
      <c r="I250" s="1318"/>
      <c r="J250" s="103"/>
    </row>
    <row r="251" spans="2:10" ht="15.75" customHeight="1">
      <c r="B251" s="1318"/>
      <c r="C251" s="1317"/>
      <c r="D251" s="1318"/>
      <c r="E251" s="1318"/>
      <c r="F251" s="1318"/>
      <c r="G251" s="1318"/>
      <c r="H251" s="1318"/>
      <c r="I251" s="1318"/>
      <c r="J251" s="103"/>
    </row>
    <row r="252" spans="2:10" ht="15.75" customHeight="1">
      <c r="B252" s="1318"/>
      <c r="C252" s="1317"/>
      <c r="D252" s="1318"/>
      <c r="E252" s="1318"/>
      <c r="F252" s="1318"/>
      <c r="G252" s="1318"/>
      <c r="H252" s="1318"/>
      <c r="I252" s="1318"/>
      <c r="J252" s="103"/>
    </row>
    <row r="253" spans="2:10" ht="15.75" customHeight="1">
      <c r="B253" s="1318"/>
      <c r="C253" s="1317"/>
      <c r="D253" s="1318"/>
      <c r="E253" s="1318"/>
      <c r="F253" s="1318"/>
      <c r="G253" s="1318"/>
      <c r="H253" s="1318"/>
      <c r="I253" s="1318"/>
      <c r="J253" s="103"/>
    </row>
    <row r="254" spans="2:10" ht="15.75" customHeight="1">
      <c r="B254" s="1318"/>
      <c r="C254" s="1317"/>
      <c r="D254" s="1318"/>
      <c r="E254" s="1318"/>
      <c r="F254" s="1318"/>
      <c r="G254" s="1318"/>
      <c r="H254" s="1318"/>
      <c r="I254" s="1318"/>
      <c r="J254" s="103"/>
    </row>
    <row r="255" spans="2:10" ht="15.75" customHeight="1">
      <c r="B255" s="1318"/>
      <c r="C255" s="1317"/>
      <c r="D255" s="1318"/>
      <c r="E255" s="1318"/>
      <c r="F255" s="1318"/>
      <c r="G255" s="1318"/>
      <c r="H255" s="1318"/>
      <c r="I255" s="1318"/>
      <c r="J255" s="103"/>
    </row>
    <row r="256" spans="2:10" ht="15.75" customHeight="1">
      <c r="B256" s="1318"/>
      <c r="C256" s="1317"/>
      <c r="D256" s="1318"/>
      <c r="E256" s="1318"/>
      <c r="F256" s="1318"/>
      <c r="G256" s="1318"/>
      <c r="H256" s="1318"/>
      <c r="I256" s="1318"/>
      <c r="J256" s="103"/>
    </row>
    <row r="257" spans="2:10" ht="15.75" customHeight="1">
      <c r="B257" s="1318"/>
      <c r="C257" s="1317"/>
      <c r="D257" s="1318"/>
      <c r="E257" s="1318"/>
      <c r="F257" s="1318"/>
      <c r="G257" s="1318"/>
      <c r="H257" s="1318"/>
      <c r="I257" s="1318"/>
      <c r="J257" s="103"/>
    </row>
    <row r="258" spans="2:10" ht="15.75" customHeight="1">
      <c r="B258" s="1318"/>
      <c r="C258" s="1317"/>
      <c r="D258" s="1318"/>
      <c r="E258" s="1318"/>
      <c r="F258" s="1318"/>
      <c r="G258" s="1318"/>
      <c r="H258" s="1318"/>
      <c r="I258" s="1318"/>
      <c r="J258" s="103"/>
    </row>
    <row r="259" spans="2:10" ht="15.75" customHeight="1">
      <c r="B259" s="1318"/>
      <c r="C259" s="1317"/>
      <c r="D259" s="1318"/>
      <c r="E259" s="1318"/>
      <c r="F259" s="1318"/>
      <c r="G259" s="1318"/>
      <c r="H259" s="1318"/>
      <c r="I259" s="1318"/>
      <c r="J259" s="103"/>
    </row>
    <row r="260" spans="2:10" ht="15.75" customHeight="1">
      <c r="B260" s="1318"/>
      <c r="C260" s="1317"/>
      <c r="D260" s="1318"/>
      <c r="E260" s="1318"/>
      <c r="F260" s="1318"/>
      <c r="G260" s="1318"/>
      <c r="H260" s="1318"/>
      <c r="I260" s="1318"/>
      <c r="J260" s="103"/>
    </row>
    <row r="261" spans="2:10" ht="15.75" customHeight="1">
      <c r="B261" s="1318"/>
      <c r="C261" s="1317"/>
      <c r="D261" s="1318"/>
      <c r="E261" s="1318"/>
      <c r="F261" s="1318"/>
      <c r="G261" s="1318"/>
      <c r="H261" s="1318"/>
      <c r="I261" s="1318"/>
      <c r="J261" s="103"/>
    </row>
    <row r="262" spans="2:10" ht="15.75" customHeight="1">
      <c r="B262" s="1318"/>
      <c r="C262" s="1317"/>
      <c r="D262" s="1318"/>
      <c r="E262" s="1318"/>
      <c r="F262" s="1318"/>
      <c r="G262" s="1318"/>
      <c r="H262" s="1318"/>
      <c r="I262" s="1318"/>
      <c r="J262" s="103"/>
    </row>
    <row r="263" spans="2:10" ht="15.75" customHeight="1">
      <c r="B263" s="1318"/>
      <c r="C263" s="1317"/>
      <c r="D263" s="1318"/>
      <c r="E263" s="1318"/>
      <c r="F263" s="1318"/>
      <c r="G263" s="1318"/>
      <c r="H263" s="1318"/>
      <c r="I263" s="1318"/>
      <c r="J263" s="103"/>
    </row>
    <row r="264" spans="2:10" ht="15.75" customHeight="1">
      <c r="B264" s="1318"/>
      <c r="C264" s="1317"/>
      <c r="D264" s="1318"/>
      <c r="E264" s="1318"/>
      <c r="F264" s="1318"/>
      <c r="G264" s="1318"/>
      <c r="H264" s="1318"/>
      <c r="I264" s="1318"/>
      <c r="J264" s="103"/>
    </row>
    <row r="265" spans="2:10" ht="15.75" customHeight="1">
      <c r="B265" s="1318"/>
      <c r="C265" s="1317"/>
      <c r="D265" s="1318"/>
      <c r="E265" s="1318"/>
      <c r="F265" s="1318"/>
      <c r="G265" s="1318"/>
      <c r="H265" s="1318"/>
      <c r="I265" s="1318"/>
      <c r="J265" s="103"/>
    </row>
    <row r="266" spans="2:10" ht="15.75" customHeight="1">
      <c r="B266" s="1318"/>
      <c r="C266" s="1317"/>
      <c r="D266" s="1318"/>
      <c r="E266" s="1318"/>
      <c r="F266" s="1318"/>
      <c r="G266" s="1318"/>
      <c r="H266" s="1318"/>
      <c r="I266" s="1318"/>
      <c r="J266" s="103"/>
    </row>
    <row r="267" spans="2:10" ht="15.75" customHeight="1">
      <c r="B267" s="1318"/>
      <c r="C267" s="1317"/>
      <c r="D267" s="1318"/>
      <c r="E267" s="1318"/>
      <c r="F267" s="1318"/>
      <c r="G267" s="1318"/>
      <c r="H267" s="1318"/>
      <c r="I267" s="1318"/>
      <c r="J267" s="103"/>
    </row>
    <row r="268" spans="2:10" ht="15.75" customHeight="1">
      <c r="B268" s="1318"/>
      <c r="C268" s="1317"/>
      <c r="D268" s="1318"/>
      <c r="E268" s="1318"/>
      <c r="F268" s="1318"/>
      <c r="G268" s="1318"/>
      <c r="H268" s="1318"/>
      <c r="I268" s="1318"/>
      <c r="J268" s="103"/>
    </row>
    <row r="269" spans="2:10" ht="15.75" customHeight="1">
      <c r="B269" s="1318"/>
      <c r="C269" s="1317"/>
      <c r="D269" s="1318"/>
      <c r="E269" s="1318"/>
      <c r="F269" s="1318"/>
      <c r="G269" s="1318"/>
      <c r="H269" s="1318"/>
      <c r="I269" s="1318"/>
      <c r="J269" s="103"/>
    </row>
    <row r="270" spans="2:10" ht="15.75" customHeight="1">
      <c r="B270" s="1318"/>
      <c r="C270" s="1317"/>
      <c r="D270" s="1318"/>
      <c r="E270" s="1318"/>
      <c r="F270" s="1318"/>
      <c r="G270" s="1318"/>
      <c r="H270" s="1318"/>
      <c r="I270" s="1318"/>
      <c r="J270" s="103"/>
    </row>
    <row r="271" spans="2:10" ht="15.75" customHeight="1">
      <c r="B271" s="1318"/>
      <c r="C271" s="1317"/>
      <c r="D271" s="1318"/>
      <c r="E271" s="1318"/>
      <c r="F271" s="1318"/>
      <c r="G271" s="1318"/>
      <c r="H271" s="1318"/>
      <c r="I271" s="1318"/>
      <c r="J271" s="103"/>
    </row>
    <row r="272" spans="2:10" ht="15.75" customHeight="1">
      <c r="B272" s="1318"/>
      <c r="C272" s="1317"/>
      <c r="D272" s="1318"/>
      <c r="E272" s="1318"/>
      <c r="F272" s="1318"/>
      <c r="G272" s="1318"/>
      <c r="H272" s="1318"/>
      <c r="I272" s="1318"/>
      <c r="J272" s="103"/>
    </row>
    <row r="273" spans="2:10" ht="15.75" customHeight="1">
      <c r="B273" s="1318"/>
      <c r="C273" s="1317"/>
      <c r="D273" s="1318"/>
      <c r="E273" s="1318"/>
      <c r="F273" s="1318"/>
      <c r="G273" s="1318"/>
      <c r="H273" s="1318"/>
      <c r="I273" s="1318"/>
      <c r="J273" s="103"/>
    </row>
    <row r="274" spans="2:10" ht="15.75" customHeight="1">
      <c r="B274" s="1318"/>
      <c r="C274" s="1317"/>
      <c r="D274" s="1318"/>
      <c r="E274" s="1318"/>
      <c r="F274" s="1318"/>
      <c r="G274" s="1318"/>
      <c r="H274" s="1318"/>
      <c r="I274" s="1318"/>
      <c r="J274" s="103"/>
    </row>
    <row r="275" spans="2:10" ht="15.75" customHeight="1">
      <c r="B275" s="1318"/>
      <c r="C275" s="1317"/>
      <c r="D275" s="1318"/>
      <c r="E275" s="1318"/>
      <c r="F275" s="1318"/>
      <c r="G275" s="1318"/>
      <c r="H275" s="1318"/>
      <c r="I275" s="1318"/>
      <c r="J275" s="103"/>
    </row>
    <row r="276" spans="2:10" ht="15.75" customHeight="1">
      <c r="B276" s="1318"/>
      <c r="C276" s="1317"/>
      <c r="D276" s="1318"/>
      <c r="E276" s="1318"/>
      <c r="F276" s="1318"/>
      <c r="G276" s="1318"/>
      <c r="H276" s="1318"/>
      <c r="I276" s="1318"/>
      <c r="J276" s="103"/>
    </row>
    <row r="277" spans="2:10" ht="15.75" customHeight="1">
      <c r="B277" s="1318"/>
      <c r="C277" s="1317"/>
      <c r="D277" s="1318"/>
      <c r="E277" s="1318"/>
      <c r="F277" s="1318"/>
      <c r="G277" s="1318"/>
      <c r="H277" s="1318"/>
      <c r="I277" s="1318"/>
      <c r="J277" s="103"/>
    </row>
    <row r="278" spans="2:10" ht="15.75" customHeight="1">
      <c r="B278" s="1318"/>
      <c r="C278" s="1317"/>
      <c r="D278" s="1318"/>
      <c r="E278" s="1318"/>
      <c r="F278" s="1318"/>
      <c r="G278" s="1318"/>
      <c r="H278" s="1318"/>
      <c r="I278" s="1318"/>
      <c r="J278" s="103"/>
    </row>
    <row r="279" spans="2:10" ht="15.75" customHeight="1">
      <c r="B279" s="1318"/>
      <c r="C279" s="1317"/>
      <c r="D279" s="1318"/>
      <c r="E279" s="1318"/>
      <c r="F279" s="1318"/>
      <c r="G279" s="1318"/>
      <c r="H279" s="1318"/>
      <c r="I279" s="1318"/>
      <c r="J279" s="103"/>
    </row>
    <row r="280" spans="2:10" ht="15.75" customHeight="1">
      <c r="B280" s="1318"/>
      <c r="C280" s="1317"/>
      <c r="D280" s="1318"/>
      <c r="E280" s="1318"/>
      <c r="F280" s="1318"/>
      <c r="G280" s="1318"/>
      <c r="H280" s="1318"/>
      <c r="I280" s="1318"/>
      <c r="J280" s="103"/>
    </row>
    <row r="281" spans="2:10" ht="15.75" customHeight="1">
      <c r="B281" s="1318"/>
      <c r="C281" s="1317"/>
      <c r="D281" s="1318"/>
      <c r="E281" s="1318"/>
      <c r="F281" s="1318"/>
      <c r="G281" s="1318"/>
      <c r="H281" s="1318"/>
      <c r="I281" s="1318"/>
      <c r="J281" s="103"/>
    </row>
    <row r="282" spans="2:10" ht="15.75" customHeight="1">
      <c r="B282" s="1318"/>
      <c r="C282" s="1317"/>
      <c r="D282" s="1318"/>
      <c r="E282" s="1318"/>
      <c r="F282" s="1318"/>
      <c r="G282" s="1318"/>
      <c r="H282" s="1318"/>
      <c r="I282" s="1318"/>
      <c r="J282" s="103"/>
    </row>
    <row r="283" spans="2:10" ht="15.75" customHeight="1">
      <c r="B283" s="1318"/>
      <c r="C283" s="1317"/>
      <c r="D283" s="1318"/>
      <c r="E283" s="1318"/>
      <c r="F283" s="1318"/>
      <c r="G283" s="1318"/>
      <c r="H283" s="1318"/>
      <c r="I283" s="1318"/>
      <c r="J283" s="103"/>
    </row>
    <row r="284" spans="2:10" ht="15.75" customHeight="1">
      <c r="B284" s="1318"/>
      <c r="C284" s="1317"/>
      <c r="D284" s="1318"/>
      <c r="E284" s="1318"/>
      <c r="F284" s="1318"/>
      <c r="G284" s="1318"/>
      <c r="H284" s="1318"/>
      <c r="I284" s="1318"/>
      <c r="J284" s="103"/>
    </row>
    <row r="285" spans="2:10" ht="15.75" customHeight="1">
      <c r="B285" s="1318"/>
      <c r="C285" s="1317"/>
      <c r="D285" s="1318"/>
      <c r="E285" s="1318"/>
      <c r="F285" s="1318"/>
      <c r="G285" s="1318"/>
      <c r="H285" s="1318"/>
      <c r="I285" s="1318"/>
      <c r="J285" s="103"/>
    </row>
    <row r="286" spans="2:10" ht="15.75" customHeight="1">
      <c r="B286" s="1318"/>
      <c r="C286" s="1317"/>
      <c r="D286" s="1318"/>
      <c r="E286" s="1318"/>
      <c r="F286" s="1318"/>
      <c r="G286" s="1318"/>
      <c r="H286" s="1318"/>
      <c r="I286" s="1318"/>
      <c r="J286" s="103"/>
    </row>
    <row r="287" spans="2:10" ht="15.75" customHeight="1">
      <c r="B287" s="1318"/>
      <c r="C287" s="1317"/>
      <c r="D287" s="1318"/>
      <c r="E287" s="1318"/>
      <c r="F287" s="1318"/>
      <c r="G287" s="1318"/>
      <c r="H287" s="1318"/>
      <c r="I287" s="1318"/>
      <c r="J287" s="103"/>
    </row>
    <row r="288" spans="2:10" ht="15.75" customHeight="1">
      <c r="B288" s="1318"/>
      <c r="C288" s="1317"/>
      <c r="D288" s="1318"/>
      <c r="E288" s="1318"/>
      <c r="F288" s="1318"/>
      <c r="G288" s="1318"/>
      <c r="H288" s="1318"/>
      <c r="I288" s="1318"/>
      <c r="J288" s="103"/>
    </row>
    <row r="289" spans="2:10" ht="15.75" customHeight="1">
      <c r="B289" s="1318"/>
      <c r="C289" s="1317"/>
      <c r="D289" s="1318"/>
      <c r="E289" s="1318"/>
      <c r="F289" s="1318"/>
      <c r="G289" s="1318"/>
      <c r="H289" s="1318"/>
      <c r="I289" s="1318"/>
      <c r="J289" s="103"/>
    </row>
    <row r="290" spans="2:10" ht="15.75" customHeight="1">
      <c r="B290" s="1318"/>
      <c r="C290" s="1317"/>
      <c r="D290" s="1318"/>
      <c r="E290" s="1318"/>
      <c r="F290" s="1318"/>
      <c r="G290" s="1318"/>
      <c r="H290" s="1318"/>
      <c r="I290" s="1318"/>
      <c r="J290" s="103"/>
    </row>
    <row r="291" spans="2:10" ht="15.75" customHeight="1">
      <c r="B291" s="1318"/>
      <c r="C291" s="1317"/>
      <c r="D291" s="1318"/>
      <c r="E291" s="1318"/>
      <c r="F291" s="1318"/>
      <c r="G291" s="1318"/>
      <c r="H291" s="1318"/>
      <c r="I291" s="1318"/>
      <c r="J291" s="103"/>
    </row>
    <row r="292" spans="2:10" ht="15.75" customHeight="1">
      <c r="B292" s="1318"/>
      <c r="C292" s="1317"/>
      <c r="D292" s="1318"/>
      <c r="E292" s="1318"/>
      <c r="F292" s="1318"/>
      <c r="G292" s="1318"/>
      <c r="H292" s="1318"/>
      <c r="I292" s="1318"/>
      <c r="J292" s="103"/>
    </row>
    <row r="293" spans="2:10" ht="15.75" customHeight="1">
      <c r="B293" s="1318"/>
      <c r="C293" s="1317"/>
      <c r="D293" s="1318"/>
      <c r="E293" s="1318"/>
      <c r="F293" s="1318"/>
      <c r="G293" s="1318"/>
      <c r="H293" s="1318"/>
      <c r="I293" s="1318"/>
      <c r="J293" s="103"/>
    </row>
    <row r="294" spans="2:10" ht="15.75" customHeight="1">
      <c r="B294" s="1318"/>
      <c r="C294" s="1317"/>
      <c r="D294" s="1318"/>
      <c r="E294" s="1318"/>
      <c r="F294" s="1318"/>
      <c r="G294" s="1318"/>
      <c r="H294" s="1318"/>
      <c r="I294" s="1318"/>
      <c r="J294" s="103"/>
    </row>
    <row r="295" spans="2:10" ht="15.75" customHeight="1">
      <c r="B295" s="1318"/>
      <c r="C295" s="1317"/>
      <c r="D295" s="1318"/>
      <c r="E295" s="1318"/>
      <c r="F295" s="1318"/>
      <c r="G295" s="1318"/>
      <c r="H295" s="1318"/>
      <c r="I295" s="1318"/>
      <c r="J295" s="103"/>
    </row>
    <row r="296" spans="2:10" ht="15.75" customHeight="1">
      <c r="B296" s="1318"/>
      <c r="C296" s="1317"/>
      <c r="D296" s="1318"/>
      <c r="E296" s="1318"/>
      <c r="F296" s="1318"/>
      <c r="G296" s="1318"/>
      <c r="H296" s="1318"/>
      <c r="I296" s="1318"/>
      <c r="J296" s="103"/>
    </row>
    <row r="297" spans="2:10" ht="15.75" customHeight="1">
      <c r="B297" s="1318"/>
      <c r="C297" s="1317"/>
      <c r="D297" s="1318"/>
      <c r="E297" s="1318"/>
      <c r="F297" s="1318"/>
      <c r="G297" s="1318"/>
      <c r="H297" s="1318"/>
      <c r="I297" s="1318"/>
      <c r="J297" s="103"/>
    </row>
    <row r="298" spans="2:10" ht="15.75" customHeight="1">
      <c r="B298" s="1318"/>
      <c r="C298" s="1317"/>
      <c r="D298" s="1318"/>
      <c r="E298" s="1318"/>
      <c r="F298" s="1318"/>
      <c r="G298" s="1318"/>
      <c r="H298" s="1318"/>
      <c r="I298" s="1318"/>
      <c r="J298" s="103"/>
    </row>
    <row r="299" spans="2:10" ht="15.75" customHeight="1">
      <c r="B299" s="1318"/>
      <c r="C299" s="1317"/>
      <c r="D299" s="1318"/>
      <c r="E299" s="1318"/>
      <c r="F299" s="1318"/>
      <c r="G299" s="1318"/>
      <c r="H299" s="1318"/>
      <c r="I299" s="1318"/>
      <c r="J299" s="103"/>
    </row>
    <row r="300" spans="2:10" ht="15.75" customHeight="1">
      <c r="B300" s="1318"/>
      <c r="C300" s="1317"/>
      <c r="D300" s="1318"/>
      <c r="E300" s="1318"/>
      <c r="F300" s="1318"/>
      <c r="G300" s="1318"/>
      <c r="H300" s="1318"/>
      <c r="I300" s="1318"/>
      <c r="J300" s="103"/>
    </row>
    <row r="301" spans="2:10" ht="15.75" customHeight="1">
      <c r="B301" s="1318"/>
      <c r="C301" s="1317"/>
      <c r="D301" s="1318"/>
      <c r="E301" s="1318"/>
      <c r="F301" s="1318"/>
      <c r="G301" s="1318"/>
      <c r="H301" s="1318"/>
      <c r="I301" s="1318"/>
      <c r="J301" s="103"/>
    </row>
    <row r="302" spans="2:10" ht="15.75" customHeight="1">
      <c r="B302" s="1318"/>
      <c r="C302" s="1317"/>
      <c r="D302" s="1318"/>
      <c r="E302" s="1318"/>
      <c r="F302" s="1318"/>
      <c r="G302" s="1318"/>
      <c r="H302" s="1318"/>
      <c r="I302" s="1318"/>
      <c r="J302" s="103"/>
    </row>
    <row r="303" spans="2:10" ht="15.75" customHeight="1">
      <c r="B303" s="1318"/>
      <c r="C303" s="1317"/>
      <c r="D303" s="1318"/>
      <c r="E303" s="1318"/>
      <c r="F303" s="1318"/>
      <c r="G303" s="1318"/>
      <c r="H303" s="1318"/>
      <c r="I303" s="1318"/>
      <c r="J303" s="103"/>
    </row>
    <row r="304" spans="2:10" ht="15.75" customHeight="1">
      <c r="B304" s="1318"/>
      <c r="C304" s="1317"/>
      <c r="D304" s="1318"/>
      <c r="E304" s="1318"/>
      <c r="F304" s="1318"/>
      <c r="G304" s="1318"/>
      <c r="H304" s="1318"/>
      <c r="I304" s="1318"/>
      <c r="J304" s="103"/>
    </row>
    <row r="305" spans="2:10" ht="15.75" customHeight="1">
      <c r="B305" s="1318"/>
      <c r="C305" s="1317"/>
      <c r="D305" s="1318"/>
      <c r="E305" s="1318"/>
      <c r="F305" s="1318"/>
      <c r="G305" s="1318"/>
      <c r="H305" s="1318"/>
      <c r="I305" s="1318"/>
      <c r="J305" s="103"/>
    </row>
    <row r="306" spans="2:10" ht="15.75" customHeight="1">
      <c r="B306" s="1318"/>
      <c r="C306" s="1317"/>
      <c r="D306" s="1318"/>
      <c r="E306" s="1318"/>
      <c r="F306" s="1318"/>
      <c r="G306" s="1318"/>
      <c r="H306" s="1318"/>
      <c r="I306" s="1318"/>
      <c r="J306" s="103"/>
    </row>
    <row r="307" spans="2:10" ht="15.75" customHeight="1">
      <c r="B307" s="1318"/>
      <c r="C307" s="1317"/>
      <c r="D307" s="1318"/>
      <c r="E307" s="1318"/>
      <c r="F307" s="1318"/>
      <c r="G307" s="1318"/>
      <c r="H307" s="1318"/>
      <c r="I307" s="1318"/>
      <c r="J307" s="103"/>
    </row>
    <row r="308" spans="2:10" ht="15.75" customHeight="1">
      <c r="B308" s="1318"/>
      <c r="C308" s="1317"/>
      <c r="D308" s="1318"/>
      <c r="E308" s="1318"/>
      <c r="F308" s="1318"/>
      <c r="G308" s="1318"/>
      <c r="H308" s="1318"/>
      <c r="I308" s="1318"/>
      <c r="J308" s="103"/>
    </row>
    <row r="309" spans="2:10" ht="15.75" customHeight="1">
      <c r="B309" s="1318"/>
      <c r="C309" s="1317"/>
      <c r="D309" s="1318"/>
      <c r="E309" s="1318"/>
      <c r="F309" s="1318"/>
      <c r="G309" s="1318"/>
      <c r="H309" s="1318"/>
      <c r="I309" s="1318"/>
      <c r="J309" s="103"/>
    </row>
    <row r="310" spans="2:10" ht="15.75" customHeight="1">
      <c r="B310" s="1318"/>
      <c r="C310" s="1317"/>
      <c r="D310" s="1318"/>
      <c r="E310" s="1318"/>
      <c r="F310" s="1318"/>
      <c r="G310" s="1318"/>
      <c r="H310" s="1318"/>
      <c r="I310" s="1318"/>
      <c r="J310" s="103"/>
    </row>
    <row r="311" spans="2:10" ht="15.75" customHeight="1">
      <c r="B311" s="1318"/>
      <c r="C311" s="1317"/>
      <c r="D311" s="1318"/>
      <c r="E311" s="1318"/>
      <c r="F311" s="1318"/>
      <c r="G311" s="1318"/>
      <c r="H311" s="1318"/>
      <c r="I311" s="1318"/>
      <c r="J311" s="103"/>
    </row>
    <row r="312" spans="2:10" ht="15.75" customHeight="1">
      <c r="B312" s="1318"/>
      <c r="C312" s="1317"/>
      <c r="D312" s="1318"/>
      <c r="E312" s="1318"/>
      <c r="F312" s="1318"/>
      <c r="G312" s="1318"/>
      <c r="H312" s="1318"/>
      <c r="I312" s="1318"/>
      <c r="J312" s="103"/>
    </row>
    <row r="313" spans="2:10" ht="15.75" customHeight="1">
      <c r="B313" s="1318"/>
      <c r="C313" s="1317"/>
      <c r="D313" s="1318"/>
      <c r="E313" s="1318"/>
      <c r="F313" s="1318"/>
      <c r="G313" s="1318"/>
      <c r="H313" s="1318"/>
      <c r="I313" s="1318"/>
      <c r="J313" s="103"/>
    </row>
    <row r="314" spans="2:10" ht="15.75" customHeight="1">
      <c r="B314" s="1318"/>
      <c r="C314" s="1317"/>
      <c r="D314" s="1318"/>
      <c r="E314" s="1318"/>
      <c r="F314" s="1318"/>
      <c r="G314" s="1318"/>
      <c r="H314" s="1318"/>
      <c r="I314" s="1318"/>
      <c r="J314" s="103"/>
    </row>
    <row r="315" spans="2:10" ht="15.75" customHeight="1">
      <c r="B315" s="1318"/>
      <c r="C315" s="1317"/>
      <c r="D315" s="1318"/>
      <c r="E315" s="1318"/>
      <c r="F315" s="1318"/>
      <c r="G315" s="1318"/>
      <c r="H315" s="1318"/>
      <c r="I315" s="1318"/>
      <c r="J315" s="103"/>
    </row>
    <row r="316" spans="2:10" ht="15.75" customHeight="1">
      <c r="B316" s="1318"/>
      <c r="C316" s="1317"/>
      <c r="D316" s="1318"/>
      <c r="E316" s="1318"/>
      <c r="F316" s="1318"/>
      <c r="G316" s="1318"/>
      <c r="H316" s="1318"/>
      <c r="I316" s="1318"/>
      <c r="J316" s="103"/>
    </row>
    <row r="317" spans="2:10" ht="15.75" customHeight="1">
      <c r="B317" s="1318"/>
      <c r="C317" s="1317"/>
      <c r="D317" s="1318"/>
      <c r="E317" s="1318"/>
      <c r="F317" s="1318"/>
      <c r="G317" s="1318"/>
      <c r="H317" s="1318"/>
      <c r="I317" s="1318"/>
      <c r="J317" s="103"/>
    </row>
    <row r="318" spans="2:10" ht="15.75" customHeight="1">
      <c r="B318" s="1318"/>
      <c r="C318" s="1317"/>
      <c r="D318" s="1318"/>
      <c r="E318" s="1318"/>
      <c r="F318" s="1318"/>
      <c r="G318" s="1318"/>
      <c r="H318" s="1318"/>
      <c r="I318" s="1318"/>
      <c r="J318" s="103"/>
    </row>
    <row r="319" spans="2:10" ht="15.75" customHeight="1">
      <c r="B319" s="1318"/>
      <c r="C319" s="1317"/>
      <c r="D319" s="1318"/>
      <c r="E319" s="1318"/>
      <c r="F319" s="1318"/>
      <c r="G319" s="1318"/>
      <c r="H319" s="1318"/>
      <c r="I319" s="1318"/>
      <c r="J319" s="103"/>
    </row>
    <row r="320" spans="2:10" ht="15.75" customHeight="1">
      <c r="B320" s="1318"/>
      <c r="C320" s="1317"/>
      <c r="D320" s="1318"/>
      <c r="E320" s="1318"/>
      <c r="F320" s="1318"/>
      <c r="G320" s="1318"/>
      <c r="H320" s="1318"/>
      <c r="I320" s="1318"/>
      <c r="J320" s="103"/>
    </row>
    <row r="321" spans="2:10" ht="15.75" customHeight="1">
      <c r="B321" s="1318"/>
      <c r="C321" s="1317"/>
      <c r="D321" s="1318"/>
      <c r="E321" s="1318"/>
      <c r="F321" s="1318"/>
      <c r="G321" s="1318"/>
      <c r="H321" s="1318"/>
      <c r="I321" s="1318"/>
      <c r="J321" s="103"/>
    </row>
    <row r="322" spans="2:10" ht="15.75" customHeight="1">
      <c r="B322" s="1318"/>
      <c r="C322" s="1317"/>
      <c r="D322" s="1318"/>
      <c r="E322" s="1318"/>
      <c r="F322" s="1318"/>
      <c r="G322" s="1318"/>
      <c r="H322" s="1318"/>
      <c r="I322" s="1318"/>
      <c r="J322" s="103"/>
    </row>
    <row r="323" spans="2:10" ht="15.75" customHeight="1">
      <c r="B323" s="1318"/>
      <c r="C323" s="1317"/>
      <c r="D323" s="1318"/>
      <c r="E323" s="1318"/>
      <c r="F323" s="1318"/>
      <c r="G323" s="1318"/>
      <c r="H323" s="1318"/>
      <c r="I323" s="1318"/>
      <c r="J323" s="103"/>
    </row>
    <row r="324" spans="2:10" ht="15.75" customHeight="1">
      <c r="B324" s="1318"/>
      <c r="C324" s="1317"/>
      <c r="D324" s="1318"/>
      <c r="E324" s="1318"/>
      <c r="F324" s="1318"/>
      <c r="G324" s="1318"/>
      <c r="H324" s="1318"/>
      <c r="I324" s="1318"/>
      <c r="J324" s="103"/>
    </row>
  </sheetData>
  <mergeCells count="18">
    <mergeCell ref="B109:D109"/>
    <mergeCell ref="B134:D134"/>
    <mergeCell ref="B67:D67"/>
    <mergeCell ref="B73:D73"/>
    <mergeCell ref="B82:D82"/>
    <mergeCell ref="B96:D96"/>
    <mergeCell ref="B101:D101"/>
    <mergeCell ref="B16:D16"/>
    <mergeCell ref="B36:D36"/>
    <mergeCell ref="B40:D40"/>
    <mergeCell ref="B56:D56"/>
    <mergeCell ref="B60:D60"/>
    <mergeCell ref="I1:J1"/>
    <mergeCell ref="B6:B7"/>
    <mergeCell ref="C6:C7"/>
    <mergeCell ref="D6:D7"/>
    <mergeCell ref="E6:G6"/>
    <mergeCell ref="H6:I6"/>
  </mergeCells>
  <pageMargins left="0.5" right="0.25" top="0.5" bottom="0.5" header="0.25" footer="0.5"/>
  <pageSetup paperSize="9" scale="78" firstPageNumber="107" orientation="portrait" useFirstPageNumber="1" r:id="rId1"/>
  <headerFooter alignWithMargins="0">
    <oddHeader>Page &amp;P of &amp;N</oddHeader>
    <oddFooter>&amp;LContractor: - ______________&amp;CConsultant: - ______________&amp;RClient: - __________________</oddFooter>
  </headerFooter>
  <rowBreaks count="2" manualBreakCount="2">
    <brk id="60" max="9" man="1"/>
    <brk id="109" max="9"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1"/>
  <sheetViews>
    <sheetView view="pageBreakPreview" zoomScaleNormal="115" zoomScaleSheetLayoutView="100" zoomScalePageLayoutView="85" workbookViewId="0">
      <selection activeCell="E16" sqref="E16"/>
    </sheetView>
  </sheetViews>
  <sheetFormatPr defaultRowHeight="15.75"/>
  <cols>
    <col min="1" max="1" width="4.5703125" style="103" customWidth="1"/>
    <col min="2" max="2" width="5.28515625" style="103" customWidth="1"/>
    <col min="3" max="3" width="9.85546875" style="159" customWidth="1"/>
    <col min="4" max="4" width="10" style="159" customWidth="1"/>
    <col min="5" max="5" width="38.5703125" style="103" customWidth="1"/>
    <col min="6" max="6" width="6" style="159" customWidth="1"/>
    <col min="7" max="7" width="10.140625" style="835" customWidth="1"/>
    <col min="8" max="8" width="11.28515625" style="836" customWidth="1"/>
    <col min="9" max="9" width="41.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1020"/>
      <c r="H1" s="821"/>
      <c r="I1" s="1021"/>
      <c r="J1" s="820"/>
    </row>
    <row r="2" spans="1:10">
      <c r="A2" s="818"/>
      <c r="B2" s="2059" t="s">
        <v>1917</v>
      </c>
      <c r="C2" s="2059"/>
      <c r="D2" s="2059"/>
      <c r="E2" s="2059"/>
      <c r="F2" s="819"/>
      <c r="G2" s="1020"/>
      <c r="J2" s="818"/>
    </row>
    <row r="3" spans="1:10">
      <c r="A3" s="818"/>
      <c r="B3" s="2059" t="s">
        <v>1920</v>
      </c>
      <c r="C3" s="2059"/>
      <c r="D3" s="2059"/>
      <c r="E3" s="2059"/>
      <c r="F3" s="2059"/>
      <c r="G3" s="1020"/>
      <c r="H3" s="2060" t="s">
        <v>2187</v>
      </c>
      <c r="I3" s="2060"/>
      <c r="J3" s="818"/>
    </row>
    <row r="4" spans="1:10">
      <c r="A4" s="818"/>
      <c r="B4" s="2059" t="s">
        <v>1921</v>
      </c>
      <c r="C4" s="2059"/>
      <c r="D4" s="2059"/>
      <c r="E4" s="2059"/>
      <c r="F4" s="819"/>
      <c r="G4" s="1020"/>
      <c r="H4" s="2061"/>
      <c r="I4" s="2061"/>
      <c r="J4" s="818"/>
    </row>
    <row r="5" spans="1:10">
      <c r="A5" s="818"/>
      <c r="B5" s="824"/>
      <c r="C5" s="1020"/>
      <c r="D5" s="1020"/>
      <c r="E5" s="825"/>
      <c r="F5" s="819"/>
      <c r="G5" s="1019"/>
      <c r="H5" s="827"/>
      <c r="I5" s="1019"/>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1887</v>
      </c>
      <c r="F7" s="831"/>
      <c r="G7" s="829"/>
      <c r="H7" s="832"/>
      <c r="I7" s="833" t="s">
        <v>2200</v>
      </c>
    </row>
    <row r="8" spans="1:10">
      <c r="A8" s="818"/>
      <c r="B8" s="831"/>
      <c r="C8" s="829"/>
      <c r="D8" s="832"/>
      <c r="E8" s="844" t="s">
        <v>1888</v>
      </c>
      <c r="F8" s="831"/>
      <c r="G8" s="829"/>
      <c r="H8" s="832"/>
      <c r="I8" s="833" t="s">
        <v>1916</v>
      </c>
    </row>
    <row r="9" spans="1:10">
      <c r="A9" s="818"/>
      <c r="B9" s="831"/>
      <c r="C9" s="829"/>
      <c r="D9" s="832"/>
      <c r="E9" s="844" t="s">
        <v>1889</v>
      </c>
      <c r="F9" s="831">
        <v>4</v>
      </c>
      <c r="G9" s="829">
        <v>15</v>
      </c>
      <c r="H9" s="832"/>
      <c r="I9" s="833" t="s">
        <v>2201</v>
      </c>
    </row>
    <row r="10" spans="1:10">
      <c r="A10" s="818"/>
      <c r="B10" s="831">
        <v>1</v>
      </c>
      <c r="C10" s="829">
        <v>19</v>
      </c>
      <c r="D10" s="832"/>
      <c r="E10" s="833" t="s">
        <v>2188</v>
      </c>
      <c r="F10" s="831"/>
      <c r="G10" s="829">
        <v>0.25</v>
      </c>
      <c r="H10" s="832"/>
      <c r="I10" s="833" t="s">
        <v>2202</v>
      </c>
    </row>
    <row r="11" spans="1:10">
      <c r="A11" s="818"/>
      <c r="B11" s="831"/>
      <c r="C11" s="829">
        <v>9</v>
      </c>
      <c r="D11" s="832">
        <f>C11*C10*B10</f>
        <v>171</v>
      </c>
      <c r="E11" s="833" t="s">
        <v>2189</v>
      </c>
      <c r="F11" s="831"/>
      <c r="G11" s="829">
        <v>0.7</v>
      </c>
      <c r="H11" s="832">
        <f>F9*G9*G10*G11</f>
        <v>10.5</v>
      </c>
      <c r="I11" s="833"/>
    </row>
    <row r="12" spans="1:10">
      <c r="A12" s="818"/>
      <c r="B12" s="831"/>
      <c r="C12" s="829"/>
      <c r="D12" s="832"/>
      <c r="E12" s="833"/>
      <c r="F12" s="831"/>
      <c r="G12" s="829"/>
      <c r="H12" s="832"/>
      <c r="I12" s="833"/>
    </row>
    <row r="13" spans="1:10" ht="21">
      <c r="A13" s="818"/>
      <c r="B13" s="839"/>
      <c r="C13" s="839"/>
      <c r="D13" s="838">
        <f>D11</f>
        <v>171</v>
      </c>
      <c r="E13" s="845" t="s">
        <v>2805</v>
      </c>
      <c r="F13" s="831">
        <v>10</v>
      </c>
      <c r="G13" s="829">
        <v>5.9</v>
      </c>
      <c r="H13" s="832"/>
      <c r="I13" s="833" t="s">
        <v>1914</v>
      </c>
    </row>
    <row r="14" spans="1:10">
      <c r="A14" s="818"/>
      <c r="B14" s="831"/>
      <c r="C14" s="829"/>
      <c r="D14" s="832"/>
      <c r="E14" s="833"/>
      <c r="F14" s="831"/>
      <c r="G14" s="829">
        <v>0.25</v>
      </c>
      <c r="H14" s="832"/>
      <c r="I14" s="833" t="s">
        <v>2203</v>
      </c>
    </row>
    <row r="15" spans="1:10">
      <c r="A15" s="818"/>
      <c r="B15" s="831"/>
      <c r="C15" s="829"/>
      <c r="D15" s="832"/>
      <c r="E15" s="844" t="s">
        <v>1890</v>
      </c>
      <c r="F15" s="831"/>
      <c r="G15" s="829">
        <v>0.7</v>
      </c>
      <c r="H15" s="832">
        <f>F13*G13*G14*G15</f>
        <v>10.324999999999999</v>
      </c>
      <c r="I15" s="833" t="s">
        <v>2202</v>
      </c>
    </row>
    <row r="16" spans="1:10">
      <c r="A16" s="818"/>
      <c r="B16" s="831">
        <v>1</v>
      </c>
      <c r="C16" s="829">
        <v>15.7</v>
      </c>
      <c r="D16" s="832"/>
      <c r="E16" s="833" t="s">
        <v>2190</v>
      </c>
      <c r="F16" s="435"/>
      <c r="G16" s="435"/>
      <c r="H16" s="435"/>
      <c r="I16" s="833"/>
    </row>
    <row r="17" spans="1:9">
      <c r="A17" s="818"/>
      <c r="B17" s="831"/>
      <c r="C17" s="829">
        <v>5.7</v>
      </c>
      <c r="D17" s="832"/>
      <c r="E17" s="833" t="s">
        <v>2191</v>
      </c>
      <c r="F17" s="839"/>
      <c r="G17" s="839"/>
      <c r="H17" s="838">
        <f>D49-D53+H11+H15</f>
        <v>93.645799999999994</v>
      </c>
      <c r="I17" s="845" t="s">
        <v>2204</v>
      </c>
    </row>
    <row r="18" spans="1:9">
      <c r="A18" s="818"/>
      <c r="B18" s="831"/>
      <c r="C18" s="829">
        <v>0.1</v>
      </c>
      <c r="D18" s="832"/>
      <c r="E18" s="833"/>
      <c r="F18" s="831"/>
      <c r="G18" s="829"/>
      <c r="H18" s="832"/>
      <c r="I18" s="833"/>
    </row>
    <row r="19" spans="1:9">
      <c r="A19" s="818"/>
      <c r="B19" s="831"/>
      <c r="C19" s="829"/>
      <c r="D19" s="832">
        <f>B16*C16*C17*C18</f>
        <v>8.9489999999999998</v>
      </c>
      <c r="E19" s="833"/>
      <c r="F19" s="831"/>
      <c r="G19" s="829"/>
      <c r="H19" s="832"/>
      <c r="I19" s="844" t="s">
        <v>2806</v>
      </c>
    </row>
    <row r="20" spans="1:9">
      <c r="A20" s="818"/>
      <c r="B20" s="831"/>
      <c r="C20" s="829"/>
      <c r="D20" s="832"/>
      <c r="E20" s="833"/>
      <c r="F20" s="831">
        <v>1</v>
      </c>
      <c r="G20" s="829">
        <f>C10</f>
        <v>19</v>
      </c>
      <c r="H20" s="832"/>
      <c r="I20" s="833"/>
    </row>
    <row r="21" spans="1:9">
      <c r="A21" s="818"/>
      <c r="B21" s="831"/>
      <c r="C21" s="829"/>
      <c r="D21" s="832"/>
      <c r="E21" s="844" t="s">
        <v>1915</v>
      </c>
      <c r="F21" s="831"/>
      <c r="G21" s="829">
        <f>C11</f>
        <v>9</v>
      </c>
      <c r="H21" s="832"/>
      <c r="I21" s="833"/>
    </row>
    <row r="22" spans="1:9">
      <c r="A22" s="818"/>
      <c r="B22" s="831">
        <v>2</v>
      </c>
      <c r="C22" s="829">
        <v>15.7</v>
      </c>
      <c r="D22" s="832"/>
      <c r="E22" s="833" t="s">
        <v>1916</v>
      </c>
      <c r="F22" s="831"/>
      <c r="G22" s="829">
        <v>0.3</v>
      </c>
      <c r="H22" s="832">
        <f>F20*G20*G21*G22</f>
        <v>51.3</v>
      </c>
      <c r="I22" s="833" t="s">
        <v>1936</v>
      </c>
    </row>
    <row r="23" spans="1:9">
      <c r="A23" s="818"/>
      <c r="B23" s="831"/>
      <c r="C23" s="829">
        <v>0.7</v>
      </c>
      <c r="D23" s="832"/>
      <c r="E23" s="833" t="s">
        <v>2190</v>
      </c>
      <c r="F23" s="831"/>
      <c r="G23" s="829"/>
      <c r="H23" s="832"/>
      <c r="I23" s="833"/>
    </row>
    <row r="24" spans="1:9">
      <c r="A24" s="818"/>
      <c r="B24" s="831"/>
      <c r="C24" s="829">
        <v>0.1</v>
      </c>
      <c r="D24" s="832">
        <f>B22*C22*C23*C24</f>
        <v>2.198</v>
      </c>
      <c r="E24" s="833"/>
      <c r="F24" s="831"/>
      <c r="G24" s="829"/>
      <c r="H24" s="832">
        <f>'Staff TOS'!D30</f>
        <v>5.5539999999999994</v>
      </c>
      <c r="I24" s="833" t="s">
        <v>1937</v>
      </c>
    </row>
    <row r="25" spans="1:9">
      <c r="A25" s="818"/>
      <c r="B25" s="831"/>
      <c r="C25" s="829"/>
      <c r="D25" s="832"/>
      <c r="E25" s="833"/>
      <c r="F25" s="831"/>
      <c r="G25" s="829"/>
      <c r="H25" s="832"/>
      <c r="I25" s="833"/>
    </row>
    <row r="26" spans="1:9">
      <c r="A26" s="818"/>
      <c r="B26" s="831">
        <v>3</v>
      </c>
      <c r="C26" s="829">
        <v>5.7</v>
      </c>
      <c r="D26" s="832"/>
      <c r="E26" s="833" t="s">
        <v>1914</v>
      </c>
      <c r="F26" s="831"/>
      <c r="G26" s="829"/>
      <c r="H26" s="832">
        <f>'Staff TOS'!D43</f>
        <v>40.004999999999995</v>
      </c>
      <c r="I26" s="833" t="s">
        <v>1938</v>
      </c>
    </row>
    <row r="27" spans="1:9" ht="18.75" customHeight="1">
      <c r="A27" s="818"/>
      <c r="B27" s="831"/>
      <c r="C27" s="829">
        <v>0.7</v>
      </c>
      <c r="D27" s="832"/>
      <c r="E27" s="833" t="s">
        <v>2191</v>
      </c>
      <c r="F27" s="831"/>
      <c r="G27" s="829"/>
      <c r="H27" s="832"/>
      <c r="I27" s="833"/>
    </row>
    <row r="28" spans="1:9">
      <c r="A28" s="818"/>
      <c r="B28" s="831"/>
      <c r="C28" s="829">
        <v>0.1</v>
      </c>
      <c r="D28" s="832">
        <f>B26*C26*C27*C28</f>
        <v>1.1970000000000001</v>
      </c>
      <c r="E28" s="833"/>
      <c r="F28" s="831"/>
      <c r="G28" s="829"/>
      <c r="H28" s="832">
        <f>H17</f>
        <v>93.645799999999994</v>
      </c>
      <c r="I28" s="844" t="s">
        <v>1915</v>
      </c>
    </row>
    <row r="29" spans="1:9">
      <c r="A29" s="818"/>
      <c r="B29" s="831"/>
      <c r="C29" s="829"/>
      <c r="D29" s="832"/>
      <c r="E29" s="833"/>
      <c r="F29" s="831"/>
      <c r="G29" s="829"/>
      <c r="H29" s="832"/>
      <c r="I29" s="833"/>
    </row>
    <row r="30" spans="1:9" ht="21">
      <c r="A30" s="818"/>
      <c r="B30" s="831"/>
      <c r="C30" s="829"/>
      <c r="D30" s="832">
        <f>D19-D24-D28</f>
        <v>5.5539999999999994</v>
      </c>
      <c r="E30" s="844" t="s">
        <v>2807</v>
      </c>
      <c r="F30" s="839"/>
      <c r="G30" s="839"/>
      <c r="H30" s="838">
        <f>H22+H24+H26-H28</f>
        <v>3.2132000000000005</v>
      </c>
      <c r="I30" s="845" t="s">
        <v>2808</v>
      </c>
    </row>
    <row r="31" spans="1:9">
      <c r="A31" s="818"/>
      <c r="B31" s="831"/>
      <c r="C31" s="829"/>
      <c r="D31" s="832"/>
      <c r="E31" s="833"/>
      <c r="F31" s="831"/>
      <c r="G31" s="829"/>
      <c r="H31" s="832"/>
      <c r="I31" s="833"/>
    </row>
    <row r="32" spans="1:9">
      <c r="A32" s="818"/>
      <c r="B32" s="831"/>
      <c r="C32" s="829"/>
      <c r="D32" s="832"/>
      <c r="E32" s="844" t="s">
        <v>2192</v>
      </c>
      <c r="F32" s="831"/>
      <c r="G32" s="829"/>
      <c r="H32" s="832"/>
      <c r="I32" s="833" t="s">
        <v>2214</v>
      </c>
    </row>
    <row r="33" spans="1:9">
      <c r="A33" s="818"/>
      <c r="B33" s="831"/>
      <c r="C33" s="829"/>
      <c r="D33" s="832"/>
      <c r="E33" s="833"/>
      <c r="F33" s="831">
        <v>4</v>
      </c>
      <c r="G33" s="829">
        <v>6.3</v>
      </c>
      <c r="H33" s="832"/>
      <c r="I33" s="833"/>
    </row>
    <row r="34" spans="1:9">
      <c r="A34" s="818"/>
      <c r="B34" s="831">
        <v>2</v>
      </c>
      <c r="C34" s="829">
        <v>17.5</v>
      </c>
      <c r="D34" s="832"/>
      <c r="E34" s="833" t="s">
        <v>1916</v>
      </c>
      <c r="F34" s="831"/>
      <c r="G34" s="829">
        <v>3.95</v>
      </c>
      <c r="H34" s="832"/>
      <c r="I34" s="833"/>
    </row>
    <row r="35" spans="1:9" ht="21">
      <c r="A35" s="818"/>
      <c r="B35" s="831"/>
      <c r="C35" s="829">
        <v>0.9</v>
      </c>
      <c r="D35" s="832"/>
      <c r="E35" s="833" t="s">
        <v>2193</v>
      </c>
      <c r="F35" s="839"/>
      <c r="G35" s="839"/>
      <c r="H35" s="838">
        <f>F33*G33*G34</f>
        <v>99.54</v>
      </c>
      <c r="I35" s="845" t="s">
        <v>2809</v>
      </c>
    </row>
    <row r="36" spans="1:9">
      <c r="A36" s="818"/>
      <c r="B36" s="831"/>
      <c r="C36" s="829">
        <v>0.7</v>
      </c>
      <c r="D36" s="832">
        <f>B34*C34*C35*C36</f>
        <v>22.049999999999997</v>
      </c>
      <c r="E36" s="833"/>
      <c r="F36" s="831"/>
      <c r="G36" s="829"/>
      <c r="H36" s="832"/>
      <c r="I36" s="833"/>
    </row>
    <row r="37" spans="1:9">
      <c r="A37" s="818"/>
      <c r="B37" s="831"/>
      <c r="C37" s="829"/>
      <c r="D37" s="832"/>
      <c r="E37" s="833"/>
      <c r="F37" s="831"/>
      <c r="G37" s="829"/>
      <c r="H37" s="832"/>
      <c r="I37" s="844" t="s">
        <v>2206</v>
      </c>
    </row>
    <row r="38" spans="1:9">
      <c r="A38" s="818"/>
      <c r="B38" s="831"/>
      <c r="C38" s="829"/>
      <c r="D38" s="832"/>
      <c r="E38" s="833"/>
      <c r="F38" s="831"/>
      <c r="G38" s="829"/>
      <c r="H38" s="832"/>
      <c r="I38" s="844" t="s">
        <v>2207</v>
      </c>
    </row>
    <row r="39" spans="1:9">
      <c r="A39" s="818"/>
      <c r="B39" s="831">
        <v>5</v>
      </c>
      <c r="C39" s="829">
        <v>5.7</v>
      </c>
      <c r="D39" s="832"/>
      <c r="E39" s="833" t="s">
        <v>1914</v>
      </c>
      <c r="F39" s="435"/>
      <c r="G39" s="435"/>
      <c r="H39" s="435"/>
      <c r="I39" s="844" t="s">
        <v>2208</v>
      </c>
    </row>
    <row r="40" spans="1:9">
      <c r="A40" s="818"/>
      <c r="B40" s="831"/>
      <c r="C40" s="829">
        <v>0.9</v>
      </c>
      <c r="D40" s="832"/>
      <c r="E40" s="833" t="s">
        <v>2194</v>
      </c>
      <c r="F40" s="831">
        <v>2</v>
      </c>
      <c r="G40" s="829">
        <v>17</v>
      </c>
      <c r="H40" s="832"/>
      <c r="I40" s="833" t="s">
        <v>2209</v>
      </c>
    </row>
    <row r="41" spans="1:9">
      <c r="A41" s="818"/>
      <c r="B41" s="831"/>
      <c r="C41" s="829">
        <v>0.7</v>
      </c>
      <c r="D41" s="832">
        <f>B39*C39*C40*C41</f>
        <v>17.955000000000002</v>
      </c>
      <c r="E41" s="833" t="s">
        <v>2195</v>
      </c>
      <c r="F41" s="831"/>
      <c r="G41" s="829">
        <v>0.5</v>
      </c>
      <c r="H41" s="832">
        <v>17</v>
      </c>
      <c r="I41" s="833" t="s">
        <v>2210</v>
      </c>
    </row>
    <row r="42" spans="1:9">
      <c r="A42" s="818"/>
      <c r="B42" s="831"/>
      <c r="C42" s="829"/>
      <c r="D42" s="832"/>
      <c r="E42" s="833"/>
      <c r="F42" s="831"/>
      <c r="G42" s="829"/>
      <c r="H42" s="832"/>
      <c r="I42" s="833"/>
    </row>
    <row r="43" spans="1:9" ht="21">
      <c r="A43" s="818"/>
      <c r="B43" s="839"/>
      <c r="C43" s="839"/>
      <c r="D43" s="838">
        <f>D36+D41</f>
        <v>40.004999999999995</v>
      </c>
      <c r="E43" s="845" t="s">
        <v>2810</v>
      </c>
      <c r="F43" s="831">
        <v>5</v>
      </c>
      <c r="G43" s="829">
        <v>6.2</v>
      </c>
      <c r="H43" s="832"/>
      <c r="I43" s="833" t="s">
        <v>2211</v>
      </c>
    </row>
    <row r="44" spans="1:9">
      <c r="A44" s="818"/>
      <c r="B44" s="831"/>
      <c r="C44" s="829"/>
      <c r="D44" s="832"/>
      <c r="E44" s="833"/>
      <c r="F44" s="831"/>
      <c r="G44" s="829">
        <v>0.5</v>
      </c>
      <c r="H44" s="832">
        <v>15.5</v>
      </c>
      <c r="I44" s="833" t="s">
        <v>2212</v>
      </c>
    </row>
    <row r="45" spans="1:9">
      <c r="A45" s="818"/>
      <c r="B45" s="831"/>
      <c r="C45" s="829"/>
      <c r="D45" s="832"/>
      <c r="E45" s="844" t="s">
        <v>2213</v>
      </c>
      <c r="F45" s="831"/>
      <c r="G45" s="829"/>
      <c r="H45" s="832"/>
      <c r="I45" s="833"/>
    </row>
    <row r="46" spans="1:9">
      <c r="A46" s="818"/>
      <c r="B46" s="831"/>
      <c r="C46" s="829"/>
      <c r="D46" s="832"/>
      <c r="E46" s="833" t="s">
        <v>2196</v>
      </c>
      <c r="F46" s="831">
        <v>10</v>
      </c>
      <c r="G46" s="829">
        <v>0.5</v>
      </c>
      <c r="H46" s="832"/>
      <c r="I46" s="833"/>
    </row>
    <row r="47" spans="1:9">
      <c r="A47" s="818"/>
      <c r="B47" s="831">
        <v>1</v>
      </c>
      <c r="C47" s="829">
        <v>16.2</v>
      </c>
      <c r="D47" s="832"/>
      <c r="E47" s="833" t="s">
        <v>2197</v>
      </c>
      <c r="F47" s="831"/>
      <c r="G47" s="829">
        <v>0.6</v>
      </c>
      <c r="H47" s="832">
        <v>3</v>
      </c>
      <c r="I47" s="833"/>
    </row>
    <row r="48" spans="1:9">
      <c r="A48" s="818"/>
      <c r="B48" s="831"/>
      <c r="C48" s="829">
        <v>6.2</v>
      </c>
      <c r="D48" s="832"/>
      <c r="E48" s="833" t="s">
        <v>2198</v>
      </c>
      <c r="F48" s="831"/>
      <c r="G48" s="829"/>
      <c r="H48" s="435"/>
      <c r="I48" s="833"/>
    </row>
    <row r="49" spans="1:10">
      <c r="A49" s="818"/>
      <c r="B49" s="831"/>
      <c r="C49" s="829">
        <v>0.78</v>
      </c>
      <c r="D49" s="832">
        <f>B47*C47*C48*C49</f>
        <v>78.343199999999996</v>
      </c>
      <c r="E49" s="833"/>
      <c r="F49" s="839"/>
      <c r="G49" s="839"/>
      <c r="H49" s="838">
        <f>SUM(H41:H47)</f>
        <v>35.5</v>
      </c>
      <c r="I49" s="845" t="s">
        <v>2122</v>
      </c>
    </row>
    <row r="50" spans="1:10">
      <c r="A50" s="818"/>
      <c r="B50" s="831"/>
      <c r="C50" s="829"/>
      <c r="D50" s="832"/>
      <c r="E50" s="833"/>
      <c r="F50" s="435"/>
      <c r="G50" s="435"/>
      <c r="H50" s="435"/>
      <c r="I50" s="435"/>
    </row>
    <row r="51" spans="1:10">
      <c r="A51" s="818"/>
      <c r="B51" s="831">
        <v>3</v>
      </c>
      <c r="C51" s="829">
        <v>5.9</v>
      </c>
      <c r="D51" s="832"/>
      <c r="E51" s="833"/>
      <c r="F51" s="831"/>
      <c r="G51" s="829"/>
      <c r="H51" s="832"/>
      <c r="I51" s="844" t="s">
        <v>2811</v>
      </c>
    </row>
    <row r="52" spans="1:10">
      <c r="A52" s="818"/>
      <c r="B52" s="831"/>
      <c r="C52" s="829">
        <v>0.4</v>
      </c>
      <c r="D52" s="832"/>
      <c r="E52" s="833"/>
      <c r="F52" s="831">
        <v>4</v>
      </c>
      <c r="G52" s="829">
        <v>6.3</v>
      </c>
      <c r="H52" s="832"/>
      <c r="I52" s="833" t="s">
        <v>2215</v>
      </c>
    </row>
    <row r="53" spans="1:10">
      <c r="A53" s="818"/>
      <c r="B53" s="831"/>
      <c r="C53" s="829">
        <v>0.78</v>
      </c>
      <c r="D53" s="832">
        <f>B51*C51*C52*C53</f>
        <v>5.522400000000002</v>
      </c>
      <c r="E53" s="833" t="s">
        <v>2199</v>
      </c>
      <c r="F53" s="831"/>
      <c r="G53" s="829">
        <v>3.95</v>
      </c>
      <c r="H53" s="832"/>
      <c r="I53" s="435"/>
    </row>
    <row r="54" spans="1:10" ht="21">
      <c r="A54" s="818"/>
      <c r="B54" s="831"/>
      <c r="C54" s="829"/>
      <c r="D54" s="832"/>
      <c r="E54" s="833"/>
      <c r="F54" s="839"/>
      <c r="G54" s="839"/>
      <c r="H54" s="838">
        <f>F52*(G52*G53)</f>
        <v>99.54</v>
      </c>
      <c r="I54" s="845" t="s">
        <v>2812</v>
      </c>
    </row>
    <row r="55" spans="1:10">
      <c r="A55" s="818"/>
      <c r="B55" s="839"/>
      <c r="C55" s="839"/>
      <c r="D55" s="838">
        <f>SUM(D49:D54)</f>
        <v>83.865600000000001</v>
      </c>
      <c r="E55" s="845" t="s">
        <v>2236</v>
      </c>
      <c r="F55" s="435"/>
      <c r="G55" s="435"/>
      <c r="H55" s="435"/>
      <c r="I55" s="435"/>
    </row>
    <row r="56" spans="1:10">
      <c r="A56" s="818"/>
      <c r="B56" s="831"/>
      <c r="C56" s="829"/>
      <c r="D56" s="832"/>
      <c r="E56" s="833"/>
      <c r="F56" s="831"/>
      <c r="G56" s="829"/>
      <c r="H56" s="832"/>
      <c r="I56" s="833"/>
    </row>
    <row r="57" spans="1:10">
      <c r="A57" s="818"/>
      <c r="B57" s="831"/>
      <c r="C57" s="829"/>
      <c r="D57" s="832"/>
      <c r="E57" s="833"/>
      <c r="F57" s="831"/>
      <c r="G57" s="829"/>
      <c r="H57" s="832"/>
      <c r="I57" s="833"/>
    </row>
    <row r="58" spans="1:10">
      <c r="A58" s="818"/>
      <c r="B58" s="831"/>
      <c r="C58" s="829"/>
      <c r="D58" s="832"/>
      <c r="E58" s="833"/>
      <c r="F58" s="831"/>
      <c r="G58" s="829"/>
      <c r="H58" s="832"/>
      <c r="I58" s="833"/>
    </row>
    <row r="59" spans="1:10" ht="16.5" thickBot="1">
      <c r="A59" s="818"/>
      <c r="B59" s="1158"/>
      <c r="C59" s="1159"/>
      <c r="D59" s="1160"/>
      <c r="E59" s="1161"/>
      <c r="F59" s="129"/>
      <c r="G59" s="129"/>
      <c r="H59" s="129"/>
      <c r="I59" s="129"/>
    </row>
    <row r="60" spans="1:10" ht="16.5" thickTop="1">
      <c r="A60" s="828"/>
      <c r="B60" s="929" t="s">
        <v>1884</v>
      </c>
      <c r="C60" s="930" t="s">
        <v>526</v>
      </c>
      <c r="D60" s="931" t="s">
        <v>1885</v>
      </c>
      <c r="E60" s="930" t="s">
        <v>1886</v>
      </c>
      <c r="F60" s="929" t="s">
        <v>1884</v>
      </c>
      <c r="G60" s="931" t="s">
        <v>526</v>
      </c>
      <c r="H60" s="932" t="s">
        <v>1885</v>
      </c>
      <c r="I60" s="930" t="s">
        <v>1886</v>
      </c>
      <c r="J60" s="828"/>
    </row>
    <row r="61" spans="1:10">
      <c r="A61" s="818"/>
      <c r="B61" s="831"/>
      <c r="C61" s="829"/>
      <c r="D61" s="832"/>
      <c r="E61" s="844" t="s">
        <v>2813</v>
      </c>
      <c r="F61" s="831">
        <v>5</v>
      </c>
      <c r="G61" s="829">
        <v>6.4</v>
      </c>
      <c r="H61" s="832"/>
      <c r="I61" s="833" t="s">
        <v>2226</v>
      </c>
    </row>
    <row r="62" spans="1:10">
      <c r="A62" s="818"/>
      <c r="B62" s="831">
        <v>2</v>
      </c>
      <c r="C62" s="829">
        <v>17</v>
      </c>
      <c r="D62" s="832"/>
      <c r="E62" s="833" t="s">
        <v>2209</v>
      </c>
      <c r="F62" s="831"/>
      <c r="G62" s="829">
        <v>0.4</v>
      </c>
      <c r="H62" s="832"/>
      <c r="I62" s="833" t="s">
        <v>2227</v>
      </c>
    </row>
    <row r="63" spans="1:10">
      <c r="A63" s="818"/>
      <c r="B63" s="831"/>
      <c r="C63" s="829">
        <v>0.25</v>
      </c>
      <c r="D63" s="832"/>
      <c r="E63" s="833" t="s">
        <v>2216</v>
      </c>
      <c r="F63" s="831"/>
      <c r="G63" s="829">
        <v>0.78</v>
      </c>
      <c r="H63" s="832">
        <f>G63*G62*G61*F61</f>
        <v>9.9840000000000018</v>
      </c>
      <c r="I63" s="833"/>
    </row>
    <row r="64" spans="1:10">
      <c r="A64" s="818"/>
      <c r="B64" s="831"/>
      <c r="C64" s="829">
        <v>0.4</v>
      </c>
      <c r="D64" s="832">
        <f>C64*C63*C62*B62</f>
        <v>3.4000000000000004</v>
      </c>
      <c r="E64" s="833" t="s">
        <v>2217</v>
      </c>
      <c r="F64" s="831"/>
      <c r="G64" s="829"/>
      <c r="H64" s="832"/>
      <c r="I64" s="833"/>
    </row>
    <row r="65" spans="1:9">
      <c r="A65" s="818"/>
      <c r="B65" s="831"/>
      <c r="C65" s="829"/>
      <c r="D65" s="832"/>
      <c r="E65" s="833"/>
      <c r="F65" s="839"/>
      <c r="G65" s="839"/>
      <c r="H65" s="838">
        <f>H63+D112</f>
        <v>20.592000000000006</v>
      </c>
      <c r="I65" s="845" t="s">
        <v>2814</v>
      </c>
    </row>
    <row r="66" spans="1:9">
      <c r="A66" s="818"/>
      <c r="B66" s="831">
        <v>5</v>
      </c>
      <c r="C66" s="829">
        <v>6.9</v>
      </c>
      <c r="D66" s="832"/>
      <c r="E66" s="833" t="s">
        <v>2218</v>
      </c>
      <c r="F66" s="831"/>
      <c r="G66" s="829"/>
      <c r="H66" s="832"/>
      <c r="I66" s="833"/>
    </row>
    <row r="67" spans="1:9">
      <c r="A67" s="818"/>
      <c r="B67" s="831"/>
      <c r="C67" s="829">
        <v>0.25</v>
      </c>
      <c r="D67" s="832"/>
      <c r="E67" s="833" t="s">
        <v>2219</v>
      </c>
      <c r="F67" s="831"/>
      <c r="G67" s="829"/>
      <c r="H67" s="832"/>
      <c r="I67" s="844" t="s">
        <v>2815</v>
      </c>
    </row>
    <row r="68" spans="1:9">
      <c r="A68" s="818"/>
      <c r="B68" s="831"/>
      <c r="C68" s="829">
        <v>0.4</v>
      </c>
      <c r="D68" s="832">
        <f>C68*C67*C66*B66</f>
        <v>3.45</v>
      </c>
      <c r="E68" s="833"/>
      <c r="F68" s="831">
        <v>2</v>
      </c>
      <c r="G68" s="829">
        <v>17</v>
      </c>
      <c r="H68" s="832"/>
      <c r="I68" s="833" t="s">
        <v>2228</v>
      </c>
    </row>
    <row r="69" spans="1:9">
      <c r="A69" s="818"/>
      <c r="B69" s="831"/>
      <c r="C69" s="829"/>
      <c r="D69" s="832"/>
      <c r="E69" s="833"/>
      <c r="F69" s="831"/>
      <c r="G69" s="829">
        <v>0.4</v>
      </c>
      <c r="H69" s="832"/>
      <c r="I69" s="833"/>
    </row>
    <row r="70" spans="1:9">
      <c r="A70" s="818"/>
      <c r="B70" s="831">
        <v>10</v>
      </c>
      <c r="C70" s="829">
        <v>0.6</v>
      </c>
      <c r="D70" s="832"/>
      <c r="E70" s="833"/>
      <c r="F70" s="831"/>
      <c r="G70" s="829">
        <v>0.56999999999999995</v>
      </c>
      <c r="H70" s="832">
        <f>F68*G68*G69*G70</f>
        <v>7.7519999999999998</v>
      </c>
      <c r="I70" s="833"/>
    </row>
    <row r="71" spans="1:9">
      <c r="A71" s="818"/>
      <c r="B71" s="831"/>
      <c r="C71" s="829">
        <v>0.4</v>
      </c>
      <c r="D71" s="832"/>
      <c r="E71" s="833"/>
      <c r="F71" s="831"/>
      <c r="G71" s="829"/>
      <c r="H71" s="832"/>
      <c r="I71" s="833"/>
    </row>
    <row r="72" spans="1:9">
      <c r="A72" s="818"/>
      <c r="B72" s="831"/>
      <c r="C72" s="829">
        <v>0.25</v>
      </c>
      <c r="D72" s="832">
        <f>C72*C71*C70*B70</f>
        <v>0.6</v>
      </c>
      <c r="E72" s="833"/>
      <c r="F72" s="831"/>
      <c r="G72" s="829"/>
      <c r="H72" s="832"/>
      <c r="I72" s="833" t="s">
        <v>2229</v>
      </c>
    </row>
    <row r="73" spans="1:9">
      <c r="A73" s="818"/>
      <c r="B73" s="831"/>
      <c r="C73" s="829"/>
      <c r="D73" s="832"/>
      <c r="E73" s="833"/>
      <c r="F73" s="831">
        <v>5</v>
      </c>
      <c r="G73" s="829">
        <v>6.4</v>
      </c>
      <c r="H73" s="832"/>
      <c r="I73" s="833"/>
    </row>
    <row r="74" spans="1:9">
      <c r="A74" s="818"/>
      <c r="B74" s="839"/>
      <c r="C74" s="839"/>
      <c r="D74" s="838">
        <f>SUM(D64:D72)</f>
        <v>7.45</v>
      </c>
      <c r="E74" s="845" t="s">
        <v>2816</v>
      </c>
      <c r="F74" s="831"/>
      <c r="G74" s="829">
        <v>0.4</v>
      </c>
      <c r="H74" s="832"/>
      <c r="I74" s="833"/>
    </row>
    <row r="75" spans="1:9">
      <c r="A75" s="818"/>
      <c r="B75" s="831"/>
      <c r="C75" s="829"/>
      <c r="D75" s="832"/>
      <c r="E75" s="833"/>
      <c r="F75" s="831"/>
      <c r="G75" s="829">
        <v>0.56999999999999995</v>
      </c>
      <c r="H75" s="832">
        <f>F73*G73*G74*G75</f>
        <v>7.2959999999999994</v>
      </c>
      <c r="I75" s="833"/>
    </row>
    <row r="76" spans="1:9">
      <c r="A76" s="818"/>
      <c r="B76" s="831"/>
      <c r="C76" s="829"/>
      <c r="D76" s="832"/>
      <c r="E76" s="844" t="s">
        <v>2220</v>
      </c>
      <c r="F76" s="831"/>
      <c r="G76" s="829"/>
      <c r="H76" s="832"/>
      <c r="I76" s="833"/>
    </row>
    <row r="77" spans="1:9">
      <c r="A77" s="818"/>
      <c r="B77" s="435"/>
      <c r="C77" s="435"/>
      <c r="D77" s="435"/>
      <c r="E77" s="844" t="s">
        <v>2817</v>
      </c>
      <c r="F77" s="839"/>
      <c r="G77" s="839"/>
      <c r="H77" s="838">
        <f>H70+H75</f>
        <v>15.047999999999998</v>
      </c>
      <c r="I77" s="845" t="s">
        <v>2818</v>
      </c>
    </row>
    <row r="78" spans="1:9">
      <c r="A78" s="818"/>
      <c r="B78" s="831">
        <v>2</v>
      </c>
      <c r="C78" s="829">
        <v>8</v>
      </c>
      <c r="D78" s="832"/>
      <c r="E78" s="435"/>
      <c r="F78" s="831"/>
      <c r="G78" s="829"/>
      <c r="H78" s="832"/>
      <c r="I78" s="833"/>
    </row>
    <row r="79" spans="1:9">
      <c r="A79" s="818"/>
      <c r="B79" s="831"/>
      <c r="C79" s="829">
        <v>0.4</v>
      </c>
      <c r="D79" s="832">
        <f>C79*C78*B78</f>
        <v>6.4</v>
      </c>
      <c r="E79" s="833"/>
      <c r="F79" s="831"/>
      <c r="G79" s="829"/>
      <c r="H79" s="832"/>
      <c r="I79" s="844" t="s">
        <v>21</v>
      </c>
    </row>
    <row r="80" spans="1:9">
      <c r="A80" s="818"/>
      <c r="B80" s="831"/>
      <c r="C80" s="829"/>
      <c r="D80" s="832"/>
      <c r="E80" s="833"/>
      <c r="F80" s="831"/>
      <c r="G80" s="829"/>
      <c r="H80" s="832"/>
      <c r="I80" s="844" t="s">
        <v>25</v>
      </c>
    </row>
    <row r="81" spans="1:9">
      <c r="A81" s="818"/>
      <c r="B81" s="831">
        <v>8</v>
      </c>
      <c r="C81" s="829">
        <v>6.4</v>
      </c>
      <c r="D81" s="832"/>
      <c r="E81" s="833"/>
      <c r="F81" s="831">
        <v>10</v>
      </c>
      <c r="G81" s="829">
        <v>0.2</v>
      </c>
      <c r="H81" s="832"/>
      <c r="I81" s="844" t="s">
        <v>27</v>
      </c>
    </row>
    <row r="82" spans="1:9">
      <c r="A82" s="818"/>
      <c r="B82" s="831"/>
      <c r="C82" s="829">
        <v>0.4</v>
      </c>
      <c r="D82" s="832">
        <f>C82*C81*B81</f>
        <v>20.480000000000004</v>
      </c>
      <c r="E82" s="833"/>
      <c r="F82" s="831"/>
      <c r="G82" s="829">
        <v>0.2</v>
      </c>
      <c r="H82" s="832"/>
      <c r="I82" s="833"/>
    </row>
    <row r="83" spans="1:9">
      <c r="A83" s="818"/>
      <c r="B83" s="831"/>
      <c r="C83" s="829"/>
      <c r="D83" s="832"/>
      <c r="E83" s="833"/>
      <c r="F83" s="831"/>
      <c r="G83" s="829">
        <v>2.73</v>
      </c>
      <c r="H83" s="832"/>
      <c r="I83" s="833"/>
    </row>
    <row r="84" spans="1:9">
      <c r="A84" s="818"/>
      <c r="B84" s="831">
        <v>16</v>
      </c>
      <c r="C84" s="829">
        <v>0.6</v>
      </c>
      <c r="D84" s="832"/>
      <c r="E84" s="833"/>
      <c r="F84" s="839"/>
      <c r="G84" s="839"/>
      <c r="H84" s="838">
        <v>1.0920000000000001</v>
      </c>
      <c r="I84" s="845" t="s">
        <v>2231</v>
      </c>
    </row>
    <row r="85" spans="1:9">
      <c r="A85" s="818"/>
      <c r="B85" s="831"/>
      <c r="C85" s="829">
        <v>0.4</v>
      </c>
      <c r="D85" s="832">
        <f>C85*C84*B84</f>
        <v>3.84</v>
      </c>
      <c r="E85" s="833"/>
      <c r="F85" s="831"/>
      <c r="G85" s="829"/>
      <c r="H85" s="832"/>
      <c r="I85" s="833"/>
    </row>
    <row r="86" spans="1:9">
      <c r="A86" s="818"/>
      <c r="B86" s="831"/>
      <c r="C86" s="829"/>
      <c r="D86" s="832"/>
      <c r="E86" s="833"/>
      <c r="F86" s="831"/>
      <c r="G86" s="829"/>
      <c r="H86" s="832"/>
      <c r="I86" s="844" t="s">
        <v>29</v>
      </c>
    </row>
    <row r="87" spans="1:9">
      <c r="A87" s="818"/>
      <c r="B87" s="831"/>
      <c r="C87" s="829"/>
      <c r="D87" s="832"/>
      <c r="E87" s="833"/>
      <c r="F87" s="831">
        <v>2</v>
      </c>
      <c r="G87" s="829">
        <v>17</v>
      </c>
      <c r="H87" s="832"/>
      <c r="I87" s="833" t="s">
        <v>30</v>
      </c>
    </row>
    <row r="88" spans="1:9">
      <c r="A88" s="818"/>
      <c r="B88" s="831">
        <v>16</v>
      </c>
      <c r="C88" s="829">
        <v>4</v>
      </c>
      <c r="D88" s="832"/>
      <c r="E88" s="833"/>
      <c r="F88" s="831"/>
      <c r="G88" s="829">
        <v>0.3</v>
      </c>
      <c r="H88" s="832"/>
      <c r="I88" s="833" t="s">
        <v>409</v>
      </c>
    </row>
    <row r="89" spans="1:9">
      <c r="A89" s="818"/>
      <c r="B89" s="831"/>
      <c r="C89" s="829">
        <v>0.4</v>
      </c>
      <c r="D89" s="832">
        <f>C89*C88*B88</f>
        <v>25.6</v>
      </c>
      <c r="E89" s="833"/>
      <c r="F89" s="831"/>
      <c r="G89" s="829">
        <v>0.2</v>
      </c>
      <c r="H89" s="832">
        <f>F87*G87*G88*G89</f>
        <v>2.04</v>
      </c>
      <c r="I89" s="833"/>
    </row>
    <row r="90" spans="1:9">
      <c r="A90" s="818"/>
      <c r="B90" s="831"/>
      <c r="C90" s="829"/>
      <c r="D90" s="832"/>
      <c r="E90" s="833"/>
      <c r="F90" s="831"/>
      <c r="G90" s="829"/>
      <c r="H90" s="832"/>
      <c r="I90" s="833"/>
    </row>
    <row r="91" spans="1:9">
      <c r="A91" s="818"/>
      <c r="B91" s="831"/>
      <c r="C91" s="829"/>
      <c r="D91" s="832">
        <f>SUM(D79:D89)</f>
        <v>56.320000000000007</v>
      </c>
      <c r="E91" s="833" t="s">
        <v>2819</v>
      </c>
      <c r="F91" s="831">
        <v>5</v>
      </c>
      <c r="G91" s="829">
        <v>7</v>
      </c>
      <c r="H91" s="832"/>
      <c r="I91" s="833" t="s">
        <v>407</v>
      </c>
    </row>
    <row r="92" spans="1:9">
      <c r="A92" s="818"/>
      <c r="B92" s="831"/>
      <c r="C92" s="829"/>
      <c r="D92" s="832"/>
      <c r="E92" s="833"/>
      <c r="F92" s="831"/>
      <c r="G92" s="829">
        <v>0.3</v>
      </c>
      <c r="H92" s="832"/>
      <c r="I92" s="833" t="s">
        <v>408</v>
      </c>
    </row>
    <row r="93" spans="1:9">
      <c r="A93" s="818"/>
      <c r="B93" s="831"/>
      <c r="C93" s="829"/>
      <c r="D93" s="832"/>
      <c r="E93" s="844" t="s">
        <v>2223</v>
      </c>
      <c r="F93" s="831"/>
      <c r="G93" s="829">
        <v>0.2</v>
      </c>
      <c r="H93" s="832">
        <f>F91*G91*G92*G93</f>
        <v>2.1</v>
      </c>
      <c r="I93" s="833"/>
    </row>
    <row r="94" spans="1:9">
      <c r="A94" s="818"/>
      <c r="B94" s="831">
        <v>1</v>
      </c>
      <c r="C94" s="829">
        <f>'[24]Staff &amp; SQ Reinf'!N25</f>
        <v>536.65920000000006</v>
      </c>
      <c r="D94" s="832"/>
      <c r="E94" s="844" t="s">
        <v>2222</v>
      </c>
      <c r="F94" s="831"/>
      <c r="G94" s="829"/>
      <c r="H94" s="832"/>
      <c r="I94" s="833"/>
    </row>
    <row r="95" spans="1:9">
      <c r="A95" s="818"/>
      <c r="B95" s="839"/>
      <c r="C95" s="839"/>
      <c r="D95" s="838">
        <f>B94*C94</f>
        <v>536.65920000000006</v>
      </c>
      <c r="E95" s="845" t="s">
        <v>2820</v>
      </c>
      <c r="F95" s="839"/>
      <c r="G95" s="839"/>
      <c r="H95" s="838">
        <f ca="1">SUM(H89:H95)</f>
        <v>4.1400000000000006</v>
      </c>
      <c r="I95" s="845" t="s">
        <v>2821</v>
      </c>
    </row>
    <row r="96" spans="1:9">
      <c r="A96" s="818"/>
      <c r="B96" s="831"/>
      <c r="C96" s="829"/>
      <c r="D96" s="832"/>
      <c r="E96" s="833"/>
      <c r="F96" s="831"/>
      <c r="G96" s="829"/>
      <c r="H96" s="832"/>
      <c r="I96" s="833"/>
    </row>
    <row r="97" spans="1:9">
      <c r="A97" s="818"/>
      <c r="B97" s="831">
        <v>1</v>
      </c>
      <c r="C97" s="829">
        <f>'[24]Staff &amp; SQ Reinf'!K25</f>
        <v>628.524</v>
      </c>
      <c r="D97" s="832"/>
      <c r="E97" s="844" t="s">
        <v>2221</v>
      </c>
      <c r="F97" s="831"/>
      <c r="G97" s="829"/>
      <c r="H97" s="832"/>
      <c r="I97" s="844" t="s">
        <v>32</v>
      </c>
    </row>
    <row r="98" spans="1:9">
      <c r="A98" s="818"/>
      <c r="B98" s="839"/>
      <c r="C98" s="839"/>
      <c r="D98" s="838">
        <f>C97*B97</f>
        <v>628.524</v>
      </c>
      <c r="E98" s="845" t="s">
        <v>2822</v>
      </c>
      <c r="F98" s="831"/>
      <c r="G98" s="829"/>
      <c r="H98" s="832"/>
      <c r="I98" s="844" t="s">
        <v>462</v>
      </c>
    </row>
    <row r="99" spans="1:9">
      <c r="A99" s="818"/>
      <c r="B99" s="831"/>
      <c r="C99" s="829"/>
      <c r="D99" s="832"/>
      <c r="E99" s="833"/>
      <c r="F99" s="831">
        <v>10</v>
      </c>
      <c r="G99" s="829">
        <v>0.8</v>
      </c>
      <c r="H99" s="832"/>
      <c r="I99" s="833" t="s">
        <v>414</v>
      </c>
    </row>
    <row r="100" spans="1:9">
      <c r="A100" s="818"/>
      <c r="B100" s="831"/>
      <c r="C100" s="829"/>
      <c r="D100" s="832"/>
      <c r="E100" s="844" t="s">
        <v>2823</v>
      </c>
      <c r="F100" s="831"/>
      <c r="G100" s="829">
        <v>2.73</v>
      </c>
      <c r="H100" s="832"/>
      <c r="I100" s="833"/>
    </row>
    <row r="101" spans="1:9">
      <c r="A101" s="818"/>
      <c r="B101" s="831">
        <v>2</v>
      </c>
      <c r="C101" s="829">
        <v>16.75</v>
      </c>
      <c r="D101" s="832"/>
      <c r="E101" s="833"/>
      <c r="F101" s="839"/>
      <c r="G101" s="839"/>
      <c r="H101" s="838">
        <f>G99*G100*F99</f>
        <v>21.840000000000003</v>
      </c>
      <c r="I101" s="845" t="s">
        <v>2459</v>
      </c>
    </row>
    <row r="102" spans="1:9">
      <c r="A102" s="818"/>
      <c r="B102" s="831"/>
      <c r="C102" s="829"/>
      <c r="D102" s="832">
        <f>C101*B101</f>
        <v>33.5</v>
      </c>
      <c r="E102" s="833"/>
      <c r="F102" s="831"/>
      <c r="G102" s="829"/>
      <c r="H102" s="832"/>
      <c r="I102" s="833"/>
    </row>
    <row r="103" spans="1:9">
      <c r="A103" s="818"/>
      <c r="B103" s="831"/>
      <c r="C103" s="829"/>
      <c r="D103" s="832"/>
      <c r="E103" s="833"/>
      <c r="F103" s="831"/>
      <c r="G103" s="829"/>
      <c r="H103" s="832"/>
      <c r="I103" s="844" t="s">
        <v>466</v>
      </c>
    </row>
    <row r="104" spans="1:9">
      <c r="A104" s="818"/>
      <c r="B104" s="831">
        <v>8</v>
      </c>
      <c r="C104" s="829">
        <f>5.7+0.075</f>
        <v>5.7750000000000004</v>
      </c>
      <c r="D104" s="832"/>
      <c r="E104" s="833"/>
      <c r="F104" s="831"/>
      <c r="G104" s="829"/>
      <c r="H104" s="832"/>
      <c r="I104" s="833" t="s">
        <v>30</v>
      </c>
    </row>
    <row r="105" spans="1:9">
      <c r="A105" s="818"/>
      <c r="B105" s="831"/>
      <c r="C105" s="829"/>
      <c r="D105" s="832">
        <f>C104*B104</f>
        <v>46.2</v>
      </c>
      <c r="E105" s="833"/>
      <c r="F105" s="831">
        <v>2</v>
      </c>
      <c r="G105" s="829">
        <v>16</v>
      </c>
      <c r="H105" s="832"/>
      <c r="I105" s="833" t="s">
        <v>409</v>
      </c>
    </row>
    <row r="106" spans="1:9">
      <c r="A106" s="818"/>
      <c r="B106" s="831"/>
      <c r="C106" s="829"/>
      <c r="D106" s="832"/>
      <c r="E106" s="833"/>
      <c r="F106" s="831"/>
      <c r="G106" s="829">
        <v>0.8</v>
      </c>
      <c r="H106" s="832">
        <f>F105*G106*G105</f>
        <v>25.6</v>
      </c>
      <c r="I106" s="833" t="s">
        <v>40</v>
      </c>
    </row>
    <row r="107" spans="1:9">
      <c r="A107" s="818"/>
      <c r="B107" s="839"/>
      <c r="C107" s="839"/>
      <c r="D107" s="838">
        <f>SUM(D102:D106)</f>
        <v>79.7</v>
      </c>
      <c r="E107" s="845" t="s">
        <v>2824</v>
      </c>
      <c r="F107" s="831"/>
      <c r="G107" s="829"/>
      <c r="H107" s="832"/>
      <c r="I107" s="833"/>
    </row>
    <row r="108" spans="1:9">
      <c r="A108" s="818"/>
      <c r="B108" s="831"/>
      <c r="C108" s="829"/>
      <c r="D108" s="832"/>
      <c r="E108" s="833"/>
      <c r="F108" s="831">
        <v>14</v>
      </c>
      <c r="G108" s="829">
        <v>0.3</v>
      </c>
      <c r="H108" s="832"/>
      <c r="I108" s="833"/>
    </row>
    <row r="109" spans="1:9">
      <c r="A109" s="818"/>
      <c r="B109" s="831"/>
      <c r="C109" s="829"/>
      <c r="D109" s="832"/>
      <c r="E109" s="844" t="s">
        <v>2230</v>
      </c>
      <c r="F109" s="831"/>
      <c r="G109" s="829">
        <v>0.2</v>
      </c>
      <c r="H109" s="832">
        <f>G108*G109*20</f>
        <v>1.2</v>
      </c>
      <c r="I109" s="833"/>
    </row>
    <row r="110" spans="1:9">
      <c r="A110" s="818"/>
      <c r="B110" s="831">
        <v>2</v>
      </c>
      <c r="C110" s="829">
        <v>17</v>
      </c>
      <c r="D110" s="832"/>
      <c r="E110" s="833" t="s">
        <v>2224</v>
      </c>
      <c r="F110" s="831"/>
      <c r="G110" s="829"/>
      <c r="H110" s="832"/>
      <c r="I110" s="833"/>
    </row>
    <row r="111" spans="1:9">
      <c r="A111" s="818"/>
      <c r="B111" s="831"/>
      <c r="C111" s="829">
        <v>0.4</v>
      </c>
      <c r="D111" s="832"/>
      <c r="E111" s="833" t="s">
        <v>2225</v>
      </c>
      <c r="F111" s="831">
        <v>5</v>
      </c>
      <c r="G111" s="829">
        <v>7</v>
      </c>
      <c r="H111" s="832"/>
      <c r="I111" s="833" t="s">
        <v>407</v>
      </c>
    </row>
    <row r="112" spans="1:9">
      <c r="A112" s="818"/>
      <c r="B112" s="831"/>
      <c r="C112" s="829">
        <v>0.78</v>
      </c>
      <c r="D112" s="832">
        <f>C112*C111*C110*B110</f>
        <v>10.608000000000002</v>
      </c>
      <c r="E112" s="833"/>
      <c r="F112" s="831"/>
      <c r="G112" s="829">
        <v>0.8</v>
      </c>
      <c r="H112" s="832">
        <f>F111*G112*G111</f>
        <v>28</v>
      </c>
      <c r="I112" s="833" t="s">
        <v>408</v>
      </c>
    </row>
    <row r="113" spans="1:10">
      <c r="A113" s="818"/>
      <c r="B113" s="831"/>
      <c r="C113" s="829"/>
      <c r="D113" s="832"/>
      <c r="E113" s="833"/>
      <c r="F113" s="831"/>
      <c r="G113" s="829"/>
      <c r="H113" s="832"/>
      <c r="I113" s="833"/>
    </row>
    <row r="114" spans="1:10">
      <c r="A114" s="818"/>
      <c r="B114" s="831"/>
      <c r="C114" s="829"/>
      <c r="D114" s="832"/>
      <c r="E114" s="833"/>
      <c r="F114" s="839"/>
      <c r="G114" s="839"/>
      <c r="H114" s="838">
        <f>SUM(H104:H113)</f>
        <v>54.8</v>
      </c>
      <c r="I114" s="845" t="s">
        <v>2117</v>
      </c>
    </row>
    <row r="115" spans="1:10" ht="16.5" thickBot="1">
      <c r="A115" s="818"/>
      <c r="B115" s="1158"/>
      <c r="C115" s="1159"/>
      <c r="D115" s="1160"/>
      <c r="E115" s="1161"/>
      <c r="F115" s="1158"/>
      <c r="G115" s="1159"/>
      <c r="H115" s="1160"/>
      <c r="I115" s="1161"/>
    </row>
    <row r="116" spans="1:10" ht="16.5" thickTop="1">
      <c r="A116" s="828"/>
      <c r="B116" s="929" t="s">
        <v>1884</v>
      </c>
      <c r="C116" s="930" t="s">
        <v>526</v>
      </c>
      <c r="D116" s="931" t="s">
        <v>1885</v>
      </c>
      <c r="E116" s="930" t="s">
        <v>1886</v>
      </c>
      <c r="F116" s="929" t="s">
        <v>1884</v>
      </c>
      <c r="G116" s="930" t="s">
        <v>526</v>
      </c>
      <c r="H116" s="931" t="s">
        <v>1885</v>
      </c>
      <c r="I116" s="930" t="s">
        <v>1886</v>
      </c>
      <c r="J116" s="828"/>
    </row>
    <row r="117" spans="1:10">
      <c r="A117" s="818"/>
      <c r="B117" s="831"/>
      <c r="C117" s="829"/>
      <c r="D117" s="832"/>
      <c r="E117" s="833" t="s">
        <v>2825</v>
      </c>
      <c r="F117" s="831"/>
      <c r="G117" s="829"/>
      <c r="H117" s="832"/>
      <c r="I117" s="844" t="s">
        <v>124</v>
      </c>
    </row>
    <row r="118" spans="1:10">
      <c r="A118" s="818"/>
      <c r="B118" s="831">
        <v>1</v>
      </c>
      <c r="C118" s="829">
        <f>'[24]Staff &amp; SQ Reinf'!M59</f>
        <v>584.23296000000005</v>
      </c>
      <c r="D118" s="832"/>
      <c r="E118" s="833"/>
      <c r="F118" s="831"/>
      <c r="G118" s="829"/>
      <c r="H118" s="832"/>
      <c r="I118" s="844" t="s">
        <v>125</v>
      </c>
    </row>
    <row r="119" spans="1:10">
      <c r="A119" s="818"/>
      <c r="B119" s="839"/>
      <c r="C119" s="839"/>
      <c r="D119" s="838">
        <f>C118</f>
        <v>584.23296000000005</v>
      </c>
      <c r="E119" s="845" t="s">
        <v>2463</v>
      </c>
      <c r="F119" s="831">
        <v>1</v>
      </c>
      <c r="G119" s="829">
        <v>8.6</v>
      </c>
      <c r="H119" s="832"/>
      <c r="I119" s="833" t="s">
        <v>2826</v>
      </c>
    </row>
    <row r="120" spans="1:10">
      <c r="A120" s="818"/>
      <c r="B120" s="831"/>
      <c r="C120" s="829"/>
      <c r="D120" s="832"/>
      <c r="E120" s="833"/>
      <c r="F120" s="831"/>
      <c r="G120" s="829">
        <v>17</v>
      </c>
      <c r="H120" s="832"/>
      <c r="I120" s="833"/>
    </row>
    <row r="121" spans="1:10">
      <c r="A121" s="818"/>
      <c r="B121" s="831"/>
      <c r="C121" s="829"/>
      <c r="D121" s="832"/>
      <c r="E121" s="833" t="s">
        <v>2827</v>
      </c>
      <c r="F121" s="839"/>
      <c r="G121" s="839"/>
      <c r="H121" s="838">
        <f>G119*G120</f>
        <v>146.19999999999999</v>
      </c>
      <c r="I121" s="845" t="s">
        <v>2124</v>
      </c>
    </row>
    <row r="122" spans="1:10">
      <c r="A122" s="818"/>
      <c r="B122" s="831">
        <v>1</v>
      </c>
      <c r="C122" s="829">
        <f>'[24]Staff &amp; SQ Reinf'!K59</f>
        <v>189.60000000000002</v>
      </c>
      <c r="D122" s="832"/>
      <c r="E122" s="833"/>
      <c r="F122" s="831"/>
      <c r="G122" s="829"/>
      <c r="H122" s="832"/>
      <c r="I122" s="833"/>
    </row>
    <row r="123" spans="1:10">
      <c r="A123" s="818"/>
      <c r="B123" s="839"/>
      <c r="C123" s="839"/>
      <c r="D123" s="838">
        <f>C122</f>
        <v>189.60000000000002</v>
      </c>
      <c r="E123" s="845" t="s">
        <v>2120</v>
      </c>
      <c r="F123" s="831"/>
      <c r="G123" s="829"/>
      <c r="H123" s="832"/>
      <c r="I123" s="844" t="s">
        <v>129</v>
      </c>
    </row>
    <row r="124" spans="1:10">
      <c r="A124" s="818"/>
      <c r="B124" s="831"/>
      <c r="C124" s="829"/>
      <c r="D124" s="832"/>
      <c r="E124" s="833"/>
      <c r="F124" s="831">
        <v>2</v>
      </c>
      <c r="G124" s="829">
        <v>16</v>
      </c>
      <c r="H124" s="832"/>
      <c r="I124" s="833"/>
    </row>
    <row r="125" spans="1:10">
      <c r="A125" s="818"/>
      <c r="B125" s="831"/>
      <c r="C125" s="829"/>
      <c r="D125" s="832"/>
      <c r="E125" s="844" t="s">
        <v>350</v>
      </c>
      <c r="F125" s="831"/>
      <c r="G125" s="829">
        <v>0.6</v>
      </c>
      <c r="H125" s="832">
        <f>G124*G125*F124</f>
        <v>19.2</v>
      </c>
      <c r="I125" s="833"/>
    </row>
    <row r="126" spans="1:10">
      <c r="A126" s="818"/>
      <c r="B126" s="831"/>
      <c r="C126" s="829"/>
      <c r="D126" s="832"/>
      <c r="E126" s="844" t="s">
        <v>411</v>
      </c>
      <c r="F126" s="831"/>
      <c r="G126" s="829"/>
      <c r="H126" s="832"/>
      <c r="I126" s="833"/>
    </row>
    <row r="127" spans="1:10">
      <c r="A127" s="818"/>
      <c r="B127" s="831">
        <v>5</v>
      </c>
      <c r="C127" s="829">
        <v>7</v>
      </c>
      <c r="D127" s="832"/>
      <c r="E127" s="833" t="s">
        <v>412</v>
      </c>
      <c r="F127" s="831">
        <v>2</v>
      </c>
      <c r="G127" s="829">
        <v>17</v>
      </c>
      <c r="H127" s="832"/>
      <c r="I127" s="833"/>
    </row>
    <row r="128" spans="1:10">
      <c r="A128" s="818"/>
      <c r="B128" s="831"/>
      <c r="C128" s="829">
        <v>2.73</v>
      </c>
      <c r="D128" s="832">
        <f>C128*C127*B127</f>
        <v>95.55</v>
      </c>
      <c r="E128" s="833"/>
      <c r="F128" s="831"/>
      <c r="G128" s="829">
        <v>0.5</v>
      </c>
      <c r="H128" s="832">
        <f>G127*G128*F127</f>
        <v>17</v>
      </c>
      <c r="I128" s="833"/>
    </row>
    <row r="129" spans="1:9">
      <c r="A129" s="818"/>
      <c r="B129" s="831"/>
      <c r="C129" s="829"/>
      <c r="D129" s="832"/>
      <c r="E129" s="833"/>
      <c r="F129" s="831"/>
      <c r="G129" s="829"/>
      <c r="H129" s="832"/>
      <c r="I129" s="833"/>
    </row>
    <row r="130" spans="1:9">
      <c r="A130" s="818"/>
      <c r="B130" s="831">
        <v>2</v>
      </c>
      <c r="C130" s="829">
        <v>16</v>
      </c>
      <c r="D130" s="832"/>
      <c r="E130" s="833" t="s">
        <v>413</v>
      </c>
      <c r="F130" s="839"/>
      <c r="G130" s="839"/>
      <c r="H130" s="838">
        <f>SUM(H125:H129)</f>
        <v>36.200000000000003</v>
      </c>
      <c r="I130" s="845" t="s">
        <v>2129</v>
      </c>
    </row>
    <row r="131" spans="1:9">
      <c r="A131" s="818"/>
      <c r="B131" s="831"/>
      <c r="C131" s="829">
        <v>2.73</v>
      </c>
      <c r="D131" s="832">
        <f>C131*C130*B130</f>
        <v>87.36</v>
      </c>
      <c r="E131" s="833"/>
      <c r="F131" s="831"/>
      <c r="G131" s="829"/>
      <c r="H131" s="832"/>
      <c r="I131" s="833"/>
    </row>
    <row r="132" spans="1:9">
      <c r="A132" s="818"/>
      <c r="B132" s="831"/>
      <c r="C132" s="829"/>
      <c r="D132" s="832"/>
      <c r="E132" s="833"/>
      <c r="F132" s="831"/>
      <c r="G132" s="829"/>
      <c r="H132" s="832"/>
      <c r="I132" s="844" t="s">
        <v>473</v>
      </c>
    </row>
    <row r="133" spans="1:9">
      <c r="A133" s="818"/>
      <c r="B133" s="831">
        <v>4</v>
      </c>
      <c r="C133" s="829">
        <v>1.78</v>
      </c>
      <c r="D133" s="832"/>
      <c r="E133" s="833" t="s">
        <v>344</v>
      </c>
      <c r="F133" s="831">
        <v>2</v>
      </c>
      <c r="G133" s="829">
        <v>17</v>
      </c>
      <c r="H133" s="832"/>
      <c r="I133" s="833"/>
    </row>
    <row r="134" spans="1:9">
      <c r="A134" s="818"/>
      <c r="B134" s="831"/>
      <c r="C134" s="829">
        <v>1.68</v>
      </c>
      <c r="D134" s="832">
        <f>-C134*C133*B133</f>
        <v>-11.961599999999999</v>
      </c>
      <c r="E134" s="833"/>
      <c r="F134" s="839"/>
      <c r="G134" s="839"/>
      <c r="H134" s="838">
        <f>G133*F133</f>
        <v>34</v>
      </c>
      <c r="I134" s="845" t="s">
        <v>2828</v>
      </c>
    </row>
    <row r="135" spans="1:9">
      <c r="A135" s="818"/>
      <c r="B135" s="831"/>
      <c r="C135" s="829"/>
      <c r="D135" s="832"/>
      <c r="E135" s="833"/>
      <c r="F135" s="831"/>
      <c r="G135" s="829"/>
      <c r="H135" s="832"/>
      <c r="I135" s="844"/>
    </row>
    <row r="136" spans="1:9">
      <c r="A136" s="818"/>
      <c r="B136" s="831">
        <v>4</v>
      </c>
      <c r="C136" s="829">
        <v>0.9</v>
      </c>
      <c r="D136" s="832"/>
      <c r="E136" s="833" t="s">
        <v>415</v>
      </c>
      <c r="F136" s="831"/>
      <c r="G136" s="829"/>
      <c r="H136" s="832"/>
      <c r="I136" s="844" t="s">
        <v>2829</v>
      </c>
    </row>
    <row r="137" spans="1:9">
      <c r="A137" s="818"/>
      <c r="B137" s="831"/>
      <c r="C137" s="829">
        <v>1.1200000000000001</v>
      </c>
      <c r="D137" s="832">
        <f>-C137*C136*B136</f>
        <v>-4.0320000000000009</v>
      </c>
      <c r="E137" s="833"/>
      <c r="F137" s="831">
        <v>4</v>
      </c>
      <c r="G137" s="829">
        <v>4.4000000000000004</v>
      </c>
      <c r="H137" s="832"/>
      <c r="I137" s="833"/>
    </row>
    <row r="138" spans="1:9">
      <c r="A138" s="818"/>
      <c r="B138" s="831"/>
      <c r="C138" s="829"/>
      <c r="D138" s="832"/>
      <c r="E138" s="833"/>
      <c r="F138" s="839"/>
      <c r="G138" s="839"/>
      <c r="H138" s="838">
        <f>G137*F137</f>
        <v>17.600000000000001</v>
      </c>
      <c r="I138" s="845" t="s">
        <v>2830</v>
      </c>
    </row>
    <row r="139" spans="1:9">
      <c r="A139" s="818"/>
      <c r="B139" s="831">
        <v>4</v>
      </c>
      <c r="C139" s="829">
        <v>0.88</v>
      </c>
      <c r="D139" s="832"/>
      <c r="E139" s="833" t="s">
        <v>416</v>
      </c>
      <c r="F139" s="831"/>
      <c r="G139" s="829"/>
      <c r="H139" s="832"/>
      <c r="I139" s="833"/>
    </row>
    <row r="140" spans="1:9">
      <c r="A140" s="818"/>
      <c r="B140" s="831"/>
      <c r="C140" s="829">
        <v>1.68</v>
      </c>
      <c r="D140" s="832">
        <f>-C140*C139*B139</f>
        <v>-5.9135999999999997</v>
      </c>
      <c r="E140" s="833"/>
      <c r="F140" s="831"/>
      <c r="G140" s="829"/>
      <c r="H140" s="832"/>
      <c r="I140" s="844" t="s">
        <v>109</v>
      </c>
    </row>
    <row r="141" spans="1:9">
      <c r="A141" s="818"/>
      <c r="B141" s="831"/>
      <c r="C141" s="829"/>
      <c r="D141" s="832"/>
      <c r="E141" s="833"/>
      <c r="F141" s="831"/>
      <c r="G141" s="829"/>
      <c r="H141" s="832"/>
      <c r="I141" s="844" t="s">
        <v>421</v>
      </c>
    </row>
    <row r="142" spans="1:9">
      <c r="A142" s="818"/>
      <c r="B142" s="831">
        <v>8</v>
      </c>
      <c r="C142" s="829">
        <v>0.9</v>
      </c>
      <c r="D142" s="832"/>
      <c r="E142" s="833" t="s">
        <v>233</v>
      </c>
      <c r="F142" s="831">
        <v>15</v>
      </c>
      <c r="G142" s="829">
        <v>8.8000000000000007</v>
      </c>
      <c r="H142" s="832"/>
      <c r="I142" s="833" t="s">
        <v>422</v>
      </c>
    </row>
    <row r="143" spans="1:9">
      <c r="A143" s="818"/>
      <c r="B143" s="831"/>
      <c r="C143" s="829">
        <v>2.73</v>
      </c>
      <c r="D143" s="832">
        <f>-C143*C142*B142</f>
        <v>-19.655999999999999</v>
      </c>
      <c r="E143" s="833"/>
      <c r="F143" s="831"/>
      <c r="G143" s="829"/>
      <c r="H143" s="832">
        <f>F142*G142</f>
        <v>132</v>
      </c>
      <c r="I143" s="833"/>
    </row>
    <row r="144" spans="1:9">
      <c r="A144" s="818"/>
      <c r="B144" s="831"/>
      <c r="C144" s="829"/>
      <c r="D144" s="832"/>
      <c r="E144" s="833"/>
      <c r="F144" s="831"/>
      <c r="G144" s="829"/>
      <c r="H144" s="832"/>
      <c r="I144" s="833"/>
    </row>
    <row r="145" spans="1:9">
      <c r="A145" s="818"/>
      <c r="B145" s="831">
        <v>2</v>
      </c>
      <c r="C145" s="829">
        <v>17</v>
      </c>
      <c r="D145" s="832"/>
      <c r="E145" s="833" t="s">
        <v>417</v>
      </c>
      <c r="F145" s="831">
        <v>15</v>
      </c>
      <c r="G145" s="829">
        <v>8.1999999999999993</v>
      </c>
      <c r="H145" s="832"/>
      <c r="I145" s="833" t="s">
        <v>424</v>
      </c>
    </row>
    <row r="146" spans="1:9">
      <c r="A146" s="818"/>
      <c r="B146" s="831"/>
      <c r="C146" s="829">
        <v>0.2</v>
      </c>
      <c r="D146" s="832">
        <f>C146*C145*B145</f>
        <v>6.8000000000000007</v>
      </c>
      <c r="E146" s="833" t="s">
        <v>418</v>
      </c>
      <c r="F146" s="831"/>
      <c r="G146" s="829"/>
      <c r="H146" s="832">
        <f>F145*G145</f>
        <v>122.99999999999999</v>
      </c>
      <c r="I146" s="833" t="s">
        <v>425</v>
      </c>
    </row>
    <row r="147" spans="1:9">
      <c r="A147" s="818"/>
      <c r="B147" s="831"/>
      <c r="C147" s="829"/>
      <c r="D147" s="832"/>
      <c r="E147" s="833"/>
      <c r="F147" s="831"/>
      <c r="G147" s="829"/>
      <c r="H147" s="832"/>
      <c r="I147" s="833"/>
    </row>
    <row r="148" spans="1:9">
      <c r="A148" s="818"/>
      <c r="B148" s="831">
        <v>2</v>
      </c>
      <c r="C148" s="829">
        <v>7.4</v>
      </c>
      <c r="D148" s="832"/>
      <c r="E148" s="833" t="s">
        <v>419</v>
      </c>
      <c r="F148" s="839"/>
      <c r="G148" s="839"/>
      <c r="H148" s="838">
        <f>SUM(H143:H147)</f>
        <v>255</v>
      </c>
      <c r="I148" s="845" t="s">
        <v>2831</v>
      </c>
    </row>
    <row r="149" spans="1:9">
      <c r="A149" s="818"/>
      <c r="B149" s="831"/>
      <c r="C149" s="829">
        <v>0.9</v>
      </c>
      <c r="D149" s="832">
        <f>C149*C148*B148</f>
        <v>13.32</v>
      </c>
      <c r="E149" s="833" t="s">
        <v>417</v>
      </c>
      <c r="F149" s="831"/>
      <c r="G149" s="829"/>
      <c r="H149" s="832"/>
      <c r="I149" s="833"/>
    </row>
    <row r="150" spans="1:9">
      <c r="A150" s="818"/>
      <c r="B150" s="831"/>
      <c r="C150" s="829"/>
      <c r="D150" s="832"/>
      <c r="E150" s="833"/>
      <c r="F150" s="831"/>
      <c r="G150" s="829"/>
      <c r="H150" s="832"/>
      <c r="I150" s="844" t="s">
        <v>114</v>
      </c>
    </row>
    <row r="151" spans="1:9">
      <c r="A151" s="818"/>
      <c r="B151" s="839"/>
      <c r="C151" s="839"/>
      <c r="D151" s="838">
        <f>SUM(D127:D149)</f>
        <v>161.46679999999998</v>
      </c>
      <c r="E151" s="845" t="s">
        <v>2122</v>
      </c>
      <c r="F151" s="831">
        <v>15</v>
      </c>
      <c r="G151" s="829">
        <v>5.98</v>
      </c>
      <c r="H151" s="832"/>
      <c r="I151" s="833" t="s">
        <v>426</v>
      </c>
    </row>
    <row r="152" spans="1:9">
      <c r="A152" s="818"/>
      <c r="B152" s="831"/>
      <c r="C152" s="829"/>
      <c r="D152" s="832"/>
      <c r="E152" s="833"/>
      <c r="F152" s="831"/>
      <c r="G152" s="829"/>
      <c r="H152" s="832">
        <f>F151*G151</f>
        <v>89.7</v>
      </c>
      <c r="I152" s="435"/>
    </row>
    <row r="153" spans="1:9">
      <c r="A153" s="818"/>
      <c r="B153" s="831"/>
      <c r="C153" s="829"/>
      <c r="D153" s="832"/>
      <c r="E153" s="844" t="s">
        <v>420</v>
      </c>
      <c r="F153" s="831"/>
      <c r="G153" s="829"/>
      <c r="H153" s="832"/>
      <c r="I153" s="833"/>
    </row>
    <row r="154" spans="1:9">
      <c r="A154" s="818"/>
      <c r="B154" s="831">
        <v>4</v>
      </c>
      <c r="C154" s="829">
        <v>4</v>
      </c>
      <c r="D154" s="832"/>
      <c r="E154" s="833"/>
      <c r="F154" s="831">
        <v>15</v>
      </c>
      <c r="G154" s="829">
        <v>8.84</v>
      </c>
      <c r="H154" s="832"/>
      <c r="I154" s="833" t="s">
        <v>427</v>
      </c>
    </row>
    <row r="155" spans="1:9">
      <c r="A155" s="818"/>
      <c r="B155" s="831"/>
      <c r="C155" s="829">
        <v>3.06</v>
      </c>
      <c r="D155" s="832">
        <f>C155*C154*B154</f>
        <v>48.96</v>
      </c>
      <c r="E155" s="833"/>
      <c r="F155" s="831"/>
      <c r="G155" s="829"/>
      <c r="H155" s="832">
        <f>F154*G154</f>
        <v>132.6</v>
      </c>
      <c r="I155" s="833"/>
    </row>
    <row r="156" spans="1:9">
      <c r="A156" s="818"/>
      <c r="B156" s="831"/>
      <c r="C156" s="829"/>
      <c r="D156" s="832"/>
      <c r="E156" s="833"/>
      <c r="F156" s="831"/>
      <c r="G156" s="829"/>
      <c r="H156" s="832"/>
      <c r="I156" s="833"/>
    </row>
    <row r="157" spans="1:9">
      <c r="A157" s="818"/>
      <c r="B157" s="831">
        <v>4</v>
      </c>
      <c r="C157" s="829">
        <v>1</v>
      </c>
      <c r="D157" s="832"/>
      <c r="E157" s="833" t="s">
        <v>62</v>
      </c>
      <c r="F157" s="839"/>
      <c r="G157" s="839"/>
      <c r="H157" s="838">
        <f>SUM(H152:H155)</f>
        <v>222.3</v>
      </c>
      <c r="I157" s="845" t="s">
        <v>2832</v>
      </c>
    </row>
    <row r="158" spans="1:9">
      <c r="A158" s="818"/>
      <c r="B158" s="831"/>
      <c r="C158" s="829">
        <v>2.73</v>
      </c>
      <c r="D158" s="832">
        <f>-C158*C157*B157</f>
        <v>-10.92</v>
      </c>
      <c r="E158" s="833"/>
      <c r="F158" s="435"/>
      <c r="G158" s="435"/>
      <c r="H158" s="435"/>
      <c r="I158" s="435"/>
    </row>
    <row r="159" spans="1:9">
      <c r="A159" s="818"/>
      <c r="B159" s="831"/>
      <c r="C159" s="829"/>
      <c r="D159" s="832"/>
      <c r="E159" s="833"/>
      <c r="F159" s="831"/>
      <c r="G159" s="829"/>
      <c r="H159" s="832"/>
      <c r="I159" s="844" t="s">
        <v>117</v>
      </c>
    </row>
    <row r="160" spans="1:9">
      <c r="A160" s="818"/>
      <c r="B160" s="831">
        <v>4</v>
      </c>
      <c r="C160" s="829">
        <v>3.6</v>
      </c>
      <c r="D160" s="832"/>
      <c r="E160" s="833"/>
      <c r="F160" s="831">
        <v>12</v>
      </c>
      <c r="G160" s="829">
        <v>17</v>
      </c>
      <c r="H160" s="832"/>
      <c r="I160" s="833"/>
    </row>
    <row r="161" spans="1:10">
      <c r="A161" s="818"/>
      <c r="B161" s="831"/>
      <c r="C161" s="829">
        <v>3.06</v>
      </c>
      <c r="D161" s="832">
        <f>C161*C160*B160</f>
        <v>44.064</v>
      </c>
      <c r="E161" s="833"/>
      <c r="F161" s="839"/>
      <c r="G161" s="839"/>
      <c r="H161" s="838">
        <f>F160*G160</f>
        <v>204</v>
      </c>
      <c r="I161" s="845" t="s">
        <v>2833</v>
      </c>
    </row>
    <row r="162" spans="1:10">
      <c r="A162" s="818"/>
      <c r="B162" s="831"/>
      <c r="C162" s="829"/>
      <c r="D162" s="832"/>
      <c r="E162" s="833"/>
      <c r="F162" s="831"/>
      <c r="G162" s="829"/>
      <c r="H162" s="832"/>
      <c r="I162" s="833"/>
    </row>
    <row r="163" spans="1:10">
      <c r="A163" s="818"/>
      <c r="B163" s="831">
        <v>4</v>
      </c>
      <c r="C163" s="829">
        <v>0.8</v>
      </c>
      <c r="D163" s="832"/>
      <c r="E163" s="833" t="s">
        <v>423</v>
      </c>
      <c r="F163" s="831"/>
      <c r="G163" s="829"/>
      <c r="H163" s="832"/>
      <c r="I163" s="844" t="s">
        <v>122</v>
      </c>
    </row>
    <row r="164" spans="1:10">
      <c r="A164" s="818"/>
      <c r="B164" s="831"/>
      <c r="C164" s="829">
        <v>2.73</v>
      </c>
      <c r="D164" s="832">
        <f>-C164*C163*B163</f>
        <v>-8.7360000000000007</v>
      </c>
      <c r="E164" s="833"/>
      <c r="F164" s="831">
        <v>2</v>
      </c>
      <c r="G164" s="829">
        <v>17</v>
      </c>
      <c r="H164" s="832"/>
      <c r="I164" s="833"/>
    </row>
    <row r="165" spans="1:10">
      <c r="A165" s="818"/>
      <c r="B165" s="831"/>
      <c r="C165" s="829"/>
      <c r="D165" s="832"/>
      <c r="E165" s="833"/>
      <c r="F165" s="831"/>
      <c r="G165" s="829"/>
      <c r="H165" s="832">
        <f>F164*G164</f>
        <v>34</v>
      </c>
      <c r="I165" s="833"/>
    </row>
    <row r="166" spans="1:10">
      <c r="A166" s="818"/>
      <c r="B166" s="831">
        <v>4</v>
      </c>
      <c r="C166" s="829">
        <v>1.93</v>
      </c>
      <c r="D166" s="832"/>
      <c r="E166" s="833"/>
      <c r="F166" s="831"/>
      <c r="G166" s="829"/>
      <c r="H166" s="832"/>
      <c r="I166" s="833"/>
    </row>
    <row r="167" spans="1:10">
      <c r="A167" s="818"/>
      <c r="B167" s="831"/>
      <c r="C167" s="829">
        <v>3.06</v>
      </c>
      <c r="D167" s="832">
        <f>C167*C166*B166</f>
        <v>23.623200000000001</v>
      </c>
      <c r="E167" s="833"/>
      <c r="F167" s="831">
        <v>4</v>
      </c>
      <c r="G167" s="829">
        <v>4.66</v>
      </c>
      <c r="H167" s="832"/>
      <c r="I167" s="833">
        <f>SUM(H165:H168)</f>
        <v>52.64</v>
      </c>
    </row>
    <row r="168" spans="1:10">
      <c r="A168" s="818"/>
      <c r="B168" s="831"/>
      <c r="C168" s="829"/>
      <c r="D168" s="832"/>
      <c r="E168" s="833"/>
      <c r="F168" s="831"/>
      <c r="G168" s="829"/>
      <c r="H168" s="832">
        <f>F167*G167</f>
        <v>18.64</v>
      </c>
      <c r="I168" s="833" t="s">
        <v>1246</v>
      </c>
    </row>
    <row r="169" spans="1:10">
      <c r="A169" s="818"/>
      <c r="B169" s="831">
        <v>4</v>
      </c>
      <c r="C169" s="829">
        <v>0.8</v>
      </c>
      <c r="D169" s="832"/>
      <c r="E169" s="833" t="s">
        <v>247</v>
      </c>
      <c r="F169" s="831"/>
      <c r="G169" s="829"/>
      <c r="H169" s="832"/>
      <c r="I169" s="833"/>
    </row>
    <row r="170" spans="1:10">
      <c r="A170" s="818"/>
      <c r="B170" s="435"/>
      <c r="C170" s="829">
        <v>2.73</v>
      </c>
      <c r="D170" s="832">
        <f>-C170*C169*B169</f>
        <v>-8.7360000000000007</v>
      </c>
      <c r="E170" s="833"/>
      <c r="F170" s="839"/>
      <c r="G170" s="839"/>
      <c r="H170" s="838">
        <f>SUM(H165:H169)</f>
        <v>52.64</v>
      </c>
      <c r="I170" s="845" t="s">
        <v>2834</v>
      </c>
    </row>
    <row r="171" spans="1:10">
      <c r="A171" s="818"/>
      <c r="B171" s="831"/>
      <c r="C171" s="829"/>
      <c r="D171" s="435"/>
      <c r="E171" s="435"/>
      <c r="F171" s="831"/>
      <c r="G171" s="829"/>
      <c r="H171" s="832"/>
      <c r="I171" s="833"/>
    </row>
    <row r="172" spans="1:10">
      <c r="A172" s="818"/>
      <c r="B172" s="839"/>
      <c r="C172" s="839"/>
      <c r="D172" s="838">
        <f>SUM(D155:D170)</f>
        <v>88.255199999999988</v>
      </c>
      <c r="E172" s="845" t="s">
        <v>2123</v>
      </c>
      <c r="F172" s="831"/>
      <c r="G172" s="829"/>
      <c r="H172" s="832"/>
      <c r="I172" s="833"/>
    </row>
    <row r="173" spans="1:10" ht="16.5" thickBot="1">
      <c r="A173" s="818"/>
      <c r="B173" s="1158"/>
      <c r="C173" s="1159"/>
      <c r="D173" s="1160"/>
      <c r="E173" s="1161"/>
      <c r="F173" s="1158"/>
      <c r="G173" s="1159"/>
      <c r="H173" s="1160"/>
      <c r="I173" s="1161"/>
    </row>
    <row r="174" spans="1:10" ht="16.5" thickTop="1">
      <c r="A174" s="828"/>
      <c r="B174" s="929" t="s">
        <v>1884</v>
      </c>
      <c r="C174" s="930" t="s">
        <v>526</v>
      </c>
      <c r="D174" s="931" t="s">
        <v>1885</v>
      </c>
      <c r="E174" s="930" t="s">
        <v>1886</v>
      </c>
      <c r="F174" s="929" t="s">
        <v>1884</v>
      </c>
      <c r="G174" s="931" t="s">
        <v>526</v>
      </c>
      <c r="H174" s="932" t="s">
        <v>1885</v>
      </c>
      <c r="I174" s="930" t="s">
        <v>1886</v>
      </c>
      <c r="J174" s="828"/>
    </row>
    <row r="175" spans="1:10">
      <c r="A175" s="818"/>
      <c r="B175" s="831"/>
      <c r="C175" s="829"/>
      <c r="D175" s="832"/>
      <c r="E175" s="844" t="s">
        <v>135</v>
      </c>
      <c r="F175" s="831">
        <v>12</v>
      </c>
      <c r="G175" s="829">
        <v>0.8</v>
      </c>
      <c r="H175" s="832"/>
      <c r="I175" s="833" t="s">
        <v>434</v>
      </c>
    </row>
    <row r="176" spans="1:10">
      <c r="A176" s="818"/>
      <c r="B176" s="435"/>
      <c r="C176" s="435"/>
      <c r="D176" s="435"/>
      <c r="E176" s="833" t="s">
        <v>428</v>
      </c>
      <c r="F176" s="831"/>
      <c r="G176" s="829">
        <v>2.73</v>
      </c>
      <c r="H176" s="832">
        <f>-G176*G175*F175</f>
        <v>-26.208000000000002</v>
      </c>
      <c r="I176" s="833"/>
    </row>
    <row r="177" spans="1:9">
      <c r="A177" s="818"/>
      <c r="B177" s="831">
        <v>4</v>
      </c>
      <c r="C177" s="829">
        <v>1</v>
      </c>
      <c r="D177" s="832"/>
      <c r="E177" s="833"/>
      <c r="F177" s="831"/>
      <c r="G177" s="829"/>
      <c r="H177" s="832"/>
      <c r="I177" s="833"/>
    </row>
    <row r="178" spans="1:9">
      <c r="A178" s="818"/>
      <c r="B178" s="839"/>
      <c r="C178" s="839"/>
      <c r="D178" s="838">
        <v>3</v>
      </c>
      <c r="E178" s="845" t="s">
        <v>2136</v>
      </c>
      <c r="F178" s="831">
        <v>4</v>
      </c>
      <c r="G178" s="829">
        <v>0.9</v>
      </c>
      <c r="H178" s="832"/>
      <c r="I178" s="833"/>
    </row>
    <row r="179" spans="1:9">
      <c r="A179" s="818"/>
      <c r="B179" s="831"/>
      <c r="C179" s="829"/>
      <c r="D179" s="832"/>
      <c r="E179" s="435"/>
      <c r="F179" s="831"/>
      <c r="G179" s="829">
        <v>2.73</v>
      </c>
      <c r="H179" s="832">
        <f>-G179*G178*F178</f>
        <v>-9.8279999999999994</v>
      </c>
      <c r="I179" s="833"/>
    </row>
    <row r="180" spans="1:9">
      <c r="A180" s="818"/>
      <c r="B180" s="831"/>
      <c r="C180" s="829"/>
      <c r="D180" s="832"/>
      <c r="E180" s="1422" t="s">
        <v>3424</v>
      </c>
      <c r="F180" s="831"/>
      <c r="G180" s="829"/>
      <c r="H180" s="832"/>
      <c r="I180" s="833"/>
    </row>
    <row r="181" spans="1:9">
      <c r="A181" s="818"/>
      <c r="B181" s="831">
        <v>4</v>
      </c>
      <c r="C181" s="829">
        <v>1</v>
      </c>
      <c r="D181" s="832"/>
      <c r="E181" s="833"/>
      <c r="F181" s="831">
        <v>4</v>
      </c>
      <c r="G181" s="829">
        <v>1</v>
      </c>
      <c r="H181" s="832"/>
      <c r="I181" s="833" t="s">
        <v>62</v>
      </c>
    </row>
    <row r="182" spans="1:9">
      <c r="A182" s="818"/>
      <c r="B182" s="839"/>
      <c r="C182" s="839"/>
      <c r="D182" s="838">
        <f>B181*C181</f>
        <v>4</v>
      </c>
      <c r="E182" s="845" t="s">
        <v>2135</v>
      </c>
      <c r="F182" s="831"/>
      <c r="G182" s="829">
        <v>2.73</v>
      </c>
      <c r="H182" s="832">
        <f>-G182*G181*F181</f>
        <v>-10.92</v>
      </c>
      <c r="I182" s="833"/>
    </row>
    <row r="183" spans="1:9">
      <c r="A183" s="818"/>
      <c r="B183" s="831"/>
      <c r="C183" s="829"/>
      <c r="D183" s="832"/>
      <c r="E183" s="833"/>
      <c r="F183" s="831"/>
      <c r="G183" s="829"/>
      <c r="H183" s="832"/>
      <c r="I183" s="833"/>
    </row>
    <row r="184" spans="1:9">
      <c r="A184" s="818"/>
      <c r="B184" s="831"/>
      <c r="C184" s="829"/>
      <c r="D184" s="832"/>
      <c r="E184" s="844" t="s">
        <v>357</v>
      </c>
      <c r="F184" s="831">
        <v>14</v>
      </c>
      <c r="G184" s="829">
        <v>2.73</v>
      </c>
      <c r="H184" s="832"/>
      <c r="I184" s="833" t="s">
        <v>220</v>
      </c>
    </row>
    <row r="185" spans="1:9">
      <c r="A185" s="818"/>
      <c r="B185" s="831"/>
      <c r="C185" s="829"/>
      <c r="D185" s="832"/>
      <c r="E185" s="844" t="s">
        <v>2835</v>
      </c>
      <c r="F185" s="831"/>
      <c r="G185" s="829">
        <v>0.2</v>
      </c>
      <c r="H185" s="832">
        <f>G185*G184*F184</f>
        <v>7.6440000000000001</v>
      </c>
      <c r="I185" s="833"/>
    </row>
    <row r="186" spans="1:9">
      <c r="A186" s="818"/>
      <c r="B186" s="831">
        <v>2</v>
      </c>
      <c r="C186" s="829">
        <v>7</v>
      </c>
      <c r="D186" s="832"/>
      <c r="E186" s="833" t="s">
        <v>433</v>
      </c>
      <c r="F186" s="831"/>
      <c r="G186" s="829"/>
      <c r="H186" s="832"/>
      <c r="I186" s="833"/>
    </row>
    <row r="187" spans="1:9">
      <c r="A187" s="818"/>
      <c r="B187" s="831"/>
      <c r="C187" s="829">
        <v>2.73</v>
      </c>
      <c r="D187" s="832">
        <f>C187*C186*B186</f>
        <v>38.22</v>
      </c>
      <c r="E187" s="435"/>
      <c r="F187" s="831">
        <v>2</v>
      </c>
      <c r="G187" s="829">
        <v>7.4</v>
      </c>
      <c r="H187" s="832"/>
      <c r="I187" s="833" t="s">
        <v>433</v>
      </c>
    </row>
    <row r="188" spans="1:9">
      <c r="A188" s="818"/>
      <c r="B188" s="831"/>
      <c r="C188" s="829"/>
      <c r="D188" s="832"/>
      <c r="E188" s="833"/>
      <c r="F188" s="831"/>
      <c r="G188" s="829">
        <v>0.4</v>
      </c>
      <c r="H188" s="832">
        <f>G188*G187*F187</f>
        <v>5.9200000000000008</v>
      </c>
      <c r="I188" s="833" t="s">
        <v>1</v>
      </c>
    </row>
    <row r="189" spans="1:9">
      <c r="A189" s="818"/>
      <c r="B189" s="831">
        <v>16</v>
      </c>
      <c r="C189" s="829">
        <v>0.6</v>
      </c>
      <c r="D189" s="832"/>
      <c r="E189" s="833"/>
      <c r="F189" s="831"/>
      <c r="G189" s="829"/>
      <c r="H189" s="832"/>
      <c r="I189" s="833"/>
    </row>
    <row r="190" spans="1:9">
      <c r="A190" s="818"/>
      <c r="B190" s="831"/>
      <c r="C190" s="829">
        <v>2.73</v>
      </c>
      <c r="D190" s="832">
        <f>C190*C189*B189</f>
        <v>26.207999999999998</v>
      </c>
      <c r="E190" s="833"/>
      <c r="F190" s="831">
        <v>2</v>
      </c>
      <c r="G190" s="829">
        <v>7.4</v>
      </c>
      <c r="H190" s="832"/>
      <c r="I190" s="833" t="s">
        <v>433</v>
      </c>
    </row>
    <row r="191" spans="1:9">
      <c r="A191" s="818"/>
      <c r="B191" s="831"/>
      <c r="C191" s="829"/>
      <c r="D191" s="832"/>
      <c r="E191" s="833"/>
      <c r="F191" s="831"/>
      <c r="G191" s="829">
        <v>0.3</v>
      </c>
      <c r="H191" s="832">
        <f>G191*G190*F190</f>
        <v>4.4400000000000004</v>
      </c>
      <c r="I191" s="833" t="s">
        <v>217</v>
      </c>
    </row>
    <row r="192" spans="1:9">
      <c r="A192" s="818"/>
      <c r="B192" s="831">
        <v>2</v>
      </c>
      <c r="C192" s="829">
        <v>16</v>
      </c>
      <c r="D192" s="832"/>
      <c r="E192" s="833" t="s">
        <v>418</v>
      </c>
      <c r="F192" s="831"/>
      <c r="G192" s="829"/>
      <c r="H192" s="832"/>
      <c r="I192" s="833"/>
    </row>
    <row r="193" spans="1:9">
      <c r="A193" s="818"/>
      <c r="B193" s="831"/>
      <c r="C193" s="829">
        <v>2.73</v>
      </c>
      <c r="D193" s="832">
        <f>C193*C192*B192</f>
        <v>87.36</v>
      </c>
      <c r="E193" s="833"/>
      <c r="F193" s="831">
        <v>2</v>
      </c>
      <c r="G193" s="829">
        <v>17</v>
      </c>
      <c r="H193" s="832"/>
      <c r="I193" s="833" t="s">
        <v>418</v>
      </c>
    </row>
    <row r="194" spans="1:9">
      <c r="A194" s="818"/>
      <c r="B194" s="831"/>
      <c r="C194" s="829"/>
      <c r="D194" s="832"/>
      <c r="E194" s="833"/>
      <c r="F194" s="831"/>
      <c r="G194" s="829">
        <v>0.4</v>
      </c>
      <c r="H194" s="832">
        <f>G194*G193*F193</f>
        <v>13.600000000000001</v>
      </c>
      <c r="I194" s="833"/>
    </row>
    <row r="195" spans="1:9">
      <c r="A195" s="818"/>
      <c r="B195" s="831">
        <v>4</v>
      </c>
      <c r="C195" s="829">
        <v>1.8</v>
      </c>
      <c r="D195" s="832"/>
      <c r="E195" s="833" t="s">
        <v>344</v>
      </c>
      <c r="F195" s="831"/>
      <c r="G195" s="829"/>
      <c r="H195" s="832"/>
      <c r="I195" s="833"/>
    </row>
    <row r="196" spans="1:9">
      <c r="A196" s="818"/>
      <c r="B196" s="831"/>
      <c r="C196" s="829">
        <v>1.68</v>
      </c>
      <c r="D196" s="832">
        <f>-C196*C195*B195</f>
        <v>-12.096</v>
      </c>
      <c r="E196" s="833"/>
      <c r="F196" s="831">
        <v>2</v>
      </c>
      <c r="G196" s="829">
        <v>17</v>
      </c>
      <c r="H196" s="832"/>
      <c r="I196" s="833" t="s">
        <v>418</v>
      </c>
    </row>
    <row r="197" spans="1:9">
      <c r="A197" s="818"/>
      <c r="B197" s="831"/>
      <c r="C197" s="829"/>
      <c r="D197" s="832"/>
      <c r="E197" s="833"/>
      <c r="F197" s="831"/>
      <c r="G197" s="829">
        <v>0.3</v>
      </c>
      <c r="H197" s="832">
        <f>G197*G196*F196</f>
        <v>10.199999999999999</v>
      </c>
      <c r="I197" s="833"/>
    </row>
    <row r="198" spans="1:9">
      <c r="A198" s="818"/>
      <c r="B198" s="831">
        <v>4</v>
      </c>
      <c r="C198" s="829">
        <v>0.9</v>
      </c>
      <c r="D198" s="832"/>
      <c r="E198" s="833" t="s">
        <v>415</v>
      </c>
      <c r="F198" s="831"/>
      <c r="G198" s="829"/>
      <c r="H198" s="832"/>
      <c r="I198" s="833"/>
    </row>
    <row r="199" spans="1:9">
      <c r="A199" s="818"/>
      <c r="B199" s="831"/>
      <c r="C199" s="829">
        <v>0.6</v>
      </c>
      <c r="D199" s="832">
        <f>-C199*C198*B198</f>
        <v>-2.16</v>
      </c>
      <c r="E199" s="833"/>
      <c r="F199" s="831">
        <v>16</v>
      </c>
      <c r="G199" s="829">
        <v>0.6</v>
      </c>
      <c r="H199" s="832"/>
      <c r="I199" s="833" t="s">
        <v>436</v>
      </c>
    </row>
    <row r="200" spans="1:9">
      <c r="A200" s="818"/>
      <c r="B200" s="831"/>
      <c r="C200" s="829"/>
      <c r="D200" s="832"/>
      <c r="E200" s="833"/>
      <c r="F200" s="831"/>
      <c r="G200" s="829">
        <v>0.4</v>
      </c>
      <c r="H200" s="832">
        <f>G200*G199*F199</f>
        <v>3.84</v>
      </c>
      <c r="I200" s="833"/>
    </row>
    <row r="201" spans="1:9">
      <c r="A201" s="818"/>
      <c r="B201" s="831">
        <v>4</v>
      </c>
      <c r="C201" s="829">
        <v>0.9</v>
      </c>
      <c r="D201" s="832"/>
      <c r="E201" s="833" t="s">
        <v>416</v>
      </c>
      <c r="F201" s="831"/>
      <c r="G201" s="829"/>
      <c r="H201" s="832"/>
      <c r="I201" s="833"/>
    </row>
    <row r="202" spans="1:9">
      <c r="A202" s="818"/>
      <c r="B202" s="831"/>
      <c r="C202" s="829">
        <v>1.73</v>
      </c>
      <c r="D202" s="832">
        <f>-C202*C201*B201</f>
        <v>-6.2279999999999998</v>
      </c>
      <c r="E202" s="833"/>
      <c r="F202" s="831">
        <v>10</v>
      </c>
      <c r="G202" s="829">
        <v>0.4</v>
      </c>
      <c r="H202" s="832"/>
      <c r="I202" s="833"/>
    </row>
    <row r="203" spans="1:9">
      <c r="A203" s="818"/>
      <c r="B203" s="831"/>
      <c r="C203" s="829"/>
      <c r="D203" s="832"/>
      <c r="E203" s="833"/>
      <c r="F203" s="831"/>
      <c r="G203" s="829">
        <v>0.2</v>
      </c>
      <c r="H203" s="832">
        <f>G203*G202*F202</f>
        <v>0.80000000000000016</v>
      </c>
      <c r="I203" s="833"/>
    </row>
    <row r="204" spans="1:9">
      <c r="A204" s="818"/>
      <c r="B204" s="831">
        <v>8</v>
      </c>
      <c r="C204" s="829">
        <v>0.9</v>
      </c>
      <c r="D204" s="832"/>
      <c r="E204" s="833" t="s">
        <v>233</v>
      </c>
      <c r="F204" s="831"/>
      <c r="G204" s="829"/>
      <c r="H204" s="832"/>
      <c r="I204" s="833"/>
    </row>
    <row r="205" spans="1:9">
      <c r="A205" s="818"/>
      <c r="B205" s="831"/>
      <c r="C205" s="829">
        <v>2.73</v>
      </c>
      <c r="D205" s="832">
        <f>-C205*C204*B204</f>
        <v>-19.655999999999999</v>
      </c>
      <c r="E205" s="833"/>
      <c r="F205" s="831">
        <v>4</v>
      </c>
      <c r="G205" s="829">
        <v>0.6</v>
      </c>
      <c r="H205" s="832"/>
      <c r="I205" s="833"/>
    </row>
    <row r="206" spans="1:9">
      <c r="A206" s="818"/>
      <c r="B206" s="831"/>
      <c r="C206" s="829"/>
      <c r="D206" s="832"/>
      <c r="E206" s="833"/>
      <c r="F206" s="831"/>
      <c r="G206" s="829">
        <v>0.2</v>
      </c>
      <c r="H206" s="832">
        <f>G206*G205*F205</f>
        <v>0.48</v>
      </c>
      <c r="I206" s="833"/>
    </row>
    <row r="207" spans="1:9">
      <c r="A207" s="818"/>
      <c r="B207" s="831">
        <v>2</v>
      </c>
      <c r="C207" s="829">
        <v>7.4</v>
      </c>
      <c r="D207" s="832"/>
      <c r="E207" s="833" t="s">
        <v>419</v>
      </c>
      <c r="F207" s="831"/>
      <c r="G207" s="829"/>
      <c r="H207" s="832"/>
      <c r="I207" s="833"/>
    </row>
    <row r="208" spans="1:9">
      <c r="A208" s="818"/>
      <c r="B208" s="831"/>
      <c r="C208" s="829">
        <v>0.7</v>
      </c>
      <c r="D208" s="832">
        <f>C208*C207*B207</f>
        <v>10.36</v>
      </c>
      <c r="E208" s="833" t="s">
        <v>417</v>
      </c>
      <c r="F208" s="831"/>
      <c r="G208" s="829"/>
      <c r="H208" s="832">
        <v>84.35</v>
      </c>
      <c r="I208" s="833" t="s">
        <v>1229</v>
      </c>
    </row>
    <row r="209" spans="1:9">
      <c r="A209" s="818"/>
      <c r="B209" s="831"/>
      <c r="C209" s="829"/>
      <c r="D209" s="832"/>
      <c r="E209" s="833"/>
      <c r="F209" s="831"/>
      <c r="G209" s="829"/>
      <c r="H209" s="832"/>
      <c r="I209" s="833"/>
    </row>
    <row r="210" spans="1:9">
      <c r="A210" s="818"/>
      <c r="B210" s="839"/>
      <c r="C210" s="839"/>
      <c r="D210" s="838">
        <f>SUM(D187:D208)</f>
        <v>122.008</v>
      </c>
      <c r="E210" s="845" t="s">
        <v>2182</v>
      </c>
      <c r="F210" s="839"/>
      <c r="G210" s="839"/>
      <c r="H210" s="838">
        <f>SUM(H175:H206)-H208+SUM(D215:D233)</f>
        <v>237.03640000000001</v>
      </c>
      <c r="I210" s="845" t="s">
        <v>2184</v>
      </c>
    </row>
    <row r="211" spans="1:9">
      <c r="A211" s="818"/>
      <c r="B211" s="831"/>
      <c r="C211" s="829"/>
      <c r="D211" s="832"/>
      <c r="E211" s="833"/>
      <c r="F211" s="831"/>
      <c r="G211" s="829"/>
      <c r="H211" s="832"/>
      <c r="I211" s="833"/>
    </row>
    <row r="212" spans="1:9">
      <c r="A212" s="818"/>
      <c r="B212" s="831"/>
      <c r="C212" s="829"/>
      <c r="D212" s="832"/>
      <c r="E212" s="844" t="s">
        <v>358</v>
      </c>
      <c r="F212" s="831"/>
      <c r="G212" s="829"/>
      <c r="H212" s="832"/>
      <c r="I212" s="844" t="s">
        <v>437</v>
      </c>
    </row>
    <row r="213" spans="1:9">
      <c r="A213" s="818"/>
      <c r="B213" s="831"/>
      <c r="C213" s="829"/>
      <c r="D213" s="832"/>
      <c r="E213" s="844" t="s">
        <v>359</v>
      </c>
      <c r="F213" s="831">
        <v>4</v>
      </c>
      <c r="G213" s="829">
        <v>1.93</v>
      </c>
      <c r="H213" s="832"/>
      <c r="I213" s="833" t="s">
        <v>20</v>
      </c>
    </row>
    <row r="214" spans="1:9">
      <c r="A214" s="818"/>
      <c r="B214" s="831">
        <v>4</v>
      </c>
      <c r="C214" s="829">
        <v>8.26</v>
      </c>
      <c r="D214" s="832"/>
      <c r="E214" s="833" t="s">
        <v>20</v>
      </c>
      <c r="F214" s="831"/>
      <c r="G214" s="829">
        <v>2.44</v>
      </c>
      <c r="H214" s="832">
        <f>G214*G213*F213</f>
        <v>18.8368</v>
      </c>
      <c r="I214" s="833"/>
    </row>
    <row r="215" spans="1:9">
      <c r="A215" s="818"/>
      <c r="B215" s="831"/>
      <c r="C215" s="829">
        <v>1.43</v>
      </c>
      <c r="D215" s="832">
        <f>C215*C214*B214</f>
        <v>47.247199999999999</v>
      </c>
      <c r="E215" s="833" t="s">
        <v>429</v>
      </c>
      <c r="F215" s="831"/>
      <c r="G215" s="829"/>
      <c r="H215" s="832"/>
      <c r="I215" s="833"/>
    </row>
    <row r="216" spans="1:9">
      <c r="A216" s="818"/>
      <c r="B216" s="831"/>
      <c r="C216" s="829"/>
      <c r="D216" s="832"/>
      <c r="E216" s="833"/>
      <c r="F216" s="831">
        <v>4</v>
      </c>
      <c r="G216" s="829">
        <v>1.93</v>
      </c>
      <c r="H216" s="832"/>
      <c r="I216" s="833" t="s">
        <v>84</v>
      </c>
    </row>
    <row r="217" spans="1:9">
      <c r="A217" s="818"/>
      <c r="B217" s="831">
        <v>4</v>
      </c>
      <c r="C217" s="829">
        <v>5.16</v>
      </c>
      <c r="D217" s="832"/>
      <c r="E217" s="833" t="s">
        <v>84</v>
      </c>
      <c r="F217" s="831"/>
      <c r="G217" s="829">
        <v>1.18</v>
      </c>
      <c r="H217" s="832">
        <f>G217*G216*F216</f>
        <v>9.1095999999999986</v>
      </c>
      <c r="I217" s="833"/>
    </row>
    <row r="218" spans="1:9">
      <c r="A218" s="818"/>
      <c r="B218" s="831"/>
      <c r="C218" s="829">
        <v>1.43</v>
      </c>
      <c r="D218" s="832">
        <f>C218*C217*B217</f>
        <v>29.5152</v>
      </c>
      <c r="E218" s="833" t="s">
        <v>430</v>
      </c>
      <c r="F218" s="831"/>
      <c r="G218" s="829"/>
      <c r="H218" s="832"/>
      <c r="I218" s="833"/>
    </row>
    <row r="219" spans="1:9">
      <c r="A219" s="818"/>
      <c r="B219" s="831"/>
      <c r="C219" s="829"/>
      <c r="D219" s="832"/>
      <c r="E219" s="833"/>
      <c r="F219" s="831">
        <v>4</v>
      </c>
      <c r="G219" s="829">
        <v>1.93</v>
      </c>
      <c r="H219" s="832"/>
      <c r="I219" s="833" t="s">
        <v>160</v>
      </c>
    </row>
    <row r="220" spans="1:9">
      <c r="A220" s="818"/>
      <c r="B220" s="831">
        <v>4</v>
      </c>
      <c r="C220" s="829">
        <v>4.0999999999999996</v>
      </c>
      <c r="D220" s="832"/>
      <c r="E220" s="833" t="s">
        <v>160</v>
      </c>
      <c r="F220" s="831"/>
      <c r="G220" s="829">
        <v>1</v>
      </c>
      <c r="H220" s="832">
        <f>G220*G219*F219</f>
        <v>7.72</v>
      </c>
      <c r="I220" s="833"/>
    </row>
    <row r="221" spans="1:9">
      <c r="A221" s="818"/>
      <c r="B221" s="831"/>
      <c r="C221" s="829">
        <v>3.06</v>
      </c>
      <c r="D221" s="832">
        <f>C221*C220*B220</f>
        <v>50.183999999999997</v>
      </c>
      <c r="E221" s="833" t="s">
        <v>431</v>
      </c>
      <c r="F221" s="831"/>
      <c r="G221" s="829"/>
      <c r="H221" s="832"/>
      <c r="I221" s="833"/>
    </row>
    <row r="222" spans="1:9">
      <c r="A222" s="818"/>
      <c r="B222" s="831"/>
      <c r="C222" s="829"/>
      <c r="D222" s="832"/>
      <c r="E222" s="833"/>
      <c r="F222" s="831">
        <v>4</v>
      </c>
      <c r="G222" s="829">
        <v>1.93</v>
      </c>
      <c r="H222" s="832"/>
      <c r="I222" s="833" t="s">
        <v>232</v>
      </c>
    </row>
    <row r="223" spans="1:9">
      <c r="A223" s="818"/>
      <c r="B223" s="831">
        <v>4</v>
      </c>
      <c r="C223" s="829">
        <v>17.7</v>
      </c>
      <c r="D223" s="832"/>
      <c r="E223" s="833" t="s">
        <v>232</v>
      </c>
      <c r="F223" s="831"/>
      <c r="G223" s="829">
        <v>1.1000000000000001</v>
      </c>
      <c r="H223" s="832">
        <f>G223*G222*F222</f>
        <v>8.4920000000000009</v>
      </c>
      <c r="I223" s="833"/>
    </row>
    <row r="224" spans="1:9">
      <c r="A224" s="818"/>
      <c r="B224" s="831"/>
      <c r="C224" s="829">
        <v>3.06</v>
      </c>
      <c r="D224" s="832">
        <f>C224*C223*B223</f>
        <v>216.648</v>
      </c>
      <c r="E224" s="833" t="s">
        <v>432</v>
      </c>
      <c r="F224" s="831"/>
      <c r="G224" s="829"/>
      <c r="H224" s="832"/>
      <c r="I224" s="833"/>
    </row>
    <row r="225" spans="1:10">
      <c r="A225" s="818"/>
      <c r="B225" s="831"/>
      <c r="C225" s="829"/>
      <c r="D225" s="832"/>
      <c r="E225" s="833"/>
      <c r="F225" s="831">
        <v>4</v>
      </c>
      <c r="G225" s="829">
        <v>1.93</v>
      </c>
      <c r="H225" s="832"/>
      <c r="I225" s="833" t="s">
        <v>121</v>
      </c>
    </row>
    <row r="226" spans="1:10">
      <c r="A226" s="818"/>
      <c r="B226" s="831">
        <v>4</v>
      </c>
      <c r="C226" s="829">
        <v>1.8</v>
      </c>
      <c r="D226" s="832"/>
      <c r="E226" s="833" t="s">
        <v>344</v>
      </c>
      <c r="F226" s="831"/>
      <c r="G226" s="829">
        <v>1.1000000000000001</v>
      </c>
      <c r="H226" s="832">
        <f>G226*G225*F225</f>
        <v>8.4920000000000009</v>
      </c>
      <c r="I226" s="833"/>
    </row>
    <row r="227" spans="1:10">
      <c r="A227" s="818"/>
      <c r="B227" s="831"/>
      <c r="C227" s="829">
        <v>1.68</v>
      </c>
      <c r="D227" s="832">
        <f>-C227*C226*B226</f>
        <v>-12.096</v>
      </c>
      <c r="E227" s="833"/>
      <c r="F227" s="831"/>
      <c r="G227" s="829"/>
      <c r="H227" s="832"/>
      <c r="I227" s="833"/>
    </row>
    <row r="228" spans="1:10">
      <c r="A228" s="818"/>
      <c r="B228" s="831"/>
      <c r="C228" s="829"/>
      <c r="D228" s="832"/>
      <c r="E228" s="833"/>
      <c r="F228" s="831">
        <v>4</v>
      </c>
      <c r="G228" s="829">
        <v>4</v>
      </c>
      <c r="H228" s="832"/>
      <c r="I228" s="833" t="s">
        <v>121</v>
      </c>
    </row>
    <row r="229" spans="1:10">
      <c r="A229" s="818"/>
      <c r="B229" s="831">
        <v>4</v>
      </c>
      <c r="C229" s="829">
        <v>0.9</v>
      </c>
      <c r="D229" s="832"/>
      <c r="E229" s="833" t="s">
        <v>415</v>
      </c>
      <c r="F229" s="831"/>
      <c r="G229" s="829">
        <v>2.4500000000000002</v>
      </c>
      <c r="H229" s="832">
        <f>G229*G228*F228</f>
        <v>39.200000000000003</v>
      </c>
      <c r="I229" s="833"/>
    </row>
    <row r="230" spans="1:10">
      <c r="A230" s="818"/>
      <c r="B230" s="831"/>
      <c r="C230" s="829">
        <v>1.1200000000000001</v>
      </c>
      <c r="D230" s="832">
        <f>-C230*C229*B229</f>
        <v>-4.0320000000000009</v>
      </c>
      <c r="E230" s="833"/>
      <c r="F230" s="831"/>
      <c r="G230" s="829"/>
      <c r="H230" s="832"/>
      <c r="I230" s="833"/>
    </row>
    <row r="231" spans="1:10">
      <c r="A231" s="818"/>
      <c r="B231" s="831"/>
      <c r="C231" s="829"/>
      <c r="D231" s="832"/>
      <c r="E231" s="833"/>
      <c r="F231" s="839"/>
      <c r="G231" s="839"/>
      <c r="H231" s="838">
        <f>SUM(H214:H230)</f>
        <v>91.850400000000008</v>
      </c>
      <c r="I231" s="845" t="s">
        <v>2146</v>
      </c>
    </row>
    <row r="232" spans="1:10">
      <c r="A232" s="818"/>
      <c r="B232" s="831">
        <v>4</v>
      </c>
      <c r="C232" s="829">
        <v>0.9</v>
      </c>
      <c r="D232" s="832"/>
      <c r="E232" s="833" t="s">
        <v>416</v>
      </c>
      <c r="F232" s="831"/>
      <c r="G232" s="829"/>
      <c r="H232" s="832"/>
      <c r="I232" s="833"/>
    </row>
    <row r="233" spans="1:10">
      <c r="A233" s="818"/>
      <c r="B233" s="831"/>
      <c r="C233" s="829">
        <v>1.68</v>
      </c>
      <c r="D233" s="832">
        <f>-C233*C232*B232</f>
        <v>-6.048</v>
      </c>
      <c r="E233" s="833"/>
      <c r="F233" s="831"/>
      <c r="G233" s="829"/>
      <c r="H233" s="832"/>
      <c r="I233" s="833"/>
    </row>
    <row r="234" spans="1:10" ht="16.5" thickBot="1">
      <c r="A234" s="818"/>
      <c r="B234" s="1158"/>
      <c r="C234" s="1159"/>
      <c r="D234" s="1160"/>
      <c r="E234" s="1161"/>
      <c r="F234" s="1158"/>
      <c r="G234" s="1159"/>
      <c r="H234" s="1160"/>
      <c r="I234" s="1161"/>
    </row>
    <row r="235" spans="1:10" ht="16.5" thickTop="1">
      <c r="A235" s="828"/>
      <c r="B235" s="929" t="s">
        <v>1884</v>
      </c>
      <c r="C235" s="930" t="s">
        <v>526</v>
      </c>
      <c r="D235" s="931" t="s">
        <v>1885</v>
      </c>
      <c r="E235" s="930" t="s">
        <v>1886</v>
      </c>
      <c r="F235" s="929" t="s">
        <v>1884</v>
      </c>
      <c r="G235" s="931" t="s">
        <v>526</v>
      </c>
      <c r="H235" s="932" t="s">
        <v>1885</v>
      </c>
      <c r="I235" s="930" t="s">
        <v>1886</v>
      </c>
      <c r="J235" s="828"/>
    </row>
    <row r="236" spans="1:10">
      <c r="A236" s="818"/>
      <c r="B236" s="831"/>
      <c r="C236" s="829"/>
      <c r="D236" s="832"/>
      <c r="E236" s="844" t="s">
        <v>2836</v>
      </c>
      <c r="F236" s="831"/>
      <c r="G236" s="829"/>
      <c r="H236" s="832"/>
      <c r="I236" s="844" t="s">
        <v>441</v>
      </c>
    </row>
    <row r="237" spans="1:10">
      <c r="A237" s="818"/>
      <c r="B237" s="831"/>
      <c r="C237" s="829"/>
      <c r="D237" s="832"/>
      <c r="E237" s="844" t="s">
        <v>435</v>
      </c>
      <c r="F237" s="435"/>
      <c r="G237" s="435"/>
      <c r="H237" s="435"/>
      <c r="I237" s="844" t="s">
        <v>275</v>
      </c>
    </row>
    <row r="238" spans="1:10">
      <c r="A238" s="818"/>
      <c r="B238" s="831">
        <v>4</v>
      </c>
      <c r="C238" s="829">
        <v>1.93</v>
      </c>
      <c r="D238" s="832"/>
      <c r="E238" s="833" t="s">
        <v>20</v>
      </c>
      <c r="F238" s="831">
        <v>2</v>
      </c>
      <c r="G238" s="829">
        <v>19.399999999999999</v>
      </c>
      <c r="H238" s="832"/>
      <c r="I238" s="833" t="s">
        <v>442</v>
      </c>
    </row>
    <row r="239" spans="1:10">
      <c r="A239" s="818"/>
      <c r="B239" s="831"/>
      <c r="C239" s="829">
        <v>2.44</v>
      </c>
      <c r="D239" s="832">
        <f>C239*C238*B238</f>
        <v>18.8368</v>
      </c>
      <c r="E239" s="833"/>
      <c r="F239" s="831"/>
      <c r="G239" s="829">
        <v>1.2</v>
      </c>
      <c r="H239" s="832">
        <f>G238*G239*F238</f>
        <v>46.559999999999995</v>
      </c>
      <c r="I239" s="833"/>
    </row>
    <row r="240" spans="1:10">
      <c r="A240" s="818"/>
      <c r="B240" s="831"/>
      <c r="C240" s="829"/>
      <c r="D240" s="832"/>
      <c r="E240" s="833"/>
      <c r="F240" s="831"/>
      <c r="G240" s="829"/>
      <c r="H240" s="832"/>
      <c r="I240" s="833" t="s">
        <v>443</v>
      </c>
    </row>
    <row r="241" spans="1:9">
      <c r="A241" s="818"/>
      <c r="B241" s="831">
        <v>4</v>
      </c>
      <c r="C241" s="829">
        <v>1.93</v>
      </c>
      <c r="D241" s="832"/>
      <c r="E241" s="833" t="s">
        <v>84</v>
      </c>
      <c r="F241" s="831">
        <v>2</v>
      </c>
      <c r="G241" s="829">
        <v>7.4</v>
      </c>
      <c r="H241" s="832"/>
      <c r="I241" s="833"/>
    </row>
    <row r="242" spans="1:9">
      <c r="A242" s="818"/>
      <c r="B242" s="831"/>
      <c r="C242" s="829">
        <v>1.18</v>
      </c>
      <c r="D242" s="832">
        <f>C242*C241*B241</f>
        <v>9.1095999999999986</v>
      </c>
      <c r="E242" s="833"/>
      <c r="F242" s="831"/>
      <c r="G242" s="829">
        <v>1.2</v>
      </c>
      <c r="H242" s="832">
        <f>G241*G242*F241</f>
        <v>17.760000000000002</v>
      </c>
      <c r="I242" s="833">
        <f>H239+H242+H245</f>
        <v>62.359999999999992</v>
      </c>
    </row>
    <row r="243" spans="1:9">
      <c r="A243" s="818"/>
      <c r="B243" s="831"/>
      <c r="C243" s="829"/>
      <c r="D243" s="832"/>
      <c r="E243" s="833"/>
      <c r="F243" s="831"/>
      <c r="G243" s="829"/>
      <c r="H243" s="832"/>
      <c r="I243" s="833" t="s">
        <v>1231</v>
      </c>
    </row>
    <row r="244" spans="1:9">
      <c r="A244" s="818"/>
      <c r="B244" s="831">
        <v>4</v>
      </c>
      <c r="C244" s="829">
        <v>1.93</v>
      </c>
      <c r="D244" s="832"/>
      <c r="E244" s="833" t="s">
        <v>160</v>
      </c>
      <c r="F244" s="831">
        <v>4</v>
      </c>
      <c r="G244" s="829">
        <v>0.7</v>
      </c>
      <c r="H244" s="832"/>
      <c r="I244" s="833"/>
    </row>
    <row r="245" spans="1:9">
      <c r="A245" s="818"/>
      <c r="B245" s="831"/>
      <c r="C245" s="829">
        <v>1</v>
      </c>
      <c r="D245" s="832">
        <f>C245*C244*B244</f>
        <v>7.72</v>
      </c>
      <c r="E245" s="833"/>
      <c r="F245" s="831"/>
      <c r="G245" s="829">
        <v>0.7</v>
      </c>
      <c r="H245" s="832">
        <f>-G245*G244*F244</f>
        <v>-1.9599999999999997</v>
      </c>
      <c r="I245" s="833"/>
    </row>
    <row r="246" spans="1:9">
      <c r="A246" s="818"/>
      <c r="B246" s="831"/>
      <c r="C246" s="829"/>
      <c r="D246" s="832"/>
      <c r="E246" s="833"/>
      <c r="F246" s="831"/>
      <c r="G246" s="829"/>
      <c r="H246" s="832"/>
      <c r="I246" s="833"/>
    </row>
    <row r="247" spans="1:9">
      <c r="A247" s="818"/>
      <c r="B247" s="831">
        <v>4</v>
      </c>
      <c r="C247" s="829">
        <v>1.93</v>
      </c>
      <c r="D247" s="832"/>
      <c r="E247" s="833" t="s">
        <v>232</v>
      </c>
      <c r="F247" s="831"/>
      <c r="G247" s="829"/>
      <c r="H247" s="832">
        <f>SUM(H239:H246)</f>
        <v>62.359999999999992</v>
      </c>
      <c r="I247" s="833"/>
    </row>
    <row r="248" spans="1:9">
      <c r="A248" s="818"/>
      <c r="B248" s="831"/>
      <c r="C248" s="829">
        <v>1.1000000000000001</v>
      </c>
      <c r="D248" s="832">
        <f>C248*C247*B247</f>
        <v>8.4920000000000009</v>
      </c>
      <c r="E248" s="833"/>
      <c r="F248" s="435"/>
      <c r="G248" s="435"/>
      <c r="H248" s="435"/>
      <c r="I248" s="435"/>
    </row>
    <row r="249" spans="1:9">
      <c r="A249" s="818"/>
      <c r="B249" s="831"/>
      <c r="C249" s="829"/>
      <c r="D249" s="832"/>
      <c r="E249" s="833"/>
      <c r="F249" s="831"/>
      <c r="G249" s="829"/>
      <c r="H249" s="832"/>
      <c r="I249" s="844" t="s">
        <v>444</v>
      </c>
    </row>
    <row r="250" spans="1:9">
      <c r="A250" s="818"/>
      <c r="B250" s="831">
        <v>4</v>
      </c>
      <c r="C250" s="829">
        <v>1.93</v>
      </c>
      <c r="D250" s="832"/>
      <c r="E250" s="833" t="s">
        <v>121</v>
      </c>
      <c r="F250" s="831"/>
      <c r="G250" s="829"/>
      <c r="H250" s="832"/>
      <c r="I250" s="844" t="s">
        <v>2837</v>
      </c>
    </row>
    <row r="251" spans="1:9">
      <c r="A251" s="818"/>
      <c r="B251" s="831"/>
      <c r="C251" s="829">
        <v>1.1000000000000001</v>
      </c>
      <c r="D251" s="832">
        <f>C251*C250*B250</f>
        <v>8.4920000000000009</v>
      </c>
      <c r="E251" s="833"/>
      <c r="F251" s="831">
        <v>2</v>
      </c>
      <c r="G251" s="829">
        <v>20</v>
      </c>
      <c r="H251" s="832"/>
      <c r="I251" s="833" t="s">
        <v>446</v>
      </c>
    </row>
    <row r="252" spans="1:9">
      <c r="A252" s="818"/>
      <c r="B252" s="831"/>
      <c r="C252" s="829"/>
      <c r="D252" s="832"/>
      <c r="E252" s="833"/>
      <c r="F252" s="831"/>
      <c r="G252" s="829"/>
      <c r="H252" s="832">
        <f>F251*G251</f>
        <v>40</v>
      </c>
      <c r="I252" s="435"/>
    </row>
    <row r="253" spans="1:9">
      <c r="A253" s="818"/>
      <c r="B253" s="831">
        <v>4</v>
      </c>
      <c r="C253" s="829">
        <v>4</v>
      </c>
      <c r="D253" s="832"/>
      <c r="E253" s="833" t="s">
        <v>121</v>
      </c>
      <c r="F253" s="435"/>
      <c r="G253" s="435"/>
      <c r="H253" s="435"/>
      <c r="I253" s="435"/>
    </row>
    <row r="254" spans="1:9">
      <c r="A254" s="818"/>
      <c r="B254" s="831"/>
      <c r="C254" s="829">
        <v>2.4500000000000002</v>
      </c>
      <c r="D254" s="832">
        <f>C254*C253*B253</f>
        <v>39.200000000000003</v>
      </c>
      <c r="E254" s="833"/>
      <c r="F254" s="831">
        <v>2</v>
      </c>
      <c r="G254" s="829">
        <v>9.8000000000000007</v>
      </c>
      <c r="H254" s="832"/>
      <c r="I254" s="833" t="s">
        <v>447</v>
      </c>
    </row>
    <row r="255" spans="1:9">
      <c r="A255" s="818"/>
      <c r="B255" s="831"/>
      <c r="C255" s="829"/>
      <c r="D255" s="832"/>
      <c r="E255" s="833"/>
      <c r="F255" s="831"/>
      <c r="G255" s="829"/>
      <c r="H255" s="832">
        <f>F254*G254</f>
        <v>19.600000000000001</v>
      </c>
      <c r="I255" s="833"/>
    </row>
    <row r="256" spans="1:9">
      <c r="A256" s="818"/>
      <c r="B256" s="831">
        <v>8</v>
      </c>
      <c r="C256" s="829">
        <v>0.9</v>
      </c>
      <c r="D256" s="832"/>
      <c r="E256" s="833" t="s">
        <v>434</v>
      </c>
      <c r="F256" s="831"/>
      <c r="G256" s="829"/>
      <c r="H256" s="832"/>
      <c r="I256" s="833"/>
    </row>
    <row r="257" spans="1:9">
      <c r="A257" s="818"/>
      <c r="B257" s="831"/>
      <c r="C257" s="829">
        <v>0.2</v>
      </c>
      <c r="D257" s="832">
        <f>C257*C256*B256</f>
        <v>1.4400000000000002</v>
      </c>
      <c r="E257" s="833"/>
      <c r="F257" s="831"/>
      <c r="G257" s="829"/>
      <c r="H257" s="832">
        <f>SUM(H252:H256)</f>
        <v>59.6</v>
      </c>
      <c r="I257" s="833"/>
    </row>
    <row r="258" spans="1:9">
      <c r="A258" s="818"/>
      <c r="B258" s="831"/>
      <c r="C258" s="829"/>
      <c r="D258" s="832"/>
      <c r="E258" s="833"/>
      <c r="F258" s="435"/>
      <c r="G258" s="435"/>
      <c r="H258" s="435"/>
      <c r="I258" s="435"/>
    </row>
    <row r="259" spans="1:9">
      <c r="A259" s="818"/>
      <c r="B259" s="831">
        <v>8</v>
      </c>
      <c r="C259" s="829">
        <v>0.8</v>
      </c>
      <c r="D259" s="832"/>
      <c r="E259" s="833"/>
      <c r="F259" s="831"/>
      <c r="G259" s="829"/>
      <c r="H259" s="832"/>
      <c r="I259" s="844" t="s">
        <v>369</v>
      </c>
    </row>
    <row r="260" spans="1:9">
      <c r="A260" s="818"/>
      <c r="B260" s="831"/>
      <c r="C260" s="829">
        <v>0.15</v>
      </c>
      <c r="D260" s="832">
        <f>C260*C259*B259</f>
        <v>0.96</v>
      </c>
      <c r="E260" s="833"/>
      <c r="F260" s="831"/>
      <c r="G260" s="829"/>
      <c r="H260" s="832"/>
      <c r="I260" s="844" t="s">
        <v>440</v>
      </c>
    </row>
    <row r="261" spans="1:9">
      <c r="A261" s="818"/>
      <c r="B261" s="831"/>
      <c r="C261" s="829"/>
      <c r="D261" s="832"/>
      <c r="E261" s="833"/>
      <c r="F261" s="839"/>
      <c r="G261" s="839"/>
      <c r="H261" s="838">
        <f>D210</f>
        <v>122.008</v>
      </c>
      <c r="I261" s="845" t="s">
        <v>2156</v>
      </c>
    </row>
    <row r="262" spans="1:9">
      <c r="A262" s="818"/>
      <c r="B262" s="831">
        <v>4</v>
      </c>
      <c r="C262" s="829">
        <v>1</v>
      </c>
      <c r="D262" s="832"/>
      <c r="E262" s="833" t="s">
        <v>205</v>
      </c>
    </row>
    <row r="263" spans="1:9">
      <c r="A263" s="818"/>
      <c r="B263" s="831"/>
      <c r="C263" s="829">
        <v>0.2</v>
      </c>
      <c r="D263" s="832">
        <f>C263*C262*B262</f>
        <v>0.8</v>
      </c>
      <c r="E263" s="833"/>
      <c r="F263" s="831"/>
      <c r="G263" s="829"/>
      <c r="H263" s="832"/>
      <c r="I263" s="844" t="s">
        <v>2838</v>
      </c>
    </row>
    <row r="264" spans="1:9">
      <c r="A264" s="818"/>
      <c r="B264" s="831"/>
      <c r="C264" s="829"/>
      <c r="D264" s="832"/>
      <c r="E264" s="833"/>
      <c r="F264" s="831"/>
      <c r="G264" s="829"/>
      <c r="H264" s="832"/>
      <c r="I264" s="844"/>
    </row>
    <row r="265" spans="1:9">
      <c r="A265" s="818"/>
      <c r="B265" s="839"/>
      <c r="C265" s="839"/>
      <c r="D265" s="838">
        <f>SUM(D239:D263)</f>
        <v>95.050399999999996</v>
      </c>
      <c r="E265" s="845" t="s">
        <v>2839</v>
      </c>
      <c r="F265" s="839"/>
      <c r="G265" s="839"/>
      <c r="H265" s="838">
        <f>H210</f>
        <v>237.03640000000001</v>
      </c>
      <c r="I265" s="845" t="s">
        <v>2157</v>
      </c>
    </row>
    <row r="266" spans="1:9">
      <c r="A266" s="818"/>
      <c r="B266" s="831"/>
      <c r="C266" s="829"/>
      <c r="D266" s="832"/>
      <c r="E266" s="833"/>
      <c r="F266" s="831"/>
      <c r="G266" s="829"/>
      <c r="H266" s="832"/>
      <c r="I266" s="833"/>
    </row>
    <row r="267" spans="1:9">
      <c r="A267" s="818"/>
      <c r="B267" s="831"/>
      <c r="C267" s="829"/>
      <c r="D267" s="832"/>
      <c r="E267" s="833" t="s">
        <v>2840</v>
      </c>
      <c r="F267" s="831"/>
      <c r="G267" s="829"/>
      <c r="H267" s="832"/>
      <c r="I267" s="844" t="s">
        <v>1247</v>
      </c>
    </row>
    <row r="268" spans="1:9">
      <c r="A268" s="818"/>
      <c r="B268" s="831"/>
      <c r="C268" s="829"/>
      <c r="D268" s="832"/>
      <c r="E268" s="833"/>
      <c r="F268" s="839"/>
      <c r="G268" s="839"/>
      <c r="H268" s="838">
        <f>H231</f>
        <v>91.850400000000008</v>
      </c>
      <c r="I268" s="845" t="s">
        <v>2158</v>
      </c>
    </row>
    <row r="269" spans="1:9">
      <c r="A269" s="818"/>
      <c r="B269" s="831">
        <v>4</v>
      </c>
      <c r="C269" s="829">
        <v>3.26</v>
      </c>
      <c r="D269" s="832"/>
      <c r="E269" s="833"/>
      <c r="F269" s="831"/>
      <c r="G269" s="829"/>
      <c r="H269" s="832"/>
      <c r="I269" s="833"/>
    </row>
    <row r="270" spans="1:9">
      <c r="A270" s="818"/>
      <c r="B270" s="831"/>
      <c r="C270" s="829"/>
      <c r="D270" s="832">
        <f>B269*C269</f>
        <v>13.04</v>
      </c>
      <c r="E270" s="833" t="s">
        <v>438</v>
      </c>
      <c r="F270" s="831"/>
      <c r="G270" s="829"/>
      <c r="H270" s="832"/>
      <c r="I270" s="844" t="s">
        <v>9</v>
      </c>
    </row>
    <row r="271" spans="1:9">
      <c r="A271" s="818"/>
      <c r="B271" s="831"/>
      <c r="C271" s="829"/>
      <c r="D271" s="832"/>
      <c r="E271" s="833"/>
      <c r="F271" s="831"/>
      <c r="G271" s="829"/>
      <c r="H271" s="832"/>
      <c r="I271" s="844" t="s">
        <v>450</v>
      </c>
    </row>
    <row r="272" spans="1:9">
      <c r="A272" s="818"/>
      <c r="B272" s="831">
        <v>4</v>
      </c>
      <c r="C272" s="829">
        <v>14.6</v>
      </c>
      <c r="D272" s="832"/>
      <c r="E272" s="833"/>
      <c r="F272" s="831"/>
      <c r="G272" s="829"/>
      <c r="H272" s="832"/>
      <c r="I272" s="844" t="s">
        <v>11</v>
      </c>
    </row>
    <row r="273" spans="1:9">
      <c r="A273" s="818"/>
      <c r="B273" s="831"/>
      <c r="C273" s="829"/>
      <c r="D273" s="832">
        <f>B272*C272</f>
        <v>58.4</v>
      </c>
      <c r="E273" s="833" t="s">
        <v>439</v>
      </c>
      <c r="F273" s="435"/>
      <c r="G273" s="435"/>
      <c r="H273" s="435"/>
      <c r="I273" s="833" t="s">
        <v>2841</v>
      </c>
    </row>
    <row r="274" spans="1:9">
      <c r="A274" s="818"/>
      <c r="B274" s="831"/>
      <c r="C274" s="829"/>
      <c r="D274" s="832"/>
      <c r="E274" s="833"/>
      <c r="F274" s="831">
        <v>1</v>
      </c>
      <c r="G274" s="829">
        <v>9.44</v>
      </c>
      <c r="H274" s="832"/>
      <c r="I274" s="833"/>
    </row>
    <row r="275" spans="1:9">
      <c r="A275" s="818"/>
      <c r="B275" s="839"/>
      <c r="C275" s="839"/>
      <c r="D275" s="838">
        <f>SUM(D270:D274)</f>
        <v>71.44</v>
      </c>
      <c r="E275" s="845" t="s">
        <v>2842</v>
      </c>
      <c r="F275" s="839"/>
      <c r="G275" s="839"/>
      <c r="H275" s="838">
        <f>F274*G274</f>
        <v>9.44</v>
      </c>
      <c r="I275" s="845" t="s">
        <v>2843</v>
      </c>
    </row>
    <row r="276" spans="1:9">
      <c r="A276" s="818"/>
      <c r="B276" s="831"/>
      <c r="C276" s="829"/>
      <c r="D276" s="832"/>
      <c r="E276" s="833"/>
      <c r="F276" s="831"/>
      <c r="G276" s="829"/>
      <c r="H276" s="832"/>
      <c r="I276" s="833"/>
    </row>
    <row r="277" spans="1:9">
      <c r="A277" s="818"/>
      <c r="B277" s="831"/>
      <c r="C277" s="829"/>
      <c r="D277" s="832"/>
      <c r="E277" s="844" t="s">
        <v>2844</v>
      </c>
      <c r="F277" s="831"/>
      <c r="G277" s="829"/>
      <c r="H277" s="832"/>
      <c r="I277" s="833" t="s">
        <v>2845</v>
      </c>
    </row>
    <row r="278" spans="1:9">
      <c r="A278" s="818"/>
      <c r="B278" s="831">
        <v>4</v>
      </c>
      <c r="C278" s="829">
        <v>1.85</v>
      </c>
      <c r="D278" s="832"/>
      <c r="E278" s="833" t="s">
        <v>344</v>
      </c>
      <c r="F278" s="831">
        <v>1</v>
      </c>
      <c r="G278" s="829">
        <v>30.8</v>
      </c>
      <c r="H278" s="832"/>
      <c r="I278" s="833"/>
    </row>
    <row r="279" spans="1:9">
      <c r="A279" s="818"/>
      <c r="B279" s="831"/>
      <c r="C279" s="829"/>
      <c r="D279" s="832">
        <f>C278*B278</f>
        <v>7.4</v>
      </c>
      <c r="E279" s="833"/>
      <c r="F279" s="839"/>
      <c r="G279" s="839"/>
      <c r="H279" s="838">
        <f>F278*G278</f>
        <v>30.8</v>
      </c>
      <c r="I279" s="845" t="s">
        <v>2846</v>
      </c>
    </row>
    <row r="280" spans="1:9">
      <c r="A280" s="818"/>
      <c r="B280" s="831">
        <v>4</v>
      </c>
      <c r="C280" s="829">
        <v>0.95</v>
      </c>
      <c r="D280" s="832"/>
      <c r="E280" s="833" t="s">
        <v>415</v>
      </c>
      <c r="F280" s="831"/>
      <c r="G280" s="829"/>
      <c r="H280" s="832"/>
      <c r="I280" s="435"/>
    </row>
    <row r="281" spans="1:9">
      <c r="A281" s="818"/>
      <c r="B281" s="831"/>
      <c r="C281" s="829"/>
      <c r="D281" s="832">
        <f>C280*B280</f>
        <v>3.8</v>
      </c>
      <c r="E281" s="833"/>
      <c r="F281" s="831"/>
      <c r="G281" s="829"/>
      <c r="H281" s="832"/>
      <c r="I281" s="833" t="s">
        <v>2847</v>
      </c>
    </row>
    <row r="282" spans="1:9">
      <c r="A282" s="818"/>
      <c r="B282" s="831">
        <v>4</v>
      </c>
      <c r="C282" s="829">
        <v>0.95</v>
      </c>
      <c r="D282" s="832"/>
      <c r="E282" s="833" t="s">
        <v>416</v>
      </c>
      <c r="F282" s="831">
        <v>1</v>
      </c>
      <c r="G282" s="829">
        <v>9.1999999999999993</v>
      </c>
      <c r="H282" s="832"/>
      <c r="I282" s="833"/>
    </row>
    <row r="283" spans="1:9">
      <c r="A283" s="818"/>
      <c r="B283" s="831"/>
      <c r="C283" s="829"/>
      <c r="D283" s="832">
        <f>C282*B282</f>
        <v>3.8</v>
      </c>
      <c r="E283" s="833"/>
      <c r="F283" s="839"/>
      <c r="G283" s="839"/>
      <c r="H283" s="838">
        <f>F282*G282</f>
        <v>9.1999999999999993</v>
      </c>
      <c r="I283" s="845" t="s">
        <v>2848</v>
      </c>
    </row>
    <row r="284" spans="1:9">
      <c r="A284" s="818"/>
      <c r="B284" s="831"/>
      <c r="C284" s="829"/>
      <c r="D284" s="832"/>
      <c r="E284" s="833"/>
      <c r="F284" s="831"/>
      <c r="G284" s="829"/>
      <c r="H284" s="832"/>
      <c r="I284" s="833"/>
    </row>
    <row r="285" spans="1:9">
      <c r="A285" s="818"/>
      <c r="B285" s="839"/>
      <c r="C285" s="839"/>
      <c r="D285" s="838">
        <f>SUM(D278:D283)</f>
        <v>15</v>
      </c>
      <c r="E285" s="845" t="s">
        <v>2849</v>
      </c>
      <c r="F285" s="831"/>
      <c r="G285" s="829"/>
      <c r="H285" s="832"/>
      <c r="I285" s="833"/>
    </row>
    <row r="286" spans="1:9">
      <c r="A286" s="818"/>
      <c r="B286" s="831"/>
      <c r="C286" s="829"/>
      <c r="D286" s="832"/>
      <c r="E286" s="833"/>
      <c r="F286" s="831"/>
      <c r="G286" s="829"/>
      <c r="H286" s="832"/>
      <c r="I286" s="833"/>
    </row>
    <row r="287" spans="1:9">
      <c r="A287" s="818"/>
      <c r="B287" s="831"/>
      <c r="C287" s="829"/>
      <c r="D287" s="832"/>
      <c r="E287" s="833"/>
      <c r="F287" s="831"/>
      <c r="G287" s="829"/>
      <c r="H287" s="832"/>
      <c r="I287" s="844"/>
    </row>
    <row r="288" spans="1:9">
      <c r="A288" s="818"/>
      <c r="B288" s="831"/>
      <c r="C288" s="829"/>
      <c r="D288" s="832"/>
      <c r="E288" s="833"/>
      <c r="F288" s="831"/>
      <c r="G288" s="829"/>
      <c r="H288" s="832"/>
      <c r="I288" s="844"/>
    </row>
    <row r="289" spans="1:9">
      <c r="A289" s="818"/>
      <c r="B289" s="831"/>
      <c r="C289" s="829"/>
      <c r="D289" s="832"/>
      <c r="E289" s="833"/>
      <c r="F289" s="831"/>
      <c r="G289" s="829"/>
      <c r="H289" s="832"/>
      <c r="I289" s="833"/>
    </row>
    <row r="290" spans="1:9">
      <c r="A290" s="818"/>
      <c r="B290" s="831"/>
      <c r="C290" s="829"/>
      <c r="D290" s="832"/>
      <c r="E290" s="833"/>
      <c r="F290" s="435"/>
      <c r="G290" s="435"/>
      <c r="H290" s="435"/>
      <c r="I290" s="833"/>
    </row>
    <row r="291" spans="1:9" ht="16.5" thickBot="1">
      <c r="A291" s="818"/>
      <c r="B291" s="1158"/>
      <c r="C291" s="1159"/>
      <c r="D291" s="1160"/>
      <c r="E291" s="1161"/>
      <c r="F291" s="1158"/>
      <c r="G291" s="1159"/>
      <c r="H291" s="1160"/>
      <c r="I291" s="1161"/>
    </row>
    <row r="292" spans="1:9" ht="16.5" thickTop="1">
      <c r="A292" s="818"/>
      <c r="B292" s="929" t="s">
        <v>1884</v>
      </c>
      <c r="C292" s="930" t="s">
        <v>526</v>
      </c>
      <c r="D292" s="931" t="s">
        <v>1885</v>
      </c>
      <c r="E292" s="930" t="s">
        <v>1886</v>
      </c>
      <c r="F292" s="929" t="s">
        <v>1884</v>
      </c>
      <c r="G292" s="930" t="s">
        <v>526</v>
      </c>
      <c r="H292" s="931" t="s">
        <v>1885</v>
      </c>
      <c r="I292" s="930" t="s">
        <v>1886</v>
      </c>
    </row>
    <row r="293" spans="1:9">
      <c r="A293" s="818"/>
      <c r="B293" s="435"/>
      <c r="C293" s="435"/>
      <c r="D293" s="435"/>
      <c r="E293" s="844" t="s">
        <v>5</v>
      </c>
      <c r="F293" s="831"/>
      <c r="G293" s="829"/>
      <c r="H293" s="832"/>
      <c r="I293" s="833"/>
    </row>
    <row r="294" spans="1:9">
      <c r="A294" s="818"/>
      <c r="B294" s="831"/>
      <c r="C294" s="829"/>
      <c r="D294" s="832"/>
      <c r="E294" s="844"/>
      <c r="F294" s="831"/>
      <c r="G294" s="829"/>
      <c r="H294" s="832"/>
      <c r="I294" s="833"/>
    </row>
    <row r="295" spans="1:9">
      <c r="A295" s="818"/>
      <c r="B295" s="831"/>
      <c r="C295" s="829"/>
      <c r="D295" s="832"/>
      <c r="E295" s="844" t="s">
        <v>455</v>
      </c>
      <c r="F295" s="831"/>
      <c r="G295" s="829"/>
      <c r="H295" s="832"/>
      <c r="I295" s="833"/>
    </row>
    <row r="296" spans="1:9">
      <c r="A296" s="818"/>
      <c r="B296" s="831">
        <v>28</v>
      </c>
      <c r="C296" s="829">
        <v>1</v>
      </c>
      <c r="D296" s="832"/>
      <c r="E296" s="833"/>
      <c r="F296" s="831"/>
      <c r="G296" s="829"/>
      <c r="H296" s="832"/>
      <c r="I296" s="833"/>
    </row>
    <row r="297" spans="1:9">
      <c r="A297" s="818"/>
      <c r="B297" s="839"/>
      <c r="C297" s="839"/>
      <c r="D297" s="838">
        <f>B296*C296</f>
        <v>28</v>
      </c>
      <c r="E297" s="845" t="s">
        <v>2169</v>
      </c>
      <c r="F297" s="435"/>
      <c r="G297" s="435"/>
      <c r="H297" s="435"/>
      <c r="I297" s="435"/>
    </row>
    <row r="298" spans="1:9">
      <c r="A298" s="818"/>
      <c r="B298" s="435"/>
      <c r="C298" s="435"/>
      <c r="D298" s="435"/>
      <c r="E298" s="435"/>
      <c r="F298" s="435"/>
      <c r="G298" s="435"/>
      <c r="H298" s="435"/>
      <c r="I298" s="435"/>
    </row>
    <row r="299" spans="1:9">
      <c r="A299" s="818"/>
      <c r="B299" s="831"/>
      <c r="C299" s="829"/>
      <c r="D299" s="832"/>
      <c r="E299" s="844" t="s">
        <v>456</v>
      </c>
      <c r="F299" s="435"/>
      <c r="G299" s="435"/>
      <c r="H299" s="435"/>
      <c r="I299" s="435"/>
    </row>
    <row r="300" spans="1:9">
      <c r="A300" s="818"/>
      <c r="B300" s="435"/>
      <c r="C300" s="435"/>
      <c r="D300" s="435"/>
      <c r="E300" s="844" t="s">
        <v>457</v>
      </c>
      <c r="F300" s="831"/>
      <c r="G300" s="829"/>
      <c r="H300" s="832"/>
      <c r="I300" s="833"/>
    </row>
    <row r="301" spans="1:9">
      <c r="A301" s="818"/>
      <c r="B301" s="831">
        <v>8</v>
      </c>
      <c r="C301" s="829">
        <v>1</v>
      </c>
      <c r="D301" s="832"/>
      <c r="E301" s="435"/>
      <c r="F301" s="435"/>
      <c r="G301" s="435"/>
      <c r="H301" s="435"/>
      <c r="I301" s="435"/>
    </row>
    <row r="302" spans="1:9">
      <c r="A302" s="818"/>
      <c r="B302" s="831"/>
      <c r="C302" s="829"/>
      <c r="D302" s="832">
        <f>B301*C301</f>
        <v>8</v>
      </c>
      <c r="E302" s="845" t="s">
        <v>2170</v>
      </c>
      <c r="F302" s="435"/>
      <c r="G302" s="435"/>
      <c r="H302" s="435"/>
      <c r="I302" s="435"/>
    </row>
    <row r="303" spans="1:9">
      <c r="A303" s="818"/>
      <c r="B303" s="831"/>
      <c r="C303" s="829"/>
      <c r="D303" s="832"/>
      <c r="E303" s="833"/>
      <c r="F303" s="435"/>
      <c r="G303" s="435"/>
      <c r="H303" s="435"/>
      <c r="I303" s="435"/>
    </row>
    <row r="304" spans="1:9">
      <c r="A304" s="818"/>
      <c r="B304" s="831"/>
      <c r="C304" s="829"/>
      <c r="D304" s="832"/>
      <c r="E304" s="844" t="s">
        <v>1251</v>
      </c>
      <c r="F304" s="435"/>
      <c r="G304" s="435"/>
      <c r="H304" s="435"/>
      <c r="I304" s="435"/>
    </row>
    <row r="305" spans="1:10">
      <c r="A305" s="818"/>
      <c r="B305" s="831">
        <v>16</v>
      </c>
      <c r="C305" s="829">
        <v>1</v>
      </c>
      <c r="D305" s="832"/>
      <c r="E305" s="833"/>
      <c r="F305" s="831"/>
      <c r="G305" s="829"/>
      <c r="H305" s="832"/>
      <c r="I305" s="833"/>
    </row>
    <row r="306" spans="1:10">
      <c r="A306" s="818"/>
      <c r="B306" s="839"/>
      <c r="C306" s="839"/>
      <c r="D306" s="838">
        <f>C305*B305</f>
        <v>16</v>
      </c>
      <c r="E306" s="845" t="s">
        <v>2850</v>
      </c>
      <c r="F306" s="831"/>
      <c r="G306" s="829"/>
      <c r="H306" s="832"/>
      <c r="I306" s="833"/>
    </row>
    <row r="307" spans="1:10">
      <c r="A307" s="818"/>
      <c r="B307" s="831"/>
      <c r="C307" s="829"/>
      <c r="D307" s="832"/>
      <c r="E307" s="833"/>
      <c r="F307" s="831"/>
      <c r="G307" s="829"/>
      <c r="H307" s="832"/>
      <c r="I307" s="833"/>
    </row>
    <row r="308" spans="1:10">
      <c r="A308" s="818"/>
      <c r="B308" s="831"/>
      <c r="C308" s="829"/>
      <c r="D308" s="832"/>
      <c r="E308" s="844" t="s">
        <v>2851</v>
      </c>
      <c r="F308" s="831"/>
      <c r="G308" s="829"/>
      <c r="H308" s="832"/>
      <c r="I308" s="833"/>
    </row>
    <row r="309" spans="1:10">
      <c r="A309" s="818"/>
      <c r="B309" s="831">
        <v>4</v>
      </c>
      <c r="C309" s="829">
        <v>1</v>
      </c>
      <c r="D309" s="832"/>
      <c r="E309" s="833"/>
      <c r="F309" s="831"/>
      <c r="G309" s="829"/>
      <c r="H309" s="832"/>
      <c r="I309" s="833"/>
    </row>
    <row r="310" spans="1:10">
      <c r="A310" s="818"/>
      <c r="B310" s="839"/>
      <c r="C310" s="839"/>
      <c r="D310" s="838">
        <f>B309*C309</f>
        <v>4</v>
      </c>
      <c r="E310" s="845" t="s">
        <v>2852</v>
      </c>
      <c r="F310" s="435"/>
      <c r="G310" s="435"/>
      <c r="H310" s="435"/>
      <c r="I310" s="435"/>
    </row>
    <row r="311" spans="1:10">
      <c r="A311" s="818"/>
      <c r="B311" s="831"/>
      <c r="C311" s="829"/>
      <c r="D311" s="832"/>
      <c r="E311" s="833"/>
      <c r="F311" s="435"/>
      <c r="G311" s="435"/>
      <c r="H311" s="435"/>
      <c r="I311" s="435"/>
    </row>
    <row r="312" spans="1:10">
      <c r="A312" s="818"/>
      <c r="B312" s="831"/>
      <c r="C312" s="829"/>
      <c r="D312" s="832"/>
      <c r="E312" s="844" t="s">
        <v>451</v>
      </c>
      <c r="F312" s="435"/>
      <c r="G312" s="435"/>
      <c r="H312" s="435"/>
      <c r="I312" s="435"/>
    </row>
    <row r="313" spans="1:10">
      <c r="A313" s="818"/>
      <c r="B313" s="831"/>
      <c r="C313" s="829"/>
      <c r="D313" s="832"/>
      <c r="E313" s="844" t="s">
        <v>452</v>
      </c>
      <c r="F313" s="435"/>
      <c r="G313" s="435"/>
      <c r="H313" s="435"/>
      <c r="I313" s="435"/>
    </row>
    <row r="314" spans="1:10">
      <c r="A314" s="818"/>
      <c r="B314" s="831">
        <v>4</v>
      </c>
      <c r="C314" s="829">
        <v>1</v>
      </c>
      <c r="D314" s="832"/>
      <c r="E314" s="833"/>
      <c r="F314" s="831"/>
      <c r="G314" s="829"/>
      <c r="H314" s="832"/>
      <c r="I314" s="833"/>
    </row>
    <row r="315" spans="1:10">
      <c r="A315" s="818"/>
      <c r="B315" s="839"/>
      <c r="C315" s="839"/>
      <c r="D315" s="838">
        <f>B314*C314</f>
        <v>4</v>
      </c>
      <c r="E315" s="845" t="s">
        <v>2171</v>
      </c>
      <c r="F315" s="831"/>
      <c r="G315" s="829"/>
      <c r="H315" s="832"/>
      <c r="I315" s="833"/>
    </row>
    <row r="316" spans="1:10">
      <c r="A316" s="818"/>
      <c r="B316" s="435"/>
      <c r="C316" s="435"/>
      <c r="D316" s="435"/>
      <c r="E316" s="435"/>
      <c r="F316" s="831"/>
      <c r="G316" s="829"/>
      <c r="H316" s="832"/>
      <c r="I316" s="833"/>
      <c r="J316" s="818"/>
    </row>
    <row r="317" spans="1:10">
      <c r="A317" s="818"/>
      <c r="B317" s="831"/>
      <c r="C317" s="829"/>
      <c r="D317" s="832"/>
      <c r="E317" s="844" t="s">
        <v>453</v>
      </c>
      <c r="F317" s="831"/>
      <c r="G317" s="829"/>
      <c r="H317" s="832"/>
      <c r="I317" s="833"/>
      <c r="J317" s="818"/>
    </row>
    <row r="318" spans="1:10">
      <c r="A318" s="818"/>
      <c r="B318" s="831"/>
      <c r="C318" s="829"/>
      <c r="D318" s="832"/>
      <c r="E318" s="844" t="s">
        <v>454</v>
      </c>
      <c r="F318" s="831"/>
      <c r="G318" s="829"/>
      <c r="H318" s="832"/>
      <c r="I318" s="833"/>
      <c r="J318" s="818"/>
    </row>
    <row r="319" spans="1:10">
      <c r="A319" s="818"/>
      <c r="B319" s="831">
        <v>24</v>
      </c>
      <c r="C319" s="829">
        <v>1</v>
      </c>
      <c r="D319" s="832"/>
      <c r="E319" s="833"/>
      <c r="F319" s="831"/>
      <c r="G319" s="829"/>
      <c r="H319" s="832"/>
      <c r="I319" s="833"/>
      <c r="J319" s="818"/>
    </row>
    <row r="320" spans="1:10">
      <c r="A320" s="818"/>
      <c r="B320" s="839"/>
      <c r="C320" s="839"/>
      <c r="D320" s="838">
        <f>B319*C319</f>
        <v>24</v>
      </c>
      <c r="E320" s="845" t="s">
        <v>2174</v>
      </c>
      <c r="F320" s="831"/>
      <c r="G320" s="829"/>
      <c r="H320" s="832"/>
      <c r="I320" s="833"/>
      <c r="J320" s="818"/>
    </row>
    <row r="321" spans="1:10">
      <c r="A321" s="818"/>
      <c r="B321" s="435"/>
      <c r="C321" s="435"/>
      <c r="D321" s="435"/>
      <c r="E321" s="435"/>
      <c r="F321" s="831"/>
      <c r="G321" s="829"/>
      <c r="H321" s="832"/>
      <c r="I321" s="833"/>
      <c r="J321" s="818"/>
    </row>
    <row r="322" spans="1:10">
      <c r="A322" s="818"/>
      <c r="B322" s="831"/>
      <c r="C322" s="829"/>
      <c r="D322" s="832"/>
      <c r="E322" s="844" t="s">
        <v>458</v>
      </c>
      <c r="F322" s="831"/>
      <c r="G322" s="829"/>
      <c r="H322" s="832"/>
      <c r="I322" s="833"/>
      <c r="J322" s="818"/>
    </row>
    <row r="323" spans="1:10">
      <c r="A323" s="818"/>
      <c r="B323" s="831"/>
      <c r="C323" s="829"/>
      <c r="D323" s="832"/>
      <c r="E323" s="844" t="s">
        <v>459</v>
      </c>
      <c r="F323" s="435"/>
      <c r="G323" s="435"/>
      <c r="H323" s="435"/>
      <c r="I323" s="435"/>
      <c r="J323" s="818"/>
    </row>
    <row r="324" spans="1:10">
      <c r="A324" s="818"/>
      <c r="B324" s="831">
        <v>4</v>
      </c>
      <c r="C324" s="829">
        <v>1</v>
      </c>
      <c r="D324" s="832"/>
      <c r="E324" s="844" t="s">
        <v>394</v>
      </c>
      <c r="F324" s="435"/>
      <c r="G324" s="435"/>
      <c r="H324" s="435"/>
      <c r="I324" s="435"/>
      <c r="J324" s="818"/>
    </row>
    <row r="325" spans="1:10">
      <c r="A325" s="818"/>
      <c r="B325" s="839"/>
      <c r="C325" s="839"/>
      <c r="D325" s="838">
        <f>B324*C324</f>
        <v>4</v>
      </c>
      <c r="E325" s="845" t="s">
        <v>2853</v>
      </c>
      <c r="F325" s="435"/>
      <c r="G325" s="435"/>
      <c r="H325" s="435"/>
      <c r="I325" s="435"/>
      <c r="J325" s="818"/>
    </row>
    <row r="326" spans="1:10">
      <c r="A326" s="818"/>
      <c r="B326" s="435"/>
      <c r="C326" s="435"/>
      <c r="D326" s="435"/>
      <c r="E326" s="435"/>
      <c r="F326" s="435"/>
      <c r="G326" s="435"/>
      <c r="H326" s="435"/>
      <c r="I326" s="435"/>
      <c r="J326" s="818"/>
    </row>
    <row r="327" spans="1:10">
      <c r="A327" s="818"/>
      <c r="B327" s="831"/>
      <c r="C327" s="829"/>
      <c r="D327" s="832"/>
      <c r="E327" s="844" t="s">
        <v>387</v>
      </c>
      <c r="F327" s="831"/>
      <c r="G327" s="829"/>
      <c r="H327" s="832"/>
      <c r="I327" s="833"/>
      <c r="J327" s="818"/>
    </row>
    <row r="328" spans="1:10">
      <c r="A328" s="818"/>
      <c r="B328" s="831"/>
      <c r="C328" s="829"/>
      <c r="D328" s="832"/>
      <c r="E328" s="844" t="s">
        <v>388</v>
      </c>
      <c r="F328" s="831"/>
      <c r="G328" s="829"/>
      <c r="H328" s="832"/>
      <c r="I328" s="833"/>
      <c r="J328" s="818"/>
    </row>
    <row r="329" spans="1:10">
      <c r="A329" s="818"/>
      <c r="B329" s="831">
        <v>4</v>
      </c>
      <c r="C329" s="829">
        <v>1</v>
      </c>
      <c r="D329" s="832"/>
      <c r="E329" s="844" t="s">
        <v>389</v>
      </c>
      <c r="F329" s="831"/>
      <c r="G329" s="829"/>
      <c r="H329" s="832"/>
      <c r="I329" s="833"/>
      <c r="J329" s="818"/>
    </row>
    <row r="330" spans="1:10">
      <c r="A330" s="818"/>
      <c r="B330" s="839"/>
      <c r="C330" s="839"/>
      <c r="D330" s="838">
        <f>B329*C329</f>
        <v>4</v>
      </c>
      <c r="E330" s="845" t="s">
        <v>2180</v>
      </c>
      <c r="F330" s="831"/>
      <c r="G330" s="829"/>
      <c r="H330" s="832"/>
      <c r="I330" s="833"/>
      <c r="J330" s="818"/>
    </row>
    <row r="331" spans="1:10">
      <c r="A331" s="818"/>
      <c r="B331" s="435"/>
      <c r="C331" s="435"/>
      <c r="D331" s="435"/>
      <c r="E331" s="435"/>
      <c r="F331" s="831"/>
      <c r="G331" s="829"/>
      <c r="H331" s="832"/>
      <c r="I331" s="833"/>
      <c r="J331" s="818"/>
    </row>
    <row r="332" spans="1:10">
      <c r="A332" s="818"/>
      <c r="B332" s="435"/>
      <c r="C332" s="435"/>
      <c r="D332" s="435"/>
      <c r="E332" s="435"/>
      <c r="F332" s="831"/>
      <c r="G332" s="829"/>
      <c r="H332" s="832"/>
      <c r="I332" s="833"/>
      <c r="J332" s="818"/>
    </row>
    <row r="333" spans="1:10">
      <c r="A333" s="818"/>
      <c r="B333" s="435"/>
      <c r="C333" s="435"/>
      <c r="D333" s="435"/>
      <c r="E333" s="435"/>
      <c r="F333" s="435"/>
      <c r="G333" s="435"/>
      <c r="H333" s="435"/>
      <c r="I333" s="435"/>
      <c r="J333" s="818"/>
    </row>
    <row r="334" spans="1:10">
      <c r="A334" s="818"/>
      <c r="B334" s="435"/>
      <c r="C334" s="435"/>
      <c r="D334" s="435"/>
      <c r="E334" s="435"/>
      <c r="F334" s="435"/>
      <c r="G334" s="435"/>
      <c r="H334" s="435"/>
      <c r="I334" s="435"/>
      <c r="J334" s="818"/>
    </row>
    <row r="335" spans="1:10">
      <c r="A335" s="818"/>
      <c r="B335" s="435"/>
      <c r="C335" s="435"/>
      <c r="D335" s="435"/>
      <c r="E335" s="435"/>
      <c r="F335" s="435"/>
      <c r="G335" s="435"/>
      <c r="H335" s="435"/>
      <c r="I335" s="435"/>
      <c r="J335" s="818"/>
    </row>
    <row r="336" spans="1:10">
      <c r="A336" s="818"/>
      <c r="B336" s="435"/>
      <c r="C336" s="435"/>
      <c r="D336" s="435"/>
      <c r="E336" s="435"/>
      <c r="F336" s="435"/>
      <c r="G336" s="435"/>
      <c r="H336" s="435"/>
      <c r="I336" s="435"/>
      <c r="J336" s="818"/>
    </row>
    <row r="337" spans="1:10">
      <c r="A337" s="818"/>
      <c r="B337" s="435"/>
      <c r="C337" s="435"/>
      <c r="D337" s="435"/>
      <c r="E337" s="435"/>
      <c r="F337" s="831"/>
      <c r="G337" s="829"/>
      <c r="H337" s="832"/>
      <c r="I337" s="833"/>
      <c r="J337" s="818"/>
    </row>
    <row r="338" spans="1:10">
      <c r="A338" s="818"/>
      <c r="B338" s="435"/>
      <c r="C338" s="435"/>
      <c r="D338" s="435"/>
      <c r="E338" s="435"/>
      <c r="F338" s="831"/>
      <c r="G338" s="829"/>
      <c r="H338" s="832"/>
      <c r="I338" s="833"/>
      <c r="J338" s="818"/>
    </row>
    <row r="339" spans="1:10">
      <c r="A339" s="818"/>
      <c r="B339" s="831"/>
      <c r="C339" s="829"/>
      <c r="D339" s="832"/>
      <c r="E339" s="833"/>
      <c r="F339" s="831"/>
      <c r="G339" s="829"/>
      <c r="H339" s="832"/>
      <c r="I339" s="833"/>
      <c r="J339" s="818"/>
    </row>
    <row r="340" spans="1:10">
      <c r="A340" s="818"/>
      <c r="B340" s="849"/>
      <c r="C340" s="850"/>
      <c r="D340" s="851"/>
      <c r="E340" s="852"/>
      <c r="F340" s="849"/>
      <c r="G340" s="850"/>
      <c r="H340" s="851"/>
      <c r="I340" s="852"/>
      <c r="J340" s="818"/>
    </row>
    <row r="341" spans="1:10">
      <c r="A341" s="818"/>
      <c r="C341" s="103"/>
      <c r="D341" s="103"/>
      <c r="F341" s="103"/>
      <c r="G341" s="103"/>
      <c r="H341" s="103"/>
      <c r="J341" s="818"/>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5" manualBreakCount="5">
    <brk id="59" max="9" man="1"/>
    <brk id="115" max="16383" man="1"/>
    <brk id="173" max="16383" man="1"/>
    <brk id="234" max="16383" man="1"/>
    <brk id="291"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6"/>
  <sheetViews>
    <sheetView view="pageBreakPreview" zoomScale="85" zoomScaleNormal="115" zoomScaleSheetLayoutView="85" zoomScalePageLayoutView="85" workbookViewId="0">
      <selection activeCell="B139" sqref="B139:E142"/>
    </sheetView>
  </sheetViews>
  <sheetFormatPr defaultRowHeight="15.75"/>
  <cols>
    <col min="1" max="1" width="4.5703125" style="103" customWidth="1"/>
    <col min="2" max="2" width="5.28515625" style="103" customWidth="1"/>
    <col min="3" max="3" width="9.85546875" style="159" customWidth="1"/>
    <col min="4" max="4" width="10" style="159" customWidth="1"/>
    <col min="5" max="5" width="38.5703125" style="103" customWidth="1"/>
    <col min="6" max="6" width="6" style="159" customWidth="1"/>
    <col min="7" max="7" width="10.140625" style="835" customWidth="1"/>
    <col min="8" max="8" width="11.28515625" style="836" customWidth="1"/>
    <col min="9" max="9" width="41.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1020"/>
      <c r="H1" s="821"/>
      <c r="I1" s="1021"/>
      <c r="J1" s="820"/>
    </row>
    <row r="2" spans="1:10">
      <c r="A2" s="818"/>
      <c r="B2" s="2059" t="s">
        <v>1917</v>
      </c>
      <c r="C2" s="2059"/>
      <c r="D2" s="2059"/>
      <c r="E2" s="2059"/>
      <c r="F2" s="819"/>
      <c r="G2" s="1020"/>
      <c r="J2" s="818"/>
    </row>
    <row r="3" spans="1:10">
      <c r="A3" s="818"/>
      <c r="B3" s="2059" t="s">
        <v>1920</v>
      </c>
      <c r="C3" s="2059"/>
      <c r="D3" s="2059"/>
      <c r="E3" s="2059"/>
      <c r="F3" s="2059"/>
      <c r="G3" s="1020"/>
      <c r="H3" s="2060" t="s">
        <v>2854</v>
      </c>
      <c r="I3" s="2060"/>
      <c r="J3" s="818"/>
    </row>
    <row r="4" spans="1:10">
      <c r="A4" s="818"/>
      <c r="B4" s="2059" t="s">
        <v>1921</v>
      </c>
      <c r="C4" s="2059"/>
      <c r="D4" s="2059"/>
      <c r="E4" s="2059"/>
      <c r="F4" s="819"/>
      <c r="G4" s="1020"/>
      <c r="H4" s="2061"/>
      <c r="I4" s="2061"/>
      <c r="J4" s="818"/>
    </row>
    <row r="5" spans="1:10">
      <c r="A5" s="818"/>
      <c r="B5" s="824"/>
      <c r="C5" s="1020"/>
      <c r="D5" s="1020"/>
      <c r="E5" s="825"/>
      <c r="F5" s="819"/>
      <c r="G5" s="1019"/>
      <c r="H5" s="827"/>
      <c r="I5" s="1019"/>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1887</v>
      </c>
      <c r="F7" s="831"/>
      <c r="G7" s="829"/>
      <c r="H7" s="832"/>
      <c r="I7" s="844" t="s">
        <v>2811</v>
      </c>
    </row>
    <row r="8" spans="1:10">
      <c r="A8" s="818"/>
      <c r="B8" s="831"/>
      <c r="C8" s="829"/>
      <c r="D8" s="832"/>
      <c r="E8" s="844" t="s">
        <v>1888</v>
      </c>
      <c r="F8" s="831">
        <v>4</v>
      </c>
      <c r="G8" s="829">
        <v>3.4</v>
      </c>
      <c r="H8" s="832"/>
      <c r="I8" s="833" t="s">
        <v>2215</v>
      </c>
    </row>
    <row r="9" spans="1:10">
      <c r="A9" s="818"/>
      <c r="B9" s="831"/>
      <c r="C9" s="829"/>
      <c r="D9" s="832"/>
      <c r="E9" s="844" t="s">
        <v>1889</v>
      </c>
      <c r="F9" s="831"/>
      <c r="G9" s="829">
        <v>2.2000000000000002</v>
      </c>
      <c r="H9" s="832"/>
      <c r="I9" s="833"/>
    </row>
    <row r="10" spans="1:10" ht="21">
      <c r="A10" s="818"/>
      <c r="B10" s="831">
        <v>1</v>
      </c>
      <c r="C10" s="829">
        <v>19</v>
      </c>
      <c r="D10" s="832"/>
      <c r="E10" s="833" t="s">
        <v>1906</v>
      </c>
      <c r="F10" s="839"/>
      <c r="G10" s="839"/>
      <c r="H10" s="838">
        <f>G9*G8*F8</f>
        <v>29.92</v>
      </c>
      <c r="I10" s="845" t="s">
        <v>2855</v>
      </c>
    </row>
    <row r="11" spans="1:10">
      <c r="A11" s="818"/>
      <c r="B11" s="831"/>
      <c r="C11" s="829">
        <v>5</v>
      </c>
      <c r="D11" s="832"/>
      <c r="E11" s="833" t="s">
        <v>1909</v>
      </c>
    </row>
    <row r="12" spans="1:10" ht="21">
      <c r="A12" s="818"/>
      <c r="B12" s="839"/>
      <c r="C12" s="839"/>
      <c r="D12" s="838">
        <f>C11*C10*B10</f>
        <v>95</v>
      </c>
      <c r="E12" s="845" t="s">
        <v>2856</v>
      </c>
      <c r="F12" s="831"/>
      <c r="G12" s="829"/>
      <c r="H12" s="832"/>
      <c r="I12" s="844" t="s">
        <v>1860</v>
      </c>
    </row>
    <row r="13" spans="1:10">
      <c r="A13" s="818"/>
      <c r="B13" s="831"/>
      <c r="C13" s="829"/>
      <c r="D13" s="832"/>
      <c r="E13" s="833"/>
      <c r="F13" s="831">
        <v>2</v>
      </c>
      <c r="G13" s="829">
        <v>17</v>
      </c>
      <c r="H13" s="832"/>
      <c r="I13" s="844" t="s">
        <v>1896</v>
      </c>
    </row>
    <row r="14" spans="1:10">
      <c r="A14" s="818"/>
      <c r="B14" s="831"/>
      <c r="C14" s="829"/>
      <c r="D14" s="832"/>
      <c r="E14" s="844" t="s">
        <v>1890</v>
      </c>
      <c r="F14" s="831"/>
      <c r="G14" s="829">
        <v>0.25</v>
      </c>
      <c r="H14" s="832"/>
      <c r="I14" s="833"/>
    </row>
    <row r="15" spans="1:10">
      <c r="A15" s="818"/>
      <c r="B15" s="831">
        <v>4</v>
      </c>
      <c r="C15" s="829">
        <v>4.2</v>
      </c>
      <c r="D15" s="832"/>
      <c r="E15" s="833"/>
      <c r="F15" s="831"/>
      <c r="G15" s="829">
        <v>0.4</v>
      </c>
      <c r="H15" s="832">
        <f>G15*G14*G13*F13</f>
        <v>3.4000000000000004</v>
      </c>
      <c r="I15" s="833"/>
    </row>
    <row r="16" spans="1:10">
      <c r="A16" s="818"/>
      <c r="B16" s="831"/>
      <c r="C16" s="829">
        <v>2.8</v>
      </c>
      <c r="D16" s="832"/>
      <c r="E16" s="833"/>
      <c r="F16" s="831">
        <v>5</v>
      </c>
      <c r="G16" s="829">
        <v>2.5</v>
      </c>
      <c r="H16" s="832"/>
      <c r="I16" s="833"/>
    </row>
    <row r="17" spans="1:9">
      <c r="A17" s="818"/>
      <c r="B17" s="831"/>
      <c r="C17" s="829">
        <v>0.85</v>
      </c>
      <c r="D17" s="832"/>
      <c r="E17" s="833"/>
      <c r="F17" s="831"/>
      <c r="G17" s="829">
        <v>0.25</v>
      </c>
      <c r="H17" s="832"/>
      <c r="I17" s="833"/>
    </row>
    <row r="18" spans="1:9" ht="21">
      <c r="A18" s="818"/>
      <c r="B18" s="831"/>
      <c r="C18" s="829"/>
      <c r="D18" s="832">
        <f>C17*C16*C15*B15</f>
        <v>39.984000000000002</v>
      </c>
      <c r="E18" s="833" t="s">
        <v>2857</v>
      </c>
      <c r="F18" s="831"/>
      <c r="G18" s="829">
        <v>0.4</v>
      </c>
      <c r="H18" s="832">
        <f>G18*G17*G16*F16</f>
        <v>1.25</v>
      </c>
      <c r="I18" s="833"/>
    </row>
    <row r="19" spans="1:9">
      <c r="A19" s="818"/>
      <c r="B19" s="831"/>
      <c r="C19" s="829"/>
      <c r="D19" s="832"/>
      <c r="E19" s="833"/>
    </row>
    <row r="20" spans="1:9" ht="21">
      <c r="A20" s="818"/>
      <c r="B20" s="831"/>
      <c r="C20" s="829"/>
      <c r="D20" s="832"/>
      <c r="E20" s="844" t="s">
        <v>1902</v>
      </c>
      <c r="F20" s="839"/>
      <c r="G20" s="839"/>
      <c r="H20" s="838">
        <f>SUM(H15:H18)</f>
        <v>4.6500000000000004</v>
      </c>
      <c r="I20" s="845" t="s">
        <v>2858</v>
      </c>
    </row>
    <row r="21" spans="1:9">
      <c r="A21" s="818"/>
      <c r="B21" s="831">
        <v>2</v>
      </c>
      <c r="C21" s="829">
        <v>17</v>
      </c>
      <c r="D21" s="832"/>
      <c r="E21" s="833"/>
    </row>
    <row r="22" spans="1:9">
      <c r="A22" s="818"/>
      <c r="B22" s="831"/>
      <c r="C22" s="829">
        <v>0.9</v>
      </c>
      <c r="D22" s="832"/>
      <c r="E22" s="833"/>
      <c r="F22" s="831"/>
      <c r="G22" s="829"/>
      <c r="H22" s="832"/>
      <c r="I22" s="844" t="s">
        <v>1897</v>
      </c>
    </row>
    <row r="23" spans="1:9">
      <c r="A23" s="818"/>
      <c r="B23" s="831"/>
      <c r="C23" s="829">
        <v>1.1000000000000001</v>
      </c>
      <c r="D23" s="832">
        <f>C23*C22*C21*B21</f>
        <v>33.660000000000004</v>
      </c>
      <c r="E23" s="833"/>
      <c r="F23" s="831"/>
      <c r="G23" s="829"/>
      <c r="H23" s="832"/>
      <c r="I23" s="844" t="s">
        <v>1898</v>
      </c>
    </row>
    <row r="24" spans="1:9">
      <c r="A24" s="818"/>
      <c r="B24" s="831"/>
      <c r="C24" s="829"/>
      <c r="D24" s="832"/>
      <c r="E24" s="833"/>
      <c r="F24" s="831">
        <v>2</v>
      </c>
      <c r="G24" s="829">
        <v>17</v>
      </c>
      <c r="H24" s="832"/>
      <c r="I24" s="833" t="s">
        <v>1904</v>
      </c>
    </row>
    <row r="25" spans="1:9">
      <c r="A25" s="818"/>
      <c r="B25" s="831">
        <v>5</v>
      </c>
      <c r="C25" s="829">
        <v>1.2</v>
      </c>
      <c r="D25" s="832"/>
      <c r="E25" s="833"/>
      <c r="F25" s="831"/>
      <c r="G25" s="829">
        <v>0.4</v>
      </c>
      <c r="H25" s="832">
        <f>G25*G24*F24</f>
        <v>13.600000000000001</v>
      </c>
      <c r="I25" s="833"/>
    </row>
    <row r="26" spans="1:9">
      <c r="A26" s="818"/>
      <c r="B26" s="831"/>
      <c r="C26" s="829">
        <v>0.9</v>
      </c>
      <c r="D26" s="832"/>
      <c r="E26" s="833"/>
      <c r="F26" s="831">
        <v>2</v>
      </c>
      <c r="G26" s="829">
        <v>15.75</v>
      </c>
      <c r="H26" s="832"/>
      <c r="I26" s="833"/>
    </row>
    <row r="27" spans="1:9" ht="18.75" customHeight="1">
      <c r="A27" s="818"/>
      <c r="B27" s="831"/>
      <c r="C27" s="829">
        <v>1.1000000000000001</v>
      </c>
      <c r="D27" s="832">
        <f>C27*C26*C25*B25</f>
        <v>5.9400000000000013</v>
      </c>
      <c r="E27" s="833"/>
      <c r="F27" s="831"/>
      <c r="G27" s="829">
        <v>0.4</v>
      </c>
      <c r="H27" s="832">
        <f>G27*G26*F26</f>
        <v>12.600000000000001</v>
      </c>
      <c r="I27" s="833" t="s">
        <v>1905</v>
      </c>
    </row>
    <row r="28" spans="1:9">
      <c r="A28" s="818"/>
      <c r="B28" s="831"/>
      <c r="C28" s="829"/>
      <c r="D28" s="832"/>
      <c r="E28" s="833"/>
      <c r="F28" s="831">
        <v>2</v>
      </c>
      <c r="G28" s="829">
        <v>3</v>
      </c>
      <c r="H28" s="832"/>
      <c r="I28" s="833"/>
    </row>
    <row r="29" spans="1:9" ht="18.75">
      <c r="A29" s="818"/>
      <c r="B29" s="839"/>
      <c r="C29" s="839"/>
      <c r="D29" s="838">
        <f>SUM(D23:D27)+D18</f>
        <v>79.584000000000003</v>
      </c>
      <c r="E29" s="845" t="s">
        <v>2859</v>
      </c>
      <c r="F29" s="831"/>
      <c r="G29" s="829">
        <v>0.4</v>
      </c>
      <c r="H29" s="832">
        <f>G29*G28*F28</f>
        <v>2.4000000000000004</v>
      </c>
      <c r="I29" s="833" t="s">
        <v>1904</v>
      </c>
    </row>
    <row r="30" spans="1:9">
      <c r="A30" s="818"/>
      <c r="B30" s="831"/>
      <c r="C30" s="829"/>
      <c r="D30" s="832"/>
      <c r="E30" s="833"/>
      <c r="F30" s="831">
        <v>8</v>
      </c>
      <c r="G30" s="829">
        <v>2.5</v>
      </c>
      <c r="H30" s="832"/>
      <c r="I30" s="833"/>
    </row>
    <row r="31" spans="1:9">
      <c r="A31" s="818"/>
      <c r="B31" s="831"/>
      <c r="C31" s="829"/>
      <c r="D31" s="832"/>
      <c r="E31" s="844" t="s">
        <v>1903</v>
      </c>
      <c r="F31" s="831"/>
      <c r="G31" s="829">
        <v>0.4</v>
      </c>
      <c r="H31" s="832">
        <f>G31*G30*F30</f>
        <v>8</v>
      </c>
      <c r="I31" s="833"/>
    </row>
    <row r="32" spans="1:9">
      <c r="A32" s="818"/>
      <c r="B32" s="831">
        <v>4</v>
      </c>
      <c r="C32" s="829">
        <v>4.2</v>
      </c>
      <c r="D32" s="832"/>
      <c r="E32" s="833" t="s">
        <v>1907</v>
      </c>
      <c r="F32" s="839"/>
      <c r="G32" s="839"/>
      <c r="H32" s="838">
        <f>SUM(H25:H31)</f>
        <v>36.6</v>
      </c>
      <c r="I32" s="845" t="s">
        <v>2860</v>
      </c>
    </row>
    <row r="33" spans="1:14">
      <c r="A33" s="818"/>
      <c r="B33" s="831"/>
      <c r="C33" s="829">
        <v>2.8</v>
      </c>
      <c r="D33" s="832"/>
      <c r="E33" s="833"/>
      <c r="F33" s="831"/>
      <c r="G33" s="829"/>
      <c r="H33" s="832"/>
      <c r="I33" s="833"/>
    </row>
    <row r="34" spans="1:14">
      <c r="A34" s="818"/>
      <c r="B34" s="831"/>
      <c r="C34" s="829">
        <v>0.85</v>
      </c>
      <c r="D34" s="832"/>
      <c r="E34" s="833"/>
      <c r="F34" s="831"/>
      <c r="G34" s="829"/>
      <c r="H34" s="832"/>
      <c r="I34" s="844" t="s">
        <v>2223</v>
      </c>
    </row>
    <row r="35" spans="1:14" ht="21">
      <c r="A35" s="818"/>
      <c r="B35" s="839"/>
      <c r="C35" s="839"/>
      <c r="D35" s="838">
        <f>C34*C33*C32*B32</f>
        <v>39.984000000000002</v>
      </c>
      <c r="E35" s="845" t="s">
        <v>2861</v>
      </c>
      <c r="F35" s="831">
        <v>1</v>
      </c>
      <c r="G35" s="829">
        <f>'[24]Staff &amp; SQ Reinf'!N85</f>
        <v>384.19920000000002</v>
      </c>
      <c r="H35" s="832"/>
      <c r="I35" s="844" t="s">
        <v>2222</v>
      </c>
    </row>
    <row r="36" spans="1:14">
      <c r="A36" s="818"/>
      <c r="B36" s="831"/>
      <c r="C36" s="829"/>
      <c r="D36" s="832"/>
      <c r="E36" s="833"/>
      <c r="F36" s="839"/>
      <c r="G36" s="839"/>
      <c r="H36" s="838">
        <f>F35*G35</f>
        <v>384.19920000000002</v>
      </c>
      <c r="I36" s="845" t="s">
        <v>2820</v>
      </c>
    </row>
    <row r="37" spans="1:14">
      <c r="A37" s="818"/>
      <c r="B37" s="831"/>
      <c r="C37" s="829"/>
      <c r="D37" s="832"/>
      <c r="E37" s="833" t="s">
        <v>1891</v>
      </c>
      <c r="F37" s="831"/>
      <c r="G37" s="829"/>
      <c r="H37" s="832"/>
      <c r="I37" s="833"/>
    </row>
    <row r="38" spans="1:14">
      <c r="A38" s="818"/>
      <c r="B38" s="831">
        <v>1</v>
      </c>
      <c r="C38" s="829">
        <f>D12</f>
        <v>95</v>
      </c>
      <c r="D38" s="832"/>
      <c r="E38" s="833" t="s">
        <v>1892</v>
      </c>
      <c r="F38" s="831">
        <v>1</v>
      </c>
      <c r="G38" s="829">
        <f>'[24]Staff &amp; SQ Reinf'!K85</f>
        <v>285.15840000000003</v>
      </c>
      <c r="H38" s="832"/>
      <c r="I38" s="844" t="s">
        <v>2221</v>
      </c>
    </row>
    <row r="39" spans="1:14">
      <c r="A39" s="818"/>
      <c r="B39" s="831"/>
      <c r="C39" s="829">
        <v>0.3</v>
      </c>
      <c r="D39" s="832">
        <f>C39*C38*B38</f>
        <v>28.5</v>
      </c>
      <c r="E39" s="833"/>
      <c r="F39" s="839"/>
      <c r="G39" s="839"/>
      <c r="H39" s="838">
        <f>G38*F38</f>
        <v>285.15840000000003</v>
      </c>
      <c r="I39" s="845" t="s">
        <v>2822</v>
      </c>
    </row>
    <row r="40" spans="1:14">
      <c r="A40" s="818"/>
      <c r="B40" s="831"/>
      <c r="C40" s="829"/>
      <c r="D40" s="832"/>
      <c r="E40" s="833"/>
      <c r="F40" s="831"/>
      <c r="G40" s="829"/>
      <c r="H40" s="832"/>
      <c r="I40" s="833"/>
    </row>
    <row r="41" spans="1:14">
      <c r="A41" s="818"/>
      <c r="B41" s="831"/>
      <c r="C41" s="829"/>
      <c r="D41" s="832"/>
      <c r="E41" s="833"/>
      <c r="I41" s="844" t="s">
        <v>2823</v>
      </c>
      <c r="K41" s="831"/>
      <c r="L41" s="829"/>
    </row>
    <row r="42" spans="1:14">
      <c r="A42" s="818"/>
      <c r="B42" s="831">
        <v>1</v>
      </c>
      <c r="C42" s="829">
        <f>D18</f>
        <v>39.984000000000002</v>
      </c>
      <c r="D42" s="832">
        <f>D29</f>
        <v>79.584000000000003</v>
      </c>
      <c r="E42" s="833" t="s">
        <v>1893</v>
      </c>
      <c r="F42" s="831">
        <v>4</v>
      </c>
      <c r="G42" s="829">
        <v>13.8</v>
      </c>
      <c r="H42" s="832"/>
      <c r="I42" s="833"/>
      <c r="K42" s="831">
        <v>2</v>
      </c>
      <c r="L42" s="829">
        <v>16.75</v>
      </c>
      <c r="M42" s="832"/>
      <c r="N42" s="833"/>
    </row>
    <row r="43" spans="1:14">
      <c r="A43" s="818"/>
      <c r="B43" s="831"/>
      <c r="C43" s="829"/>
      <c r="D43" s="832"/>
      <c r="E43" s="833"/>
      <c r="F43" s="831"/>
      <c r="G43" s="829"/>
      <c r="H43" s="832">
        <f>G42*F42</f>
        <v>55.2</v>
      </c>
      <c r="I43" s="833"/>
      <c r="K43" s="831"/>
      <c r="L43" s="829"/>
      <c r="M43" s="832">
        <f>L42*K42</f>
        <v>33.5</v>
      </c>
      <c r="N43" s="833"/>
    </row>
    <row r="44" spans="1:14" ht="21">
      <c r="A44" s="818"/>
      <c r="B44" s="839"/>
      <c r="C44" s="839"/>
      <c r="D44" s="838">
        <f>SUM(D39:D43)</f>
        <v>108.084</v>
      </c>
      <c r="E44" s="845" t="s">
        <v>2862</v>
      </c>
      <c r="F44" s="831"/>
      <c r="G44" s="829"/>
      <c r="H44" s="832"/>
      <c r="I44" s="833"/>
      <c r="K44" s="831"/>
      <c r="L44" s="829"/>
      <c r="M44" s="832"/>
      <c r="N44" s="833"/>
    </row>
    <row r="45" spans="1:14">
      <c r="A45" s="818"/>
      <c r="B45" s="831"/>
      <c r="C45" s="829"/>
      <c r="D45" s="832"/>
      <c r="E45" s="833"/>
      <c r="F45" s="839"/>
      <c r="G45" s="839"/>
      <c r="H45" s="838">
        <f>SUM(M43:M47)</f>
        <v>33.5</v>
      </c>
      <c r="I45" s="845" t="s">
        <v>2824</v>
      </c>
    </row>
    <row r="46" spans="1:14">
      <c r="A46" s="818"/>
      <c r="B46" s="831"/>
      <c r="C46" s="829"/>
      <c r="D46" s="832"/>
      <c r="E46" s="833" t="s">
        <v>1908</v>
      </c>
      <c r="F46" s="831"/>
      <c r="G46" s="829"/>
      <c r="H46" s="832"/>
      <c r="I46" s="844" t="s">
        <v>1843</v>
      </c>
    </row>
    <row r="47" spans="1:14">
      <c r="A47" s="818"/>
      <c r="B47" s="831">
        <v>4</v>
      </c>
      <c r="C47" s="829">
        <v>3.4</v>
      </c>
      <c r="D47" s="832"/>
      <c r="E47" s="833"/>
      <c r="F47" s="831">
        <v>2</v>
      </c>
      <c r="G47" s="829">
        <v>17</v>
      </c>
      <c r="H47" s="832"/>
      <c r="I47" s="844" t="s">
        <v>1900</v>
      </c>
    </row>
    <row r="48" spans="1:14">
      <c r="A48" s="818"/>
      <c r="B48" s="831"/>
      <c r="C48" s="829">
        <v>2.2000000000000002</v>
      </c>
      <c r="D48" s="832"/>
      <c r="E48" s="833"/>
      <c r="F48" s="831"/>
      <c r="G48" s="829">
        <v>0.4</v>
      </c>
      <c r="H48" s="832"/>
      <c r="I48" s="833"/>
    </row>
    <row r="49" spans="1:14" ht="21">
      <c r="A49" s="818"/>
      <c r="B49" s="839"/>
      <c r="C49" s="839"/>
      <c r="D49" s="838">
        <f>C48*C47*B47</f>
        <v>29.92</v>
      </c>
      <c r="E49" s="845" t="s">
        <v>2863</v>
      </c>
      <c r="F49" s="831"/>
      <c r="G49" s="829">
        <v>0.46</v>
      </c>
      <c r="H49" s="832">
        <f>G49*G48*G47*F47</f>
        <v>6.2560000000000011</v>
      </c>
      <c r="I49" s="833"/>
      <c r="K49" s="831"/>
      <c r="L49" s="829"/>
      <c r="M49" s="832"/>
      <c r="N49" s="833"/>
    </row>
    <row r="50" spans="1:14">
      <c r="A50" s="818"/>
      <c r="B50" s="831"/>
      <c r="C50" s="829"/>
      <c r="D50" s="832"/>
      <c r="E50" s="833"/>
      <c r="F50" s="831">
        <v>5</v>
      </c>
      <c r="G50" s="829">
        <v>2.5499999999999998</v>
      </c>
      <c r="H50" s="832"/>
      <c r="I50" s="833"/>
    </row>
    <row r="51" spans="1:14">
      <c r="A51" s="818"/>
      <c r="B51" s="831"/>
      <c r="C51" s="829"/>
      <c r="D51" s="832"/>
      <c r="E51" s="844" t="s">
        <v>1894</v>
      </c>
      <c r="F51" s="831"/>
      <c r="G51" s="829">
        <v>0.4</v>
      </c>
      <c r="H51" s="832"/>
      <c r="I51" s="833"/>
    </row>
    <row r="52" spans="1:14">
      <c r="A52" s="818"/>
      <c r="B52" s="831"/>
      <c r="C52" s="829"/>
      <c r="D52" s="832"/>
      <c r="E52" s="844" t="s">
        <v>1895</v>
      </c>
      <c r="F52" s="831"/>
      <c r="G52" s="829">
        <v>0.46</v>
      </c>
      <c r="H52" s="832">
        <f>G52*G51*G50*F50</f>
        <v>2.3460000000000001</v>
      </c>
      <c r="I52" s="833"/>
    </row>
    <row r="53" spans="1:14" ht="21">
      <c r="A53" s="818"/>
      <c r="B53" s="831">
        <v>2</v>
      </c>
      <c r="C53" s="829">
        <v>17</v>
      </c>
      <c r="D53" s="832"/>
      <c r="E53" s="833"/>
      <c r="F53" s="839"/>
      <c r="G53" s="839"/>
      <c r="H53" s="838">
        <f>SUM(H49:H52)</f>
        <v>8.6020000000000003</v>
      </c>
      <c r="I53" s="845" t="s">
        <v>2864</v>
      </c>
    </row>
    <row r="54" spans="1:14">
      <c r="A54" s="818"/>
      <c r="B54" s="831"/>
      <c r="C54" s="829">
        <v>0.4</v>
      </c>
      <c r="D54" s="832">
        <f>C54*C53*B53</f>
        <v>13.600000000000001</v>
      </c>
      <c r="E54" s="833"/>
      <c r="F54" s="831">
        <v>2</v>
      </c>
      <c r="G54" s="829">
        <v>17</v>
      </c>
      <c r="H54" s="832"/>
      <c r="I54" s="833" t="s">
        <v>1901</v>
      </c>
    </row>
    <row r="55" spans="1:14">
      <c r="A55" s="818"/>
      <c r="B55" s="831"/>
      <c r="C55" s="829"/>
      <c r="D55" s="832"/>
      <c r="E55" s="833"/>
      <c r="F55" s="831"/>
      <c r="G55" s="829">
        <v>0.4</v>
      </c>
      <c r="H55" s="832"/>
      <c r="I55" s="833"/>
    </row>
    <row r="56" spans="1:14">
      <c r="A56" s="818"/>
      <c r="B56" s="831">
        <v>5</v>
      </c>
      <c r="C56" s="829">
        <v>3</v>
      </c>
      <c r="D56" s="832"/>
      <c r="E56" s="833"/>
      <c r="F56" s="831"/>
      <c r="G56" s="829">
        <v>0.72</v>
      </c>
      <c r="H56" s="832">
        <f>G56*G55*G54*F54</f>
        <v>9.7919999999999998</v>
      </c>
      <c r="I56" s="833"/>
    </row>
    <row r="57" spans="1:14">
      <c r="A57" s="818"/>
      <c r="B57" s="831"/>
      <c r="C57" s="829">
        <v>0.4</v>
      </c>
      <c r="D57" s="832">
        <f>C57*C56*B56</f>
        <v>6.0000000000000009</v>
      </c>
      <c r="E57" s="833"/>
      <c r="F57" s="831">
        <v>5</v>
      </c>
      <c r="G57" s="829">
        <v>2.5499999999999998</v>
      </c>
      <c r="H57" s="832"/>
      <c r="I57" s="833"/>
    </row>
    <row r="58" spans="1:14">
      <c r="A58" s="818"/>
      <c r="B58" s="831"/>
      <c r="C58" s="829"/>
      <c r="D58" s="832"/>
      <c r="E58" s="833"/>
      <c r="F58" s="831"/>
      <c r="G58" s="829">
        <v>0.4</v>
      </c>
      <c r="H58" s="832"/>
      <c r="I58" s="833"/>
    </row>
    <row r="59" spans="1:14" ht="21">
      <c r="A59" s="818"/>
      <c r="B59" s="839"/>
      <c r="C59" s="839"/>
      <c r="D59" s="838">
        <f>SUM(D54:D57)</f>
        <v>19.600000000000001</v>
      </c>
      <c r="E59" s="845" t="s">
        <v>2865</v>
      </c>
      <c r="F59" s="831"/>
      <c r="G59" s="829">
        <v>0.72</v>
      </c>
      <c r="H59" s="832">
        <f>G59*G58*G57*F57</f>
        <v>3.6719999999999997</v>
      </c>
      <c r="I59" s="833"/>
    </row>
    <row r="60" spans="1:14" ht="21">
      <c r="A60" s="818"/>
      <c r="B60" s="831"/>
      <c r="C60" s="829"/>
      <c r="D60" s="832"/>
      <c r="E60" s="833"/>
      <c r="F60" s="839"/>
      <c r="G60" s="839"/>
      <c r="H60" s="838">
        <f>SUM(H56:H59)</f>
        <v>13.463999999999999</v>
      </c>
      <c r="I60" s="845" t="s">
        <v>2866</v>
      </c>
    </row>
    <row r="61" spans="1:14" ht="16.5" thickBot="1">
      <c r="A61" s="818"/>
      <c r="B61" s="1158"/>
      <c r="C61" s="1159"/>
      <c r="D61" s="1160"/>
      <c r="E61" s="1161"/>
      <c r="F61" s="1158"/>
      <c r="G61" s="1159"/>
      <c r="H61" s="1160"/>
      <c r="I61" s="1161"/>
    </row>
    <row r="62" spans="1:14" ht="16.5" thickTop="1">
      <c r="A62" s="828"/>
      <c r="B62" s="929" t="s">
        <v>1884</v>
      </c>
      <c r="C62" s="930" t="s">
        <v>526</v>
      </c>
      <c r="D62" s="931" t="s">
        <v>1885</v>
      </c>
      <c r="E62" s="930" t="s">
        <v>1886</v>
      </c>
      <c r="F62" s="929" t="s">
        <v>1884</v>
      </c>
      <c r="G62" s="930" t="s">
        <v>526</v>
      </c>
      <c r="H62" s="931" t="s">
        <v>1885</v>
      </c>
      <c r="I62" s="930" t="s">
        <v>1886</v>
      </c>
      <c r="J62" s="828"/>
    </row>
    <row r="63" spans="1:14">
      <c r="A63" s="818"/>
      <c r="B63" s="831"/>
      <c r="C63" s="829"/>
      <c r="D63" s="832"/>
      <c r="E63" s="844" t="s">
        <v>21</v>
      </c>
      <c r="F63" s="831">
        <v>4</v>
      </c>
      <c r="G63" s="829">
        <v>1.5</v>
      </c>
      <c r="H63" s="832"/>
      <c r="I63" s="833" t="s">
        <v>464</v>
      </c>
    </row>
    <row r="64" spans="1:14">
      <c r="A64" s="818"/>
      <c r="B64" s="831">
        <v>10</v>
      </c>
      <c r="C64" s="829">
        <v>0.2</v>
      </c>
      <c r="D64" s="832"/>
      <c r="E64" s="844" t="s">
        <v>27</v>
      </c>
      <c r="F64" s="831"/>
      <c r="G64" s="829">
        <v>1.73</v>
      </c>
      <c r="H64" s="832">
        <f>-G63*G64*F63</f>
        <v>-10.379999999999999</v>
      </c>
      <c r="I64" s="833"/>
    </row>
    <row r="65" spans="1:9">
      <c r="A65" s="818"/>
      <c r="B65" s="831"/>
      <c r="C65" s="829">
        <v>0.2</v>
      </c>
      <c r="D65" s="832"/>
      <c r="E65" s="833"/>
      <c r="F65" s="831"/>
      <c r="G65" s="829"/>
      <c r="H65" s="832"/>
      <c r="I65" s="833"/>
    </row>
    <row r="66" spans="1:9">
      <c r="A66" s="818"/>
      <c r="B66" s="831"/>
      <c r="C66" s="829">
        <v>2.73</v>
      </c>
      <c r="D66" s="832"/>
      <c r="E66" s="833"/>
      <c r="F66" s="831">
        <v>2</v>
      </c>
      <c r="G66" s="829">
        <v>2.73</v>
      </c>
      <c r="H66" s="832"/>
      <c r="I66" s="833" t="s">
        <v>465</v>
      </c>
    </row>
    <row r="67" spans="1:9">
      <c r="A67" s="818"/>
      <c r="B67" s="839"/>
      <c r="C67" s="839"/>
      <c r="D67" s="838">
        <v>1.0920000000000001</v>
      </c>
      <c r="E67" s="845" t="s">
        <v>2231</v>
      </c>
      <c r="F67" s="831"/>
      <c r="G67" s="829">
        <v>2.8</v>
      </c>
      <c r="H67" s="832">
        <f>G66*G67*F66</f>
        <v>15.287999999999998</v>
      </c>
      <c r="I67" s="833"/>
    </row>
    <row r="68" spans="1:9">
      <c r="A68" s="818"/>
      <c r="B68" s="831"/>
      <c r="C68" s="829"/>
      <c r="D68" s="832"/>
      <c r="E68" s="833"/>
      <c r="F68" s="831"/>
      <c r="G68" s="829"/>
      <c r="H68" s="832"/>
      <c r="I68" s="833" t="s">
        <v>467</v>
      </c>
    </row>
    <row r="69" spans="1:9">
      <c r="A69" s="818"/>
      <c r="B69" s="831"/>
      <c r="C69" s="829"/>
      <c r="D69" s="832"/>
      <c r="E69" s="844" t="s">
        <v>29</v>
      </c>
      <c r="F69" s="831">
        <v>2</v>
      </c>
      <c r="G69" s="829">
        <v>2.8</v>
      </c>
      <c r="H69" s="832"/>
      <c r="I69" s="833" t="s">
        <v>465</v>
      </c>
    </row>
    <row r="70" spans="1:9">
      <c r="A70" s="818"/>
      <c r="B70" s="831">
        <v>2</v>
      </c>
      <c r="C70" s="829">
        <v>17</v>
      </c>
      <c r="D70" s="832"/>
      <c r="E70" s="833" t="s">
        <v>30</v>
      </c>
      <c r="F70" s="831"/>
      <c r="G70" s="829">
        <v>0.5</v>
      </c>
      <c r="H70" s="832">
        <f>G69*G70*F69</f>
        <v>2.8</v>
      </c>
      <c r="I70" s="833"/>
    </row>
    <row r="71" spans="1:9">
      <c r="A71" s="818"/>
      <c r="B71" s="831"/>
      <c r="C71" s="829">
        <v>0.3</v>
      </c>
      <c r="D71" s="832"/>
      <c r="E71" s="833" t="s">
        <v>409</v>
      </c>
      <c r="F71" s="831"/>
      <c r="G71" s="829"/>
      <c r="H71" s="832"/>
      <c r="I71" s="833"/>
    </row>
    <row r="72" spans="1:9">
      <c r="A72" s="818"/>
      <c r="B72" s="831"/>
      <c r="C72" s="829">
        <v>0.2</v>
      </c>
      <c r="D72" s="832">
        <f>B70*C70*C71*C72</f>
        <v>2.04</v>
      </c>
      <c r="E72" s="833"/>
      <c r="F72" s="831">
        <v>1</v>
      </c>
      <c r="G72" s="829">
        <v>17</v>
      </c>
      <c r="H72" s="832"/>
      <c r="I72" s="833" t="s">
        <v>461</v>
      </c>
    </row>
    <row r="73" spans="1:9">
      <c r="A73" s="818"/>
      <c r="B73" s="831"/>
      <c r="C73" s="829"/>
      <c r="D73" s="832"/>
      <c r="E73" s="833"/>
      <c r="F73" s="831"/>
      <c r="G73" s="829">
        <v>1.2</v>
      </c>
      <c r="H73" s="832">
        <f>G72*G73*F72</f>
        <v>20.399999999999999</v>
      </c>
      <c r="I73" s="833"/>
    </row>
    <row r="74" spans="1:9">
      <c r="A74" s="818"/>
      <c r="B74" s="831">
        <v>5</v>
      </c>
      <c r="C74" s="829">
        <v>2.8</v>
      </c>
      <c r="D74" s="832"/>
      <c r="E74" s="833" t="s">
        <v>407</v>
      </c>
      <c r="F74" s="831"/>
      <c r="G74" s="829"/>
      <c r="H74" s="832"/>
      <c r="I74" s="833"/>
    </row>
    <row r="75" spans="1:9">
      <c r="A75" s="818"/>
      <c r="B75" s="831"/>
      <c r="C75" s="829">
        <v>0.3</v>
      </c>
      <c r="D75" s="832"/>
      <c r="E75" s="833" t="s">
        <v>408</v>
      </c>
      <c r="F75" s="839"/>
      <c r="G75" s="839"/>
      <c r="H75" s="838">
        <f>SUM(H63:H74)+SUM(D110:D116)</f>
        <v>105.63999999999999</v>
      </c>
      <c r="I75" s="845" t="s">
        <v>2122</v>
      </c>
    </row>
    <row r="76" spans="1:9">
      <c r="A76" s="818"/>
      <c r="B76" s="831"/>
      <c r="C76" s="829">
        <v>0.2</v>
      </c>
      <c r="D76" s="832">
        <f>B74*C74*C75*C76</f>
        <v>0.84000000000000008</v>
      </c>
      <c r="E76" s="833"/>
      <c r="F76" s="831"/>
      <c r="G76" s="829"/>
      <c r="H76" s="832"/>
      <c r="I76" s="833"/>
    </row>
    <row r="77" spans="1:9">
      <c r="A77" s="818"/>
      <c r="B77" s="831"/>
      <c r="C77" s="829"/>
      <c r="D77" s="832"/>
      <c r="E77" s="833"/>
      <c r="F77" s="831"/>
      <c r="G77" s="829"/>
      <c r="H77" s="832"/>
      <c r="I77" s="844" t="s">
        <v>420</v>
      </c>
    </row>
    <row r="78" spans="1:9">
      <c r="A78" s="818"/>
      <c r="B78" s="839"/>
      <c r="C78" s="839"/>
      <c r="D78" s="838">
        <f ca="1">SUM(D72:D78)</f>
        <v>4.1400000000000006</v>
      </c>
      <c r="E78" s="845" t="s">
        <v>2821</v>
      </c>
      <c r="F78" s="831">
        <v>3</v>
      </c>
      <c r="G78" s="829">
        <v>2.8</v>
      </c>
      <c r="H78" s="832"/>
      <c r="I78" s="833"/>
    </row>
    <row r="79" spans="1:9">
      <c r="A79" s="818"/>
      <c r="B79" s="831"/>
      <c r="C79" s="829"/>
      <c r="D79" s="832"/>
      <c r="E79" s="833"/>
      <c r="F79" s="831"/>
      <c r="G79" s="829">
        <v>2.73</v>
      </c>
      <c r="H79" s="832"/>
      <c r="I79" s="833"/>
    </row>
    <row r="80" spans="1:9">
      <c r="A80" s="818"/>
      <c r="B80" s="831"/>
      <c r="C80" s="829"/>
      <c r="D80" s="832"/>
      <c r="E80" s="844" t="s">
        <v>32</v>
      </c>
      <c r="F80" s="839"/>
      <c r="G80" s="839"/>
      <c r="H80" s="838">
        <f>G78*G79*F78</f>
        <v>22.931999999999999</v>
      </c>
      <c r="I80" s="845" t="s">
        <v>2123</v>
      </c>
    </row>
    <row r="81" spans="1:9">
      <c r="A81" s="818"/>
      <c r="B81" s="831"/>
      <c r="C81" s="829"/>
      <c r="D81" s="832"/>
      <c r="E81" s="844" t="s">
        <v>462</v>
      </c>
      <c r="F81" s="831"/>
      <c r="G81" s="829"/>
      <c r="H81" s="832"/>
      <c r="I81" s="833"/>
    </row>
    <row r="82" spans="1:9">
      <c r="A82" s="818"/>
      <c r="B82" s="831">
        <v>10</v>
      </c>
      <c r="C82" s="829">
        <v>0.8</v>
      </c>
      <c r="D82" s="832"/>
      <c r="E82" s="833" t="s">
        <v>463</v>
      </c>
      <c r="F82" s="831"/>
      <c r="G82" s="829"/>
      <c r="H82" s="832"/>
      <c r="I82" s="844" t="s">
        <v>124</v>
      </c>
    </row>
    <row r="83" spans="1:9">
      <c r="A83" s="818"/>
      <c r="B83" s="831"/>
      <c r="C83" s="829">
        <v>2.73</v>
      </c>
      <c r="D83" s="832"/>
      <c r="E83" s="833"/>
      <c r="F83" s="831"/>
      <c r="G83" s="829"/>
      <c r="H83" s="832"/>
      <c r="I83" s="844" t="s">
        <v>125</v>
      </c>
    </row>
    <row r="84" spans="1:9">
      <c r="A84" s="818"/>
      <c r="B84" s="839"/>
      <c r="C84" s="839"/>
      <c r="D84" s="838">
        <f>C82*C83*B82</f>
        <v>21.840000000000003</v>
      </c>
      <c r="E84" s="845" t="s">
        <v>2459</v>
      </c>
      <c r="F84" s="831">
        <v>1</v>
      </c>
      <c r="G84" s="829">
        <v>3.8</v>
      </c>
      <c r="H84" s="832"/>
      <c r="I84" s="833" t="s">
        <v>470</v>
      </c>
    </row>
    <row r="85" spans="1:9">
      <c r="A85" s="818"/>
      <c r="B85" s="831"/>
      <c r="C85" s="829"/>
      <c r="D85" s="832"/>
      <c r="E85" s="833"/>
      <c r="F85" s="831"/>
      <c r="G85" s="829">
        <v>18.2</v>
      </c>
      <c r="H85" s="832"/>
      <c r="I85" s="833" t="s">
        <v>472</v>
      </c>
    </row>
    <row r="86" spans="1:9">
      <c r="A86" s="818"/>
      <c r="B86" s="831"/>
      <c r="C86" s="829"/>
      <c r="D86" s="832"/>
      <c r="E86" s="844" t="s">
        <v>466</v>
      </c>
      <c r="F86" s="839"/>
      <c r="G86" s="839"/>
      <c r="H86" s="838">
        <f>G84*G85</f>
        <v>69.16</v>
      </c>
      <c r="I86" s="845" t="s">
        <v>2124</v>
      </c>
    </row>
    <row r="87" spans="1:9">
      <c r="A87" s="818"/>
      <c r="B87" s="831">
        <v>2</v>
      </c>
      <c r="C87" s="829">
        <v>16</v>
      </c>
      <c r="D87" s="832"/>
      <c r="E87" s="833" t="s">
        <v>30</v>
      </c>
      <c r="F87" s="831"/>
      <c r="G87" s="829"/>
      <c r="H87" s="832"/>
      <c r="I87" s="833"/>
    </row>
    <row r="88" spans="1:9">
      <c r="A88" s="818"/>
      <c r="B88" s="831"/>
      <c r="C88" s="829">
        <v>0.8</v>
      </c>
      <c r="D88" s="832">
        <f>B87*C88*C87</f>
        <v>25.6</v>
      </c>
      <c r="E88" s="833" t="s">
        <v>409</v>
      </c>
      <c r="F88" s="831"/>
      <c r="G88" s="829"/>
      <c r="H88" s="832"/>
      <c r="I88" s="844" t="s">
        <v>129</v>
      </c>
    </row>
    <row r="89" spans="1:9">
      <c r="A89" s="818"/>
      <c r="B89" s="831"/>
      <c r="C89" s="829"/>
      <c r="D89" s="832"/>
      <c r="E89" s="833" t="s">
        <v>40</v>
      </c>
      <c r="F89" s="831">
        <v>1</v>
      </c>
      <c r="G89" s="829">
        <v>13</v>
      </c>
      <c r="H89" s="832"/>
      <c r="I89" s="833"/>
    </row>
    <row r="90" spans="1:9">
      <c r="A90" s="818"/>
      <c r="B90" s="831">
        <v>14</v>
      </c>
      <c r="C90" s="829">
        <v>0.3</v>
      </c>
      <c r="D90" s="832"/>
      <c r="E90" s="833"/>
      <c r="F90" s="831"/>
      <c r="G90" s="829">
        <v>0.6</v>
      </c>
      <c r="H90" s="832">
        <f>G89*G90*F89</f>
        <v>7.8</v>
      </c>
      <c r="I90" s="833"/>
    </row>
    <row r="91" spans="1:9">
      <c r="A91" s="818"/>
      <c r="B91" s="831"/>
      <c r="C91" s="829">
        <v>0.2</v>
      </c>
      <c r="D91" s="832">
        <f>C90*C91*B90</f>
        <v>0.84</v>
      </c>
      <c r="E91" s="833"/>
      <c r="F91" s="831"/>
      <c r="G91" s="829"/>
      <c r="H91" s="832"/>
      <c r="I91" s="833"/>
    </row>
    <row r="92" spans="1:9">
      <c r="A92" s="818"/>
      <c r="B92" s="831"/>
      <c r="C92" s="829"/>
      <c r="D92" s="832"/>
      <c r="E92" s="833"/>
      <c r="F92" s="839"/>
      <c r="G92" s="839"/>
      <c r="H92" s="838">
        <f>SUM(H90:H91)</f>
        <v>7.8</v>
      </c>
      <c r="I92" s="845" t="s">
        <v>2129</v>
      </c>
    </row>
    <row r="93" spans="1:9">
      <c r="A93" s="818"/>
      <c r="B93" s="831">
        <v>5</v>
      </c>
      <c r="C93" s="829">
        <v>2.8</v>
      </c>
      <c r="D93" s="832"/>
      <c r="E93" s="833" t="s">
        <v>407</v>
      </c>
      <c r="I93" s="833"/>
    </row>
    <row r="94" spans="1:9">
      <c r="A94" s="818"/>
      <c r="B94" s="831"/>
      <c r="C94" s="829">
        <v>0.8</v>
      </c>
      <c r="D94" s="832">
        <f>B93*C94*C93</f>
        <v>11.2</v>
      </c>
      <c r="E94" s="833" t="s">
        <v>468</v>
      </c>
      <c r="I94" s="844" t="s">
        <v>473</v>
      </c>
    </row>
    <row r="95" spans="1:9">
      <c r="A95" s="818"/>
      <c r="B95" s="831"/>
      <c r="C95" s="829"/>
      <c r="D95" s="832"/>
      <c r="E95" s="833" t="s">
        <v>408</v>
      </c>
      <c r="F95" s="831">
        <v>1</v>
      </c>
      <c r="G95" s="829">
        <v>18.2</v>
      </c>
      <c r="H95" s="832"/>
    </row>
    <row r="96" spans="1:9">
      <c r="A96" s="818"/>
      <c r="B96" s="831"/>
      <c r="C96" s="829"/>
      <c r="D96" s="832"/>
      <c r="E96" s="833"/>
      <c r="F96" s="839"/>
      <c r="G96" s="839"/>
      <c r="H96" s="838">
        <f>G95*F95</f>
        <v>18.2</v>
      </c>
      <c r="I96" s="845" t="s">
        <v>2828</v>
      </c>
    </row>
    <row r="97" spans="1:9">
      <c r="A97" s="818"/>
      <c r="B97" s="839"/>
      <c r="C97" s="839"/>
      <c r="D97" s="838">
        <f>SUM(D87:D96)</f>
        <v>37.64</v>
      </c>
      <c r="E97" s="845" t="s">
        <v>2117</v>
      </c>
      <c r="F97" s="831"/>
      <c r="G97" s="829"/>
      <c r="H97" s="832"/>
    </row>
    <row r="98" spans="1:9">
      <c r="A98" s="818"/>
      <c r="B98" s="831"/>
      <c r="C98" s="829"/>
      <c r="D98" s="832"/>
      <c r="E98" s="833"/>
      <c r="F98" s="831"/>
      <c r="H98" s="832"/>
      <c r="I98" s="844" t="s">
        <v>1083</v>
      </c>
    </row>
    <row r="99" spans="1:9">
      <c r="A99" s="818"/>
      <c r="B99" s="831"/>
      <c r="C99" s="829"/>
      <c r="D99" s="832"/>
      <c r="E99" s="833" t="s">
        <v>2325</v>
      </c>
      <c r="F99" s="831">
        <v>1</v>
      </c>
      <c r="G99" s="829">
        <v>18.2</v>
      </c>
      <c r="H99" s="832"/>
      <c r="I99" s="833"/>
    </row>
    <row r="100" spans="1:9">
      <c r="A100" s="818"/>
      <c r="B100" s="831">
        <v>1</v>
      </c>
      <c r="C100" s="829">
        <f>'[24]Staff &amp; SQ Reinf'!M117</f>
        <v>412.67136000000005</v>
      </c>
      <c r="D100" s="832"/>
      <c r="E100" s="833"/>
      <c r="F100" s="831"/>
      <c r="G100" s="829"/>
      <c r="H100" s="832">
        <f>G99*F99</f>
        <v>18.2</v>
      </c>
      <c r="I100" s="833"/>
    </row>
    <row r="101" spans="1:9">
      <c r="A101" s="818"/>
      <c r="B101" s="839"/>
      <c r="C101" s="839"/>
      <c r="D101" s="838">
        <f>C100</f>
        <v>412.67136000000005</v>
      </c>
      <c r="E101" s="845" t="s">
        <v>2463</v>
      </c>
      <c r="F101" s="831">
        <v>2</v>
      </c>
      <c r="G101" s="829">
        <v>3.7</v>
      </c>
      <c r="H101" s="832"/>
      <c r="I101" s="833"/>
    </row>
    <row r="102" spans="1:9">
      <c r="A102" s="818"/>
      <c r="B102" s="831"/>
      <c r="C102" s="829"/>
      <c r="D102" s="832"/>
      <c r="E102" s="833"/>
      <c r="F102" s="831"/>
      <c r="G102" s="829"/>
      <c r="H102" s="832">
        <f>G101*F101</f>
        <v>7.4</v>
      </c>
      <c r="I102" s="833"/>
    </row>
    <row r="103" spans="1:9">
      <c r="A103" s="818"/>
      <c r="B103" s="831"/>
      <c r="C103" s="829"/>
      <c r="D103" s="832"/>
      <c r="E103" s="833" t="s">
        <v>2326</v>
      </c>
      <c r="F103" s="839"/>
      <c r="G103" s="839"/>
      <c r="H103" s="838">
        <f>SUM(H100:H102)</f>
        <v>25.6</v>
      </c>
      <c r="I103" s="845" t="s">
        <v>2830</v>
      </c>
    </row>
    <row r="104" spans="1:9">
      <c r="A104" s="818"/>
      <c r="B104" s="831">
        <v>1</v>
      </c>
      <c r="C104" s="829">
        <f>'[24]Staff &amp; SQ Reinf'!K117</f>
        <v>127.86150000000002</v>
      </c>
      <c r="D104" s="832"/>
      <c r="E104" s="833"/>
      <c r="F104" s="831"/>
      <c r="G104" s="829"/>
      <c r="H104" s="832"/>
      <c r="I104" s="833"/>
    </row>
    <row r="105" spans="1:9">
      <c r="A105" s="818"/>
      <c r="B105" s="839"/>
      <c r="C105" s="839"/>
      <c r="D105" s="838">
        <f>C104</f>
        <v>127.86150000000002</v>
      </c>
      <c r="E105" s="845" t="s">
        <v>2120</v>
      </c>
      <c r="F105" s="831"/>
      <c r="G105" s="829"/>
      <c r="H105" s="832"/>
      <c r="I105" s="844" t="s">
        <v>109</v>
      </c>
    </row>
    <row r="106" spans="1:9">
      <c r="A106" s="818"/>
      <c r="B106" s="831"/>
      <c r="C106" s="829"/>
      <c r="D106" s="832"/>
      <c r="E106" s="833"/>
      <c r="F106" s="831"/>
      <c r="G106" s="829"/>
      <c r="H106" s="832"/>
      <c r="I106" s="844" t="s">
        <v>421</v>
      </c>
    </row>
    <row r="107" spans="1:9">
      <c r="A107" s="818"/>
      <c r="B107" s="831"/>
      <c r="C107" s="829"/>
      <c r="D107" s="832"/>
      <c r="E107" s="844" t="s">
        <v>350</v>
      </c>
      <c r="F107" s="831"/>
      <c r="G107" s="829"/>
      <c r="H107" s="832"/>
      <c r="I107" s="833" t="s">
        <v>476</v>
      </c>
    </row>
    <row r="108" spans="1:9">
      <c r="A108" s="818"/>
      <c r="B108" s="831"/>
      <c r="C108" s="829"/>
      <c r="D108" s="832"/>
      <c r="E108" s="844" t="s">
        <v>411</v>
      </c>
      <c r="F108" s="1022"/>
      <c r="G108" s="848"/>
      <c r="H108" s="843"/>
      <c r="I108" s="833" t="s">
        <v>477</v>
      </c>
    </row>
    <row r="109" spans="1:9">
      <c r="A109" s="818"/>
      <c r="B109" s="831">
        <v>1</v>
      </c>
      <c r="C109" s="829">
        <v>16</v>
      </c>
      <c r="D109" s="832"/>
      <c r="E109" s="833" t="s">
        <v>460</v>
      </c>
      <c r="F109" s="831">
        <v>15</v>
      </c>
      <c r="G109" s="829">
        <v>7.3</v>
      </c>
      <c r="H109" s="832"/>
      <c r="I109" s="833"/>
    </row>
    <row r="110" spans="1:9">
      <c r="A110" s="818"/>
      <c r="B110" s="831"/>
      <c r="C110" s="829">
        <v>2.73</v>
      </c>
      <c r="D110" s="832">
        <f>C109*C110*B109</f>
        <v>43.68</v>
      </c>
      <c r="E110" s="833"/>
      <c r="F110" s="839"/>
      <c r="G110" s="839"/>
      <c r="H110" s="838">
        <f>G109*F109</f>
        <v>109.5</v>
      </c>
      <c r="I110" s="845" t="s">
        <v>2831</v>
      </c>
    </row>
    <row r="111" spans="1:9">
      <c r="A111" s="818"/>
      <c r="B111" s="831"/>
      <c r="C111" s="829"/>
      <c r="D111" s="832"/>
      <c r="E111" s="833"/>
      <c r="F111" s="1022"/>
      <c r="G111" s="848"/>
      <c r="H111" s="843"/>
      <c r="I111" s="435"/>
    </row>
    <row r="112" spans="1:9">
      <c r="A112" s="818"/>
      <c r="B112" s="831">
        <v>1</v>
      </c>
      <c r="C112" s="829">
        <v>16</v>
      </c>
      <c r="D112" s="832"/>
      <c r="E112" s="833" t="s">
        <v>461</v>
      </c>
      <c r="F112" s="831"/>
      <c r="G112" s="829"/>
      <c r="H112" s="832"/>
      <c r="I112" s="844" t="s">
        <v>114</v>
      </c>
    </row>
    <row r="113" spans="1:10">
      <c r="A113" s="818"/>
      <c r="B113" s="831"/>
      <c r="C113" s="829">
        <v>2.73</v>
      </c>
      <c r="D113" s="832">
        <f>C112*C113*B112</f>
        <v>43.68</v>
      </c>
      <c r="E113" s="833"/>
      <c r="F113" s="831"/>
      <c r="G113" s="829"/>
      <c r="H113" s="832"/>
      <c r="I113" s="833"/>
    </row>
    <row r="114" spans="1:10">
      <c r="A114" s="818"/>
      <c r="B114" s="831"/>
      <c r="C114" s="829"/>
      <c r="D114" s="832"/>
      <c r="E114" s="833"/>
      <c r="F114" s="831">
        <v>15</v>
      </c>
      <c r="G114" s="829">
        <v>2.8</v>
      </c>
      <c r="H114" s="832"/>
      <c r="I114" s="833"/>
    </row>
    <row r="115" spans="1:10">
      <c r="A115" s="818"/>
      <c r="B115" s="831">
        <v>4</v>
      </c>
      <c r="C115" s="829">
        <v>0.9</v>
      </c>
      <c r="D115" s="832"/>
      <c r="E115" s="833" t="s">
        <v>233</v>
      </c>
      <c r="F115" s="831"/>
      <c r="G115" s="829"/>
      <c r="H115" s="832">
        <f>F114*G114</f>
        <v>42</v>
      </c>
      <c r="I115" s="833"/>
    </row>
    <row r="116" spans="1:10">
      <c r="A116" s="818"/>
      <c r="B116" s="831"/>
      <c r="C116" s="829">
        <v>2.73</v>
      </c>
      <c r="D116" s="832">
        <f>-C115*C116*B115</f>
        <v>-9.8279999999999994</v>
      </c>
      <c r="E116" s="833"/>
      <c r="F116" s="831">
        <v>15</v>
      </c>
      <c r="G116" s="829">
        <v>3.5</v>
      </c>
      <c r="H116" s="832"/>
      <c r="I116" s="833"/>
    </row>
    <row r="117" spans="1:10">
      <c r="A117" s="818"/>
      <c r="B117" s="831"/>
      <c r="C117" s="829"/>
      <c r="D117" s="832"/>
      <c r="E117" s="833"/>
      <c r="F117" s="831"/>
      <c r="G117" s="829"/>
      <c r="H117" s="832">
        <f>F116*G116</f>
        <v>52.5</v>
      </c>
      <c r="I117" s="833"/>
    </row>
    <row r="118" spans="1:10">
      <c r="A118" s="818"/>
      <c r="B118" s="831"/>
      <c r="C118" s="829"/>
      <c r="D118" s="832"/>
      <c r="E118" s="833"/>
      <c r="F118" s="831"/>
      <c r="G118" s="829"/>
      <c r="H118" s="832"/>
      <c r="I118" s="833"/>
    </row>
    <row r="119" spans="1:10">
      <c r="A119" s="818"/>
      <c r="B119" s="831"/>
      <c r="C119" s="829"/>
      <c r="D119" s="832"/>
      <c r="E119" s="833"/>
      <c r="F119" s="839"/>
      <c r="G119" s="839"/>
      <c r="H119" s="838">
        <f>SUM(H115:H118)</f>
        <v>94.5</v>
      </c>
      <c r="I119" s="845" t="s">
        <v>2832</v>
      </c>
    </row>
    <row r="120" spans="1:10" ht="16.5" thickBot="1">
      <c r="A120" s="818"/>
      <c r="B120" s="1158"/>
      <c r="C120" s="1159"/>
      <c r="D120" s="1160"/>
      <c r="E120" s="1161"/>
      <c r="F120" s="1158"/>
      <c r="G120" s="1159"/>
      <c r="H120" s="1160"/>
      <c r="I120" s="1161"/>
    </row>
    <row r="121" spans="1:10" ht="16.5" thickTop="1">
      <c r="A121" s="828"/>
      <c r="B121" s="929" t="s">
        <v>1884</v>
      </c>
      <c r="C121" s="930" t="s">
        <v>526</v>
      </c>
      <c r="D121" s="931" t="s">
        <v>1885</v>
      </c>
      <c r="E121" s="930" t="s">
        <v>1886</v>
      </c>
      <c r="F121" s="929" t="s">
        <v>1884</v>
      </c>
      <c r="G121" s="930" t="s">
        <v>526</v>
      </c>
      <c r="H121" s="931" t="s">
        <v>1885</v>
      </c>
      <c r="I121" s="930" t="s">
        <v>1886</v>
      </c>
      <c r="J121" s="828"/>
    </row>
    <row r="122" spans="1:10">
      <c r="A122" s="818"/>
      <c r="B122" s="831"/>
      <c r="C122" s="829"/>
      <c r="D122" s="832"/>
      <c r="E122" s="844" t="s">
        <v>117</v>
      </c>
      <c r="F122" s="831">
        <v>2</v>
      </c>
      <c r="G122" s="829">
        <v>17</v>
      </c>
      <c r="H122" s="832"/>
      <c r="I122" s="833" t="s">
        <v>481</v>
      </c>
    </row>
    <row r="123" spans="1:10">
      <c r="A123" s="818"/>
      <c r="B123" s="831"/>
      <c r="C123" s="829"/>
      <c r="D123" s="832"/>
      <c r="E123" s="833" t="s">
        <v>469</v>
      </c>
      <c r="F123" s="831"/>
      <c r="G123" s="829">
        <v>0.4</v>
      </c>
      <c r="H123" s="832">
        <f>G122*G123*F122</f>
        <v>13.600000000000001</v>
      </c>
      <c r="I123" s="833" t="s">
        <v>482</v>
      </c>
    </row>
    <row r="124" spans="1:10">
      <c r="A124" s="818"/>
      <c r="B124" s="831">
        <v>5</v>
      </c>
      <c r="C124" s="829">
        <v>18.2</v>
      </c>
      <c r="D124" s="832"/>
      <c r="E124" s="833" t="s">
        <v>471</v>
      </c>
      <c r="F124" s="831"/>
      <c r="G124" s="829"/>
      <c r="H124" s="832"/>
      <c r="I124" s="833"/>
    </row>
    <row r="125" spans="1:10">
      <c r="A125" s="818"/>
      <c r="B125" s="839"/>
      <c r="C125" s="839"/>
      <c r="D125" s="838">
        <f>B124*C124</f>
        <v>91</v>
      </c>
      <c r="E125" s="845" t="s">
        <v>2833</v>
      </c>
      <c r="F125" s="831">
        <v>2</v>
      </c>
      <c r="G125" s="829">
        <v>17</v>
      </c>
      <c r="H125" s="832"/>
      <c r="I125" s="833" t="s">
        <v>481</v>
      </c>
    </row>
    <row r="126" spans="1:10">
      <c r="A126" s="818"/>
      <c r="B126" s="831"/>
      <c r="C126" s="829"/>
      <c r="D126" s="832"/>
      <c r="E126" s="833"/>
      <c r="F126" s="831"/>
      <c r="G126" s="829">
        <v>0.3</v>
      </c>
      <c r="H126" s="832">
        <f>G125*G126*F125</f>
        <v>10.199999999999999</v>
      </c>
      <c r="I126" s="833" t="s">
        <v>482</v>
      </c>
    </row>
    <row r="127" spans="1:10">
      <c r="A127" s="818"/>
      <c r="B127" s="831">
        <v>1</v>
      </c>
      <c r="C127" s="829">
        <v>18.2</v>
      </c>
      <c r="D127" s="832"/>
      <c r="E127" s="844" t="s">
        <v>122</v>
      </c>
      <c r="F127" s="831"/>
      <c r="G127" s="829"/>
      <c r="H127" s="832"/>
      <c r="I127" s="833"/>
    </row>
    <row r="128" spans="1:10">
      <c r="A128" s="818"/>
      <c r="B128" s="831"/>
      <c r="C128" s="829"/>
      <c r="D128" s="832">
        <f>B127*C127</f>
        <v>18.2</v>
      </c>
      <c r="E128" s="833"/>
      <c r="F128" s="831">
        <v>2</v>
      </c>
      <c r="G128" s="829">
        <v>3.2</v>
      </c>
      <c r="H128" s="832"/>
      <c r="I128" s="833" t="s">
        <v>433</v>
      </c>
    </row>
    <row r="129" spans="1:9">
      <c r="A129" s="818"/>
      <c r="B129" s="831">
        <v>2</v>
      </c>
      <c r="C129" s="829">
        <v>3.7</v>
      </c>
      <c r="D129" s="832"/>
      <c r="E129" s="833"/>
      <c r="F129" s="831"/>
      <c r="G129" s="829">
        <v>0.4</v>
      </c>
      <c r="H129" s="832">
        <f>G128*G129*F128</f>
        <v>2.5600000000000005</v>
      </c>
      <c r="I129" s="833" t="s">
        <v>482</v>
      </c>
    </row>
    <row r="130" spans="1:9">
      <c r="A130" s="818"/>
      <c r="B130" s="831"/>
      <c r="C130" s="829"/>
      <c r="D130" s="832">
        <f>B129*C129</f>
        <v>7.4</v>
      </c>
      <c r="E130" s="833"/>
      <c r="F130" s="831"/>
      <c r="G130" s="829"/>
      <c r="H130" s="832"/>
      <c r="I130" s="833"/>
    </row>
    <row r="131" spans="1:9">
      <c r="A131" s="818"/>
      <c r="B131" s="831"/>
      <c r="C131" s="829"/>
      <c r="D131" s="832"/>
      <c r="E131" s="833"/>
      <c r="F131" s="831">
        <v>2</v>
      </c>
      <c r="G131" s="829">
        <v>3.2</v>
      </c>
      <c r="H131" s="832"/>
      <c r="I131" s="833" t="s">
        <v>433</v>
      </c>
    </row>
    <row r="132" spans="1:9">
      <c r="A132" s="818"/>
      <c r="B132" s="839"/>
      <c r="C132" s="839"/>
      <c r="D132" s="838">
        <f>SUM(D127:D131)</f>
        <v>25.6</v>
      </c>
      <c r="E132" s="845" t="s">
        <v>2834</v>
      </c>
      <c r="F132" s="831"/>
      <c r="G132" s="829">
        <v>0.3</v>
      </c>
      <c r="H132" s="832">
        <f>G131*G132*F131</f>
        <v>1.92</v>
      </c>
      <c r="I132" s="833" t="s">
        <v>217</v>
      </c>
    </row>
    <row r="133" spans="1:9">
      <c r="A133" s="818"/>
      <c r="B133" s="831"/>
      <c r="C133" s="829"/>
      <c r="D133" s="832"/>
      <c r="E133" s="833"/>
      <c r="F133" s="831"/>
      <c r="G133" s="829"/>
      <c r="H133" s="832"/>
      <c r="I133" s="833"/>
    </row>
    <row r="134" spans="1:9">
      <c r="A134" s="818"/>
      <c r="B134" s="831"/>
      <c r="C134" s="829"/>
      <c r="D134" s="832"/>
      <c r="E134" s="844" t="s">
        <v>135</v>
      </c>
      <c r="F134" s="831">
        <v>14</v>
      </c>
      <c r="G134" s="829">
        <v>2.73</v>
      </c>
      <c r="H134" s="832"/>
      <c r="I134" s="833" t="s">
        <v>220</v>
      </c>
    </row>
    <row r="135" spans="1:9">
      <c r="A135" s="818"/>
      <c r="B135" s="831"/>
      <c r="C135" s="829"/>
      <c r="D135" s="832"/>
      <c r="E135" s="844" t="s">
        <v>2867</v>
      </c>
      <c r="F135" s="831"/>
      <c r="G135" s="829">
        <v>0.2</v>
      </c>
      <c r="H135" s="832">
        <f>G134*G135*F134</f>
        <v>7.6440000000000001</v>
      </c>
      <c r="I135" s="833"/>
    </row>
    <row r="136" spans="1:9">
      <c r="A136" s="818"/>
      <c r="B136" s="831">
        <v>4</v>
      </c>
      <c r="C136" s="829">
        <v>1</v>
      </c>
      <c r="D136" s="832"/>
      <c r="E136" s="833"/>
      <c r="F136" s="831"/>
      <c r="G136" s="829"/>
      <c r="H136" s="832"/>
      <c r="I136" s="833"/>
    </row>
    <row r="137" spans="1:9">
      <c r="A137" s="818"/>
      <c r="B137" s="839"/>
      <c r="C137" s="839"/>
      <c r="D137" s="838">
        <f>B136*C136</f>
        <v>4</v>
      </c>
      <c r="E137" s="845" t="s">
        <v>2136</v>
      </c>
      <c r="F137" s="839"/>
      <c r="G137" s="839"/>
      <c r="H137" s="838">
        <f>SUM(H123:H135)+SUM(D169:D176)</f>
        <v>175.108</v>
      </c>
      <c r="I137" s="845" t="s">
        <v>2184</v>
      </c>
    </row>
    <row r="138" spans="1:9">
      <c r="A138" s="818"/>
      <c r="B138" s="831"/>
      <c r="C138" s="829"/>
      <c r="D138" s="832"/>
      <c r="E138" s="833"/>
      <c r="F138" s="831"/>
      <c r="G138" s="829"/>
      <c r="H138" s="832"/>
      <c r="I138" s="833"/>
    </row>
    <row r="139" spans="1:9">
      <c r="A139" s="818"/>
      <c r="B139" s="831"/>
      <c r="C139" s="829"/>
      <c r="D139" s="832"/>
      <c r="E139" s="844"/>
      <c r="F139" s="831"/>
      <c r="G139" s="829"/>
      <c r="H139" s="832"/>
      <c r="I139" s="844" t="s">
        <v>437</v>
      </c>
    </row>
    <row r="140" spans="1:9">
      <c r="A140" s="818"/>
      <c r="B140" s="831"/>
      <c r="C140" s="829"/>
      <c r="D140" s="832"/>
      <c r="E140" s="844"/>
      <c r="F140" s="831">
        <v>4</v>
      </c>
      <c r="G140" s="829">
        <v>4.05</v>
      </c>
      <c r="H140" s="832"/>
      <c r="I140" s="833"/>
    </row>
    <row r="141" spans="1:9">
      <c r="A141" s="818"/>
      <c r="B141" s="831"/>
      <c r="C141" s="829"/>
      <c r="D141" s="832"/>
      <c r="E141" s="833"/>
      <c r="F141" s="831"/>
      <c r="G141" s="829">
        <v>2.8</v>
      </c>
      <c r="H141" s="832"/>
      <c r="I141" s="833"/>
    </row>
    <row r="142" spans="1:9">
      <c r="A142" s="818"/>
      <c r="B142" s="839"/>
      <c r="C142" s="839"/>
      <c r="D142" s="838"/>
      <c r="E142" s="845"/>
      <c r="F142" s="839"/>
      <c r="G142" s="839"/>
      <c r="H142" s="838">
        <f>G140*G141*F140</f>
        <v>45.359999999999992</v>
      </c>
      <c r="I142" s="845" t="s">
        <v>2146</v>
      </c>
    </row>
    <row r="143" spans="1:9">
      <c r="A143" s="818"/>
      <c r="B143" s="831"/>
      <c r="C143" s="829"/>
      <c r="D143" s="832"/>
      <c r="E143" s="833"/>
      <c r="F143" s="831"/>
      <c r="G143" s="829"/>
      <c r="H143" s="832"/>
      <c r="I143" s="833"/>
    </row>
    <row r="144" spans="1:9">
      <c r="A144" s="818"/>
      <c r="B144" s="831"/>
      <c r="C144" s="829"/>
      <c r="D144" s="832"/>
      <c r="E144" s="844" t="s">
        <v>141</v>
      </c>
      <c r="F144" s="831"/>
      <c r="G144" s="829"/>
      <c r="H144" s="832"/>
      <c r="I144" s="844" t="s">
        <v>2868</v>
      </c>
    </row>
    <row r="145" spans="1:9">
      <c r="A145" s="818"/>
      <c r="B145" s="831"/>
      <c r="C145" s="829"/>
      <c r="D145" s="832"/>
      <c r="E145" s="844" t="s">
        <v>142</v>
      </c>
      <c r="F145" s="831">
        <v>4</v>
      </c>
      <c r="G145" s="829">
        <v>4.05</v>
      </c>
      <c r="H145" s="832"/>
      <c r="I145" s="833"/>
    </row>
    <row r="146" spans="1:9">
      <c r="A146" s="818"/>
      <c r="B146" s="831">
        <v>1</v>
      </c>
      <c r="C146" s="829">
        <v>16</v>
      </c>
      <c r="D146" s="832"/>
      <c r="E146" s="833"/>
      <c r="F146" s="831"/>
      <c r="G146" s="829">
        <v>2.6</v>
      </c>
      <c r="H146" s="832">
        <f>G145*G146*F145</f>
        <v>42.12</v>
      </c>
      <c r="I146" s="833"/>
    </row>
    <row r="147" spans="1:9">
      <c r="A147" s="818"/>
      <c r="B147" s="831"/>
      <c r="C147" s="829">
        <v>3.73</v>
      </c>
      <c r="D147" s="832">
        <f>C146*C147*B146</f>
        <v>59.68</v>
      </c>
      <c r="E147" s="833" t="s">
        <v>474</v>
      </c>
      <c r="F147" s="831"/>
      <c r="G147" s="829"/>
      <c r="H147" s="832"/>
      <c r="I147" s="833"/>
    </row>
    <row r="148" spans="1:9">
      <c r="A148" s="818"/>
      <c r="B148" s="831"/>
      <c r="C148" s="829"/>
      <c r="D148" s="832"/>
      <c r="E148" s="833"/>
      <c r="F148" s="831">
        <v>4</v>
      </c>
      <c r="G148" s="829">
        <v>0.9</v>
      </c>
      <c r="H148" s="832"/>
      <c r="I148" s="833"/>
    </row>
    <row r="149" spans="1:9">
      <c r="A149" s="818"/>
      <c r="B149" s="831">
        <v>1</v>
      </c>
      <c r="C149" s="829">
        <v>16</v>
      </c>
      <c r="D149" s="832"/>
      <c r="E149" s="833"/>
      <c r="F149" s="831"/>
      <c r="G149" s="829">
        <v>0.2</v>
      </c>
      <c r="H149" s="832">
        <f>G148*G149*F148</f>
        <v>0.72000000000000008</v>
      </c>
      <c r="I149" s="833"/>
    </row>
    <row r="150" spans="1:9">
      <c r="A150" s="818"/>
      <c r="B150" s="831"/>
      <c r="C150" s="829">
        <v>2.73</v>
      </c>
      <c r="D150" s="832">
        <f>C149*C150*B149</f>
        <v>43.68</v>
      </c>
      <c r="E150" s="833" t="s">
        <v>475</v>
      </c>
      <c r="F150" s="831"/>
      <c r="G150" s="829"/>
      <c r="H150" s="832"/>
      <c r="I150" s="833"/>
    </row>
    <row r="151" spans="1:9">
      <c r="A151" s="818"/>
      <c r="B151" s="831"/>
      <c r="C151" s="829"/>
      <c r="D151" s="832"/>
      <c r="E151" s="833"/>
      <c r="F151" s="839"/>
      <c r="G151" s="839"/>
      <c r="H151" s="838">
        <f>SUM(H146:H150)</f>
        <v>42.839999999999996</v>
      </c>
      <c r="I151" s="845" t="s">
        <v>2839</v>
      </c>
    </row>
    <row r="152" spans="1:9">
      <c r="A152" s="818"/>
      <c r="B152" s="831">
        <v>4</v>
      </c>
      <c r="C152" s="829">
        <v>0.9</v>
      </c>
      <c r="D152" s="832"/>
      <c r="E152" s="833"/>
      <c r="F152" s="831"/>
      <c r="G152" s="829"/>
      <c r="H152" s="832"/>
      <c r="I152" s="833"/>
    </row>
    <row r="153" spans="1:9">
      <c r="A153" s="818"/>
      <c r="B153" s="831"/>
      <c r="C153" s="829">
        <v>2.73</v>
      </c>
      <c r="D153" s="832">
        <f>-C152*C153*B152</f>
        <v>-9.8279999999999994</v>
      </c>
      <c r="E153" s="833" t="s">
        <v>233</v>
      </c>
      <c r="F153" s="831"/>
      <c r="G153" s="829"/>
      <c r="H153" s="832"/>
      <c r="I153" s="844" t="s">
        <v>2869</v>
      </c>
    </row>
    <row r="154" spans="1:9">
      <c r="A154" s="818"/>
      <c r="B154" s="831"/>
      <c r="C154" s="829"/>
      <c r="D154" s="832"/>
      <c r="E154" s="833"/>
      <c r="F154" s="831"/>
      <c r="G154" s="829"/>
      <c r="H154" s="832"/>
      <c r="I154" s="833" t="s">
        <v>479</v>
      </c>
    </row>
    <row r="155" spans="1:9">
      <c r="A155" s="818"/>
      <c r="B155" s="831">
        <v>4</v>
      </c>
      <c r="C155" s="829">
        <v>1.5</v>
      </c>
      <c r="D155" s="832"/>
      <c r="E155" s="833"/>
      <c r="F155" s="831">
        <v>4</v>
      </c>
      <c r="G155" s="829">
        <v>12.4</v>
      </c>
      <c r="H155" s="832"/>
      <c r="I155" s="833"/>
    </row>
    <row r="156" spans="1:9">
      <c r="A156" s="818"/>
      <c r="B156" s="831"/>
      <c r="C156" s="829">
        <v>1.73</v>
      </c>
      <c r="D156" s="832">
        <f>-C155*C156*B155</f>
        <v>-10.379999999999999</v>
      </c>
      <c r="E156" s="833" t="s">
        <v>464</v>
      </c>
      <c r="F156" s="839"/>
      <c r="G156" s="839"/>
      <c r="H156" s="838">
        <f>G155*F155</f>
        <v>49.6</v>
      </c>
      <c r="I156" s="845" t="s">
        <v>2870</v>
      </c>
    </row>
    <row r="157" spans="1:9">
      <c r="A157" s="818"/>
      <c r="B157" s="831"/>
      <c r="C157" s="829"/>
      <c r="D157" s="832"/>
      <c r="E157" s="833"/>
      <c r="F157" s="831"/>
      <c r="G157" s="829"/>
      <c r="H157" s="832"/>
      <c r="I157" s="833"/>
    </row>
    <row r="158" spans="1:9">
      <c r="A158" s="818"/>
      <c r="B158" s="831">
        <v>2</v>
      </c>
      <c r="C158" s="829">
        <v>2.8</v>
      </c>
      <c r="D158" s="832"/>
      <c r="E158" s="833" t="s">
        <v>419</v>
      </c>
      <c r="F158" s="831"/>
      <c r="G158" s="829"/>
      <c r="H158" s="832"/>
      <c r="I158" s="844" t="s">
        <v>480</v>
      </c>
    </row>
    <row r="159" spans="1:9">
      <c r="A159" s="818"/>
      <c r="B159" s="831"/>
      <c r="C159" s="829">
        <v>2.73</v>
      </c>
      <c r="D159" s="832">
        <f>C158*C159*B158</f>
        <v>15.287999999999998</v>
      </c>
      <c r="E159" s="833"/>
      <c r="F159" s="831">
        <v>4</v>
      </c>
      <c r="G159" s="829">
        <v>1.55</v>
      </c>
      <c r="H159" s="832"/>
      <c r="I159" s="833"/>
    </row>
    <row r="160" spans="1:9">
      <c r="A160" s="818"/>
      <c r="B160" s="831"/>
      <c r="C160" s="829"/>
      <c r="D160" s="832"/>
      <c r="E160" s="833"/>
      <c r="F160" s="839"/>
      <c r="G160" s="839"/>
      <c r="H160" s="838">
        <f>G159*F159</f>
        <v>6.2</v>
      </c>
      <c r="I160" s="845" t="s">
        <v>2871</v>
      </c>
    </row>
    <row r="161" spans="1:9">
      <c r="A161" s="818"/>
      <c r="B161" s="831">
        <v>2</v>
      </c>
      <c r="C161" s="829">
        <v>3</v>
      </c>
      <c r="D161" s="832"/>
      <c r="E161" s="833" t="s">
        <v>419</v>
      </c>
      <c r="F161" s="831"/>
      <c r="G161" s="829"/>
      <c r="H161" s="832"/>
      <c r="I161" s="833"/>
    </row>
    <row r="162" spans="1:9">
      <c r="A162" s="818"/>
      <c r="B162" s="831"/>
      <c r="C162" s="829">
        <v>0.5</v>
      </c>
      <c r="D162" s="832">
        <f>C161*C162*B161</f>
        <v>3</v>
      </c>
      <c r="E162" s="833"/>
      <c r="F162" s="831"/>
      <c r="G162" s="829"/>
      <c r="H162" s="832"/>
      <c r="I162" s="844" t="s">
        <v>369</v>
      </c>
    </row>
    <row r="163" spans="1:9">
      <c r="A163" s="818"/>
      <c r="B163" s="831"/>
      <c r="C163" s="829"/>
      <c r="D163" s="832"/>
      <c r="E163" s="833"/>
      <c r="F163" s="831"/>
      <c r="G163" s="829"/>
      <c r="H163" s="832"/>
      <c r="I163" s="844" t="s">
        <v>273</v>
      </c>
    </row>
    <row r="164" spans="1:9">
      <c r="A164" s="818"/>
      <c r="B164" s="839"/>
      <c r="C164" s="839"/>
      <c r="D164" s="838">
        <f>SUM(D147:D163)</f>
        <v>101.44</v>
      </c>
      <c r="E164" s="845" t="s">
        <v>2182</v>
      </c>
      <c r="F164" s="839"/>
      <c r="G164" s="839"/>
      <c r="H164" s="838">
        <f>D164</f>
        <v>101.44</v>
      </c>
      <c r="I164" s="845" t="s">
        <v>2158</v>
      </c>
    </row>
    <row r="165" spans="1:9">
      <c r="A165" s="818"/>
      <c r="B165" s="831"/>
      <c r="C165" s="829"/>
      <c r="D165" s="832"/>
      <c r="E165" s="833"/>
      <c r="F165" s="831"/>
      <c r="G165" s="829"/>
      <c r="H165" s="832"/>
      <c r="I165" s="833"/>
    </row>
    <row r="166" spans="1:9">
      <c r="A166" s="818"/>
      <c r="B166" s="831"/>
      <c r="C166" s="829"/>
      <c r="D166" s="832"/>
      <c r="E166" s="844" t="s">
        <v>358</v>
      </c>
      <c r="F166" s="831"/>
      <c r="G166" s="829"/>
      <c r="H166" s="832"/>
      <c r="I166" s="844" t="s">
        <v>5</v>
      </c>
    </row>
    <row r="167" spans="1:9">
      <c r="A167" s="818"/>
      <c r="B167" s="831"/>
      <c r="C167" s="829"/>
      <c r="D167" s="832"/>
      <c r="E167" s="844" t="s">
        <v>359</v>
      </c>
      <c r="F167" s="831"/>
      <c r="G167" s="829"/>
      <c r="H167" s="832"/>
      <c r="I167" s="844" t="s">
        <v>2872</v>
      </c>
    </row>
    <row r="168" spans="1:9">
      <c r="A168" s="818"/>
      <c r="B168" s="831">
        <v>4</v>
      </c>
      <c r="C168" s="829">
        <v>13.6</v>
      </c>
      <c r="D168" s="832"/>
      <c r="E168" s="833" t="s">
        <v>478</v>
      </c>
      <c r="F168" s="831"/>
      <c r="G168" s="829"/>
      <c r="H168" s="832"/>
      <c r="I168" s="844" t="s">
        <v>455</v>
      </c>
    </row>
    <row r="169" spans="1:9">
      <c r="A169" s="818"/>
      <c r="B169" s="831"/>
      <c r="C169" s="829">
        <v>2.93</v>
      </c>
      <c r="D169" s="832">
        <f>C168*C169*B168</f>
        <v>159.392</v>
      </c>
      <c r="E169" s="833"/>
      <c r="F169" s="831">
        <v>8</v>
      </c>
      <c r="G169" s="829">
        <v>1</v>
      </c>
      <c r="H169" s="832"/>
      <c r="I169" s="833"/>
    </row>
    <row r="170" spans="1:9">
      <c r="A170" s="818"/>
      <c r="B170" s="831"/>
      <c r="C170" s="829"/>
      <c r="D170" s="832"/>
      <c r="E170" s="833"/>
      <c r="F170" s="839"/>
      <c r="G170" s="839"/>
      <c r="H170" s="838">
        <f>F169*G169</f>
        <v>8</v>
      </c>
      <c r="I170" s="845" t="s">
        <v>2169</v>
      </c>
    </row>
    <row r="171" spans="1:9">
      <c r="A171" s="818"/>
      <c r="B171" s="831">
        <v>4</v>
      </c>
      <c r="C171" s="829">
        <v>0.9</v>
      </c>
      <c r="D171" s="832"/>
      <c r="E171" s="833" t="s">
        <v>233</v>
      </c>
      <c r="F171" s="831"/>
      <c r="G171" s="829"/>
      <c r="H171" s="832"/>
      <c r="I171" s="833"/>
    </row>
    <row r="172" spans="1:9">
      <c r="A172" s="818"/>
      <c r="B172" s="831"/>
      <c r="C172" s="829">
        <v>2.73</v>
      </c>
      <c r="D172" s="832">
        <f>-C171*C172*B171</f>
        <v>-9.8279999999999994</v>
      </c>
      <c r="E172" s="833"/>
      <c r="F172" s="435"/>
      <c r="G172" s="435"/>
      <c r="H172" s="435"/>
      <c r="I172" s="435"/>
    </row>
    <row r="173" spans="1:9">
      <c r="A173" s="818"/>
      <c r="B173" s="831"/>
      <c r="C173" s="829"/>
      <c r="D173" s="832"/>
      <c r="E173" s="833"/>
      <c r="F173" s="831"/>
      <c r="G173" s="829"/>
      <c r="H173" s="832"/>
      <c r="I173" s="833"/>
    </row>
    <row r="174" spans="1:9">
      <c r="A174" s="818"/>
      <c r="B174" s="831">
        <v>4</v>
      </c>
      <c r="C174" s="829">
        <v>1.5</v>
      </c>
      <c r="D174" s="832"/>
      <c r="E174" s="833" t="s">
        <v>464</v>
      </c>
      <c r="F174" s="831"/>
      <c r="G174" s="829"/>
      <c r="H174" s="832"/>
      <c r="I174" s="833"/>
    </row>
    <row r="175" spans="1:9">
      <c r="A175" s="818"/>
      <c r="B175" s="831"/>
      <c r="C175" s="829">
        <v>1.73</v>
      </c>
      <c r="D175" s="832">
        <f>-C174*C175*B174</f>
        <v>-10.379999999999999</v>
      </c>
      <c r="E175" s="833"/>
      <c r="F175" s="831"/>
      <c r="G175" s="829"/>
      <c r="H175" s="832"/>
      <c r="I175" s="833"/>
    </row>
    <row r="176" spans="1:9">
      <c r="A176" s="818"/>
      <c r="B176" s="849"/>
      <c r="C176" s="850"/>
      <c r="D176" s="851"/>
      <c r="E176" s="852"/>
      <c r="F176" s="849"/>
      <c r="G176" s="850"/>
      <c r="H176" s="851"/>
      <c r="I176" s="852"/>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2" manualBreakCount="2">
    <brk id="61" max="9" man="1"/>
    <brk id="120"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B1:N121"/>
  <sheetViews>
    <sheetView view="pageBreakPreview" zoomScaleSheetLayoutView="100" zoomScalePageLayoutView="85" workbookViewId="0">
      <selection activeCell="C14" sqref="C14"/>
    </sheetView>
  </sheetViews>
  <sheetFormatPr defaultRowHeight="18.75"/>
  <cols>
    <col min="1" max="1" width="2.85546875" style="47" customWidth="1"/>
    <col min="2" max="2" width="4.85546875" style="47" customWidth="1"/>
    <col min="3" max="3" width="28.42578125" style="47" customWidth="1"/>
    <col min="4" max="4" width="13.7109375" style="47" customWidth="1"/>
    <col min="5" max="5" width="7.5703125" style="47" customWidth="1"/>
    <col min="6" max="6" width="10.42578125" style="47" customWidth="1"/>
    <col min="7" max="8" width="10.7109375" style="47" customWidth="1"/>
    <col min="9" max="9" width="11.7109375" style="47" customWidth="1"/>
    <col min="10" max="10" width="6.42578125" style="47" customWidth="1"/>
    <col min="11" max="11" width="12.7109375" style="47" customWidth="1"/>
    <col min="12" max="12" width="9.140625" style="47" customWidth="1"/>
    <col min="13" max="13" width="10.85546875" style="47" customWidth="1"/>
    <col min="14" max="14" width="11.42578125" style="47" customWidth="1"/>
    <col min="15" max="15" width="2.85546875" style="47" customWidth="1"/>
    <col min="16" max="16384" width="9.140625" style="47"/>
  </cols>
  <sheetData>
    <row r="1" spans="2:14">
      <c r="B1" s="46" t="s">
        <v>1266</v>
      </c>
      <c r="C1" s="46"/>
      <c r="D1" s="46"/>
      <c r="E1" s="46"/>
      <c r="F1" s="46"/>
      <c r="G1" s="46"/>
      <c r="L1" s="2119"/>
      <c r="M1" s="2119"/>
      <c r="N1" s="2119"/>
    </row>
    <row r="2" spans="2:14">
      <c r="B2" s="2121" t="s">
        <v>1208</v>
      </c>
      <c r="C2" s="2121"/>
      <c r="D2" s="2121"/>
      <c r="E2" s="2121"/>
      <c r="F2" s="2121"/>
      <c r="G2" s="2121"/>
      <c r="L2" s="2119"/>
      <c r="M2" s="2119"/>
      <c r="N2" s="2119"/>
    </row>
    <row r="3" spans="2:14">
      <c r="B3" s="46" t="s">
        <v>1260</v>
      </c>
      <c r="C3" s="46"/>
      <c r="D3" s="48"/>
      <c r="E3" s="48"/>
      <c r="F3" s="48"/>
      <c r="G3" s="48"/>
      <c r="L3" s="2119" t="s">
        <v>1262</v>
      </c>
      <c r="M3" s="2119"/>
      <c r="N3" s="2119"/>
    </row>
    <row r="4" spans="2:14">
      <c r="B4" s="46" t="s">
        <v>1209</v>
      </c>
      <c r="C4" s="46"/>
      <c r="D4" s="48"/>
      <c r="E4" s="48"/>
      <c r="F4" s="48"/>
      <c r="G4" s="48"/>
      <c r="J4" s="49"/>
      <c r="K4" s="49"/>
      <c r="L4" s="2119"/>
      <c r="M4" s="2119"/>
      <c r="N4" s="2119"/>
    </row>
    <row r="5" spans="2:14" ht="19.5" thickBot="1">
      <c r="B5" s="1333"/>
      <c r="C5" s="1333"/>
      <c r="D5" s="48"/>
      <c r="E5" s="48"/>
      <c r="F5" s="48"/>
      <c r="G5" s="48"/>
      <c r="J5" s="49"/>
      <c r="K5" s="49"/>
      <c r="L5" s="1334"/>
      <c r="M5" s="1334"/>
      <c r="N5" s="1334"/>
    </row>
    <row r="6" spans="2:14" ht="20.25" thickTop="1" thickBot="1">
      <c r="B6" s="2131" t="s">
        <v>4</v>
      </c>
      <c r="C6" s="2133" t="s">
        <v>293</v>
      </c>
      <c r="D6" s="2133" t="s">
        <v>309</v>
      </c>
      <c r="E6" s="2133" t="s">
        <v>310</v>
      </c>
      <c r="F6" s="51" t="s">
        <v>295</v>
      </c>
      <c r="G6" s="2123" t="s">
        <v>311</v>
      </c>
      <c r="H6" s="2124"/>
      <c r="I6" s="2128"/>
      <c r="J6" s="52"/>
      <c r="K6" s="52" t="s">
        <v>312</v>
      </c>
      <c r="L6" s="52"/>
      <c r="M6" s="52"/>
      <c r="N6" s="53"/>
    </row>
    <row r="7" spans="2:14" ht="20.25" thickTop="1" thickBot="1">
      <c r="B7" s="2132"/>
      <c r="C7" s="2134"/>
      <c r="D7" s="2134"/>
      <c r="E7" s="2134"/>
      <c r="F7" s="54" t="s">
        <v>313</v>
      </c>
      <c r="G7" s="54" t="s">
        <v>314</v>
      </c>
      <c r="H7" s="54" t="s">
        <v>315</v>
      </c>
      <c r="I7" s="55" t="s">
        <v>316</v>
      </c>
      <c r="J7" s="56" t="s">
        <v>317</v>
      </c>
      <c r="K7" s="57" t="s">
        <v>318</v>
      </c>
      <c r="L7" s="55" t="s">
        <v>319</v>
      </c>
      <c r="M7" s="55" t="s">
        <v>320</v>
      </c>
      <c r="N7" s="58" t="s">
        <v>321</v>
      </c>
    </row>
    <row r="8" spans="2:14" ht="19.5" thickTop="1">
      <c r="B8" s="59"/>
      <c r="C8" s="44" t="s">
        <v>1</v>
      </c>
      <c r="D8" s="45" t="s">
        <v>485</v>
      </c>
      <c r="E8" s="45">
        <v>14</v>
      </c>
      <c r="F8" s="61">
        <v>11.23</v>
      </c>
      <c r="G8" s="45">
        <v>2</v>
      </c>
      <c r="H8" s="62">
        <v>3</v>
      </c>
      <c r="I8" s="61">
        <f t="shared" ref="I8:I15" si="0">H8*G8</f>
        <v>6</v>
      </c>
      <c r="J8" s="61" t="str">
        <f t="shared" ref="J8:J14" si="1">IF(E8=6,I8*F8,"-")</f>
        <v>-</v>
      </c>
      <c r="K8" s="61" t="str">
        <f t="shared" ref="K8:K15" si="2">IF(E8=8,I8*F8,"-")</f>
        <v>-</v>
      </c>
      <c r="L8" s="61" t="str">
        <f t="shared" ref="L8:L15" si="3">IF(E8=10,I8*F8,"-")</f>
        <v>-</v>
      </c>
      <c r="M8" s="61" t="str">
        <f t="shared" ref="M8:M15" si="4">IF(E8=12,I8*F8,"-")</f>
        <v>-</v>
      </c>
      <c r="N8" s="60">
        <f t="shared" ref="N8:N15" si="5">IF(E8=14,I8*F8,"-")</f>
        <v>67.38</v>
      </c>
    </row>
    <row r="9" spans="2:14">
      <c r="B9" s="59"/>
      <c r="C9" s="44"/>
      <c r="D9" s="45"/>
      <c r="E9" s="45">
        <v>14</v>
      </c>
      <c r="F9" s="61">
        <v>7.03</v>
      </c>
      <c r="G9" s="45">
        <v>2</v>
      </c>
      <c r="H9" s="62">
        <v>3</v>
      </c>
      <c r="I9" s="61">
        <f t="shared" si="0"/>
        <v>6</v>
      </c>
      <c r="J9" s="61" t="str">
        <f t="shared" si="1"/>
        <v>-</v>
      </c>
      <c r="K9" s="61" t="str">
        <f t="shared" si="2"/>
        <v>-</v>
      </c>
      <c r="L9" s="61" t="str">
        <f t="shared" si="3"/>
        <v>-</v>
      </c>
      <c r="M9" s="61" t="str">
        <f t="shared" si="4"/>
        <v>-</v>
      </c>
      <c r="N9" s="60">
        <f t="shared" si="5"/>
        <v>42.18</v>
      </c>
    </row>
    <row r="10" spans="2:14">
      <c r="B10" s="59"/>
      <c r="C10" s="44"/>
      <c r="D10" s="45"/>
      <c r="E10" s="45">
        <v>14</v>
      </c>
      <c r="F10" s="61">
        <v>8.58</v>
      </c>
      <c r="G10" s="45">
        <v>2</v>
      </c>
      <c r="H10" s="62">
        <v>3</v>
      </c>
      <c r="I10" s="61">
        <f t="shared" si="0"/>
        <v>6</v>
      </c>
      <c r="J10" s="61" t="str">
        <f t="shared" si="1"/>
        <v>-</v>
      </c>
      <c r="K10" s="61" t="str">
        <f t="shared" si="2"/>
        <v>-</v>
      </c>
      <c r="L10" s="61" t="str">
        <f t="shared" si="3"/>
        <v>-</v>
      </c>
      <c r="M10" s="61" t="str">
        <f t="shared" si="4"/>
        <v>-</v>
      </c>
      <c r="N10" s="60">
        <f t="shared" si="5"/>
        <v>51.480000000000004</v>
      </c>
    </row>
    <row r="11" spans="2:14">
      <c r="B11" s="59"/>
      <c r="C11" s="44"/>
      <c r="D11" s="45"/>
      <c r="E11" s="45">
        <v>14</v>
      </c>
      <c r="F11" s="61">
        <v>8.58</v>
      </c>
      <c r="G11" s="45">
        <v>2</v>
      </c>
      <c r="H11" s="62">
        <v>3</v>
      </c>
      <c r="I11" s="61">
        <f t="shared" si="0"/>
        <v>6</v>
      </c>
      <c r="J11" s="61" t="str">
        <f t="shared" si="1"/>
        <v>-</v>
      </c>
      <c r="K11" s="61" t="str">
        <f t="shared" si="2"/>
        <v>-</v>
      </c>
      <c r="L11" s="61" t="str">
        <f t="shared" si="3"/>
        <v>-</v>
      </c>
      <c r="M11" s="61" t="str">
        <f t="shared" si="4"/>
        <v>-</v>
      </c>
      <c r="N11" s="60">
        <f t="shared" si="5"/>
        <v>51.480000000000004</v>
      </c>
    </row>
    <row r="12" spans="2:14">
      <c r="B12" s="59"/>
      <c r="C12" s="44"/>
      <c r="D12" s="45"/>
      <c r="E12" s="45">
        <v>8</v>
      </c>
      <c r="F12" s="61">
        <v>1.2</v>
      </c>
      <c r="G12" s="45">
        <v>2</v>
      </c>
      <c r="H12" s="62">
        <v>84</v>
      </c>
      <c r="I12" s="61">
        <f t="shared" si="0"/>
        <v>168</v>
      </c>
      <c r="J12" s="61" t="str">
        <f t="shared" si="1"/>
        <v>-</v>
      </c>
      <c r="K12" s="61">
        <f t="shared" si="2"/>
        <v>201.6</v>
      </c>
      <c r="L12" s="61" t="str">
        <f t="shared" si="3"/>
        <v>-</v>
      </c>
      <c r="M12" s="61" t="str">
        <f t="shared" si="4"/>
        <v>-</v>
      </c>
      <c r="N12" s="60" t="str">
        <f t="shared" si="5"/>
        <v>-</v>
      </c>
    </row>
    <row r="13" spans="2:14">
      <c r="B13" s="59"/>
      <c r="C13" s="44"/>
      <c r="D13" s="45" t="s">
        <v>486</v>
      </c>
      <c r="E13" s="45">
        <v>14</v>
      </c>
      <c r="F13" s="61">
        <v>8.0500000000000007</v>
      </c>
      <c r="G13" s="45">
        <v>5</v>
      </c>
      <c r="H13" s="62">
        <v>3</v>
      </c>
      <c r="I13" s="61">
        <f t="shared" si="0"/>
        <v>15</v>
      </c>
      <c r="J13" s="61" t="str">
        <f t="shared" si="1"/>
        <v>-</v>
      </c>
      <c r="K13" s="61" t="str">
        <f t="shared" si="2"/>
        <v>-</v>
      </c>
      <c r="L13" s="61" t="str">
        <f t="shared" si="3"/>
        <v>-</v>
      </c>
      <c r="M13" s="61" t="str">
        <f t="shared" si="4"/>
        <v>-</v>
      </c>
      <c r="N13" s="60">
        <f t="shared" si="5"/>
        <v>120.75000000000001</v>
      </c>
    </row>
    <row r="14" spans="2:14">
      <c r="B14" s="59"/>
      <c r="C14" s="44"/>
      <c r="D14" s="45"/>
      <c r="E14" s="45">
        <v>14</v>
      </c>
      <c r="F14" s="61">
        <v>7.35</v>
      </c>
      <c r="G14" s="45">
        <v>5</v>
      </c>
      <c r="H14" s="62">
        <v>3</v>
      </c>
      <c r="I14" s="61">
        <f t="shared" si="0"/>
        <v>15</v>
      </c>
      <c r="J14" s="61" t="str">
        <f t="shared" si="1"/>
        <v>-</v>
      </c>
      <c r="K14" s="61" t="str">
        <f t="shared" si="2"/>
        <v>-</v>
      </c>
      <c r="L14" s="61" t="str">
        <f t="shared" si="3"/>
        <v>-</v>
      </c>
      <c r="M14" s="61" t="str">
        <f t="shared" si="4"/>
        <v>-</v>
      </c>
      <c r="N14" s="60">
        <f t="shared" si="5"/>
        <v>110.25</v>
      </c>
    </row>
    <row r="15" spans="2:14">
      <c r="B15" s="59"/>
      <c r="C15" s="44"/>
      <c r="D15" s="45"/>
      <c r="E15" s="45">
        <v>8</v>
      </c>
      <c r="F15" s="61">
        <v>1.2</v>
      </c>
      <c r="G15" s="45">
        <v>5</v>
      </c>
      <c r="H15" s="62">
        <v>37</v>
      </c>
      <c r="I15" s="61">
        <f t="shared" si="0"/>
        <v>185</v>
      </c>
      <c r="J15" s="61" t="str">
        <f>IF(D15=8,H15*E15,"-")</f>
        <v>-</v>
      </c>
      <c r="K15" s="61">
        <f t="shared" si="2"/>
        <v>222</v>
      </c>
      <c r="L15" s="61" t="str">
        <f t="shared" si="3"/>
        <v>-</v>
      </c>
      <c r="M15" s="61" t="str">
        <f t="shared" si="4"/>
        <v>-</v>
      </c>
      <c r="N15" s="60" t="str">
        <f t="shared" si="5"/>
        <v>-</v>
      </c>
    </row>
    <row r="16" spans="2:14">
      <c r="B16" s="59"/>
      <c r="C16" s="44"/>
      <c r="D16" s="45"/>
      <c r="E16" s="45"/>
      <c r="F16" s="61"/>
      <c r="G16" s="45"/>
      <c r="H16" s="62"/>
      <c r="I16" s="61"/>
      <c r="J16" s="61"/>
      <c r="K16" s="61"/>
      <c r="L16" s="61"/>
      <c r="M16" s="61"/>
      <c r="N16" s="60"/>
    </row>
    <row r="17" spans="2:14">
      <c r="B17" s="59"/>
      <c r="C17" s="45" t="s">
        <v>487</v>
      </c>
      <c r="D17" s="45"/>
      <c r="E17" s="45"/>
      <c r="F17" s="61"/>
      <c r="G17" s="45"/>
      <c r="H17" s="45"/>
      <c r="I17" s="61">
        <f>H17*G17</f>
        <v>0</v>
      </c>
      <c r="J17" s="61"/>
      <c r="K17" s="61"/>
      <c r="L17" s="61"/>
      <c r="M17" s="61"/>
      <c r="N17" s="60"/>
    </row>
    <row r="18" spans="2:14">
      <c r="B18" s="59"/>
      <c r="C18" s="45" t="s">
        <v>488</v>
      </c>
      <c r="D18" s="45"/>
      <c r="E18" s="45">
        <v>8</v>
      </c>
      <c r="F18" s="61">
        <v>6.3</v>
      </c>
      <c r="G18" s="45">
        <v>33</v>
      </c>
      <c r="H18" s="45">
        <v>4</v>
      </c>
      <c r="I18" s="61">
        <f>H18*G18</f>
        <v>132</v>
      </c>
      <c r="J18" s="61"/>
      <c r="K18" s="61">
        <f>IF(E18=8,I18*F18,"-")</f>
        <v>831.6</v>
      </c>
      <c r="L18" s="61"/>
      <c r="M18" s="61"/>
      <c r="N18" s="60"/>
    </row>
    <row r="19" spans="2:14">
      <c r="B19" s="59"/>
      <c r="C19" s="45"/>
      <c r="D19" s="45"/>
      <c r="E19" s="45">
        <v>8</v>
      </c>
      <c r="F19" s="61">
        <v>4</v>
      </c>
      <c r="G19" s="45">
        <v>21</v>
      </c>
      <c r="H19" s="45">
        <v>4</v>
      </c>
      <c r="I19" s="61">
        <f>H19*G19</f>
        <v>84</v>
      </c>
      <c r="J19" s="61"/>
      <c r="K19" s="61">
        <f>IF(E19=8,I19*F19,"-")</f>
        <v>336</v>
      </c>
      <c r="L19" s="61"/>
      <c r="M19" s="61"/>
      <c r="N19" s="60"/>
    </row>
    <row r="20" spans="2:14">
      <c r="B20" s="59"/>
      <c r="C20" s="44"/>
      <c r="D20" s="45"/>
      <c r="E20" s="45"/>
      <c r="F20" s="61"/>
      <c r="G20" s="45"/>
      <c r="H20" s="62"/>
      <c r="I20" s="61"/>
      <c r="J20" s="61"/>
      <c r="K20" s="61"/>
      <c r="L20" s="61"/>
      <c r="M20" s="61"/>
      <c r="N20" s="60"/>
    </row>
    <row r="21" spans="2:14">
      <c r="B21" s="59"/>
      <c r="C21" s="45"/>
      <c r="D21" s="45"/>
      <c r="E21" s="45"/>
      <c r="F21" s="61"/>
      <c r="G21" s="45"/>
      <c r="H21" s="45"/>
      <c r="I21" s="61"/>
      <c r="J21" s="61"/>
      <c r="K21" s="61"/>
      <c r="L21" s="61"/>
      <c r="M21" s="61"/>
      <c r="N21" s="60"/>
    </row>
    <row r="22" spans="2:14">
      <c r="B22" s="59"/>
      <c r="C22" s="63"/>
      <c r="D22" s="45"/>
      <c r="E22" s="45"/>
      <c r="F22" s="61"/>
      <c r="G22" s="45"/>
      <c r="H22" s="45"/>
      <c r="I22" s="61"/>
      <c r="J22" s="61"/>
      <c r="K22" s="61"/>
      <c r="L22" s="61"/>
      <c r="M22" s="61"/>
      <c r="N22" s="60"/>
    </row>
    <row r="23" spans="2:14" ht="19.5" thickBot="1">
      <c r="B23" s="64"/>
      <c r="C23" s="55"/>
      <c r="D23" s="55"/>
      <c r="E23" s="55"/>
      <c r="F23" s="65"/>
      <c r="G23" s="55"/>
      <c r="H23" s="55"/>
      <c r="I23" s="65"/>
      <c r="J23" s="65"/>
      <c r="K23" s="65"/>
      <c r="L23" s="65"/>
      <c r="M23" s="65"/>
      <c r="N23" s="66"/>
    </row>
    <row r="24" spans="2:14" ht="19.5" thickTop="1">
      <c r="B24" s="67"/>
      <c r="C24" s="52"/>
      <c r="D24" s="52"/>
      <c r="E24" s="52"/>
      <c r="F24" s="2129" t="s">
        <v>301</v>
      </c>
      <c r="G24" s="2129"/>
      <c r="H24" s="2129"/>
      <c r="I24" s="2130"/>
      <c r="J24" s="68"/>
      <c r="K24" s="69">
        <f>SUM(K8:K19)</f>
        <v>1591.2</v>
      </c>
      <c r="L24" s="69">
        <f>SUM(L8:L23)</f>
        <v>0</v>
      </c>
      <c r="M24" s="69">
        <f>SUM(M8:M23)</f>
        <v>0</v>
      </c>
      <c r="N24" s="70">
        <f>SUM(N8:N23)</f>
        <v>443.52000000000004</v>
      </c>
    </row>
    <row r="25" spans="2:14">
      <c r="B25" s="71"/>
      <c r="C25" s="72"/>
      <c r="D25" s="72"/>
      <c r="E25" s="72"/>
      <c r="F25" s="2115" t="s">
        <v>302</v>
      </c>
      <c r="G25" s="2115"/>
      <c r="H25" s="2115"/>
      <c r="I25" s="2116"/>
      <c r="J25" s="73"/>
      <c r="K25" s="74">
        <v>0.39500000000000002</v>
      </c>
      <c r="L25" s="74" t="s">
        <v>304</v>
      </c>
      <c r="M25" s="74" t="s">
        <v>305</v>
      </c>
      <c r="N25" s="75" t="s">
        <v>306</v>
      </c>
    </row>
    <row r="26" spans="2:14" ht="19.5" thickBot="1">
      <c r="B26" s="76"/>
      <c r="C26" s="77"/>
      <c r="D26" s="77"/>
      <c r="E26" s="77"/>
      <c r="F26" s="2117" t="s">
        <v>307</v>
      </c>
      <c r="G26" s="2117"/>
      <c r="H26" s="2117"/>
      <c r="I26" s="2118"/>
      <c r="J26" s="78"/>
      <c r="K26" s="65">
        <f>K24*K25</f>
        <v>628.524</v>
      </c>
      <c r="L26" s="65">
        <f>L24*L25</f>
        <v>0</v>
      </c>
      <c r="M26" s="65">
        <f>M24*M25</f>
        <v>0</v>
      </c>
      <c r="N26" s="66">
        <f>N24*N25</f>
        <v>536.65920000000006</v>
      </c>
    </row>
    <row r="27" spans="2:14" ht="19.5" thickTop="1">
      <c r="B27" s="79"/>
      <c r="C27" s="79"/>
      <c r="D27" s="79"/>
      <c r="E27" s="79"/>
      <c r="F27" s="79"/>
      <c r="G27" s="79"/>
      <c r="H27" s="79"/>
      <c r="I27" s="79"/>
      <c r="J27" s="80"/>
      <c r="K27" s="81"/>
      <c r="L27" s="81"/>
      <c r="M27" s="81"/>
      <c r="N27" s="81"/>
    </row>
    <row r="28" spans="2:14">
      <c r="B28" s="79"/>
      <c r="C28" s="82" t="s">
        <v>24</v>
      </c>
      <c r="D28" s="79"/>
      <c r="E28" s="79"/>
      <c r="F28" s="79"/>
      <c r="G28" s="79"/>
      <c r="H28" s="79"/>
      <c r="I28" s="79"/>
      <c r="J28" s="79"/>
      <c r="K28" s="79"/>
      <c r="L28" s="2136" t="s">
        <v>308</v>
      </c>
      <c r="M28" s="2136"/>
      <c r="N28" s="79"/>
    </row>
    <row r="29" spans="2:14">
      <c r="B29" s="79"/>
      <c r="C29" s="82"/>
      <c r="D29" s="79"/>
      <c r="E29" s="79"/>
      <c r="F29" s="79"/>
      <c r="G29" s="79"/>
      <c r="H29" s="79"/>
      <c r="I29" s="79"/>
      <c r="J29" s="79"/>
      <c r="K29" s="79"/>
      <c r="L29" s="82"/>
      <c r="M29" s="82"/>
      <c r="N29" s="79"/>
    </row>
    <row r="30" spans="2:14">
      <c r="B30" s="46" t="s">
        <v>1266</v>
      </c>
      <c r="C30" s="46"/>
      <c r="D30" s="46"/>
      <c r="E30" s="46"/>
      <c r="F30" s="46"/>
      <c r="G30" s="46"/>
      <c r="L30" s="2120" t="s">
        <v>1206</v>
      </c>
      <c r="M30" s="2120"/>
      <c r="N30" s="2120"/>
    </row>
    <row r="31" spans="2:14">
      <c r="B31" s="2121" t="s">
        <v>1208</v>
      </c>
      <c r="C31" s="2121"/>
      <c r="D31" s="2121"/>
      <c r="E31" s="2121"/>
      <c r="F31" s="2121"/>
      <c r="G31" s="2121"/>
      <c r="L31" s="2120" t="s">
        <v>1207</v>
      </c>
      <c r="M31" s="2120"/>
      <c r="N31" s="2120"/>
    </row>
    <row r="32" spans="2:14">
      <c r="B32" s="46" t="s">
        <v>1260</v>
      </c>
      <c r="C32" s="46"/>
      <c r="D32" s="48"/>
      <c r="E32" s="48"/>
      <c r="F32" s="48"/>
      <c r="G32" s="48"/>
      <c r="L32" s="2122" t="s">
        <v>1262</v>
      </c>
      <c r="M32" s="2122"/>
      <c r="N32" s="2122"/>
    </row>
    <row r="33" spans="2:14" ht="19.5" thickBot="1">
      <c r="B33" s="46" t="s">
        <v>1209</v>
      </c>
      <c r="C33" s="46"/>
      <c r="D33" s="48"/>
      <c r="E33" s="48"/>
      <c r="F33" s="48"/>
      <c r="G33" s="48"/>
      <c r="J33" s="49"/>
      <c r="K33" s="49"/>
      <c r="L33" s="49"/>
      <c r="M33" s="49"/>
      <c r="N33" s="50"/>
    </row>
    <row r="34" spans="2:14" ht="19.5" thickTop="1">
      <c r="B34" s="2131" t="s">
        <v>4</v>
      </c>
      <c r="C34" s="2133" t="s">
        <v>293</v>
      </c>
      <c r="D34" s="2133" t="s">
        <v>309</v>
      </c>
      <c r="E34" s="2133" t="s">
        <v>310</v>
      </c>
      <c r="F34" s="83" t="s">
        <v>295</v>
      </c>
      <c r="G34" s="2123" t="s">
        <v>311</v>
      </c>
      <c r="H34" s="2124"/>
      <c r="I34" s="2128"/>
      <c r="J34" s="2123" t="s">
        <v>312</v>
      </c>
      <c r="K34" s="2124"/>
      <c r="L34" s="2124"/>
      <c r="M34" s="2124"/>
      <c r="N34" s="2125"/>
    </row>
    <row r="35" spans="2:14" ht="19.5" thickBot="1">
      <c r="B35" s="2132"/>
      <c r="C35" s="2134"/>
      <c r="D35" s="2134"/>
      <c r="E35" s="2134"/>
      <c r="F35" s="54" t="s">
        <v>313</v>
      </c>
      <c r="G35" s="54" t="s">
        <v>314</v>
      </c>
      <c r="H35" s="54" t="s">
        <v>315</v>
      </c>
      <c r="I35" s="55" t="s">
        <v>316</v>
      </c>
      <c r="J35" s="56" t="s">
        <v>317</v>
      </c>
      <c r="K35" s="57" t="s">
        <v>318</v>
      </c>
      <c r="L35" s="55" t="s">
        <v>319</v>
      </c>
      <c r="M35" s="55" t="s">
        <v>320</v>
      </c>
      <c r="N35" s="58" t="s">
        <v>321</v>
      </c>
    </row>
    <row r="36" spans="2:14" ht="19.5" thickTop="1">
      <c r="B36" s="84">
        <v>1</v>
      </c>
      <c r="C36" s="85" t="s">
        <v>337</v>
      </c>
      <c r="D36" s="85"/>
      <c r="E36" s="85">
        <v>12</v>
      </c>
      <c r="F36" s="69">
        <v>3.68</v>
      </c>
      <c r="G36" s="85">
        <v>4</v>
      </c>
      <c r="H36" s="85">
        <v>10</v>
      </c>
      <c r="I36" s="69">
        <f>G36*H36</f>
        <v>40</v>
      </c>
      <c r="J36" s="69"/>
      <c r="K36" s="69"/>
      <c r="L36" s="69"/>
      <c r="M36" s="69">
        <f>I36*F36</f>
        <v>147.20000000000002</v>
      </c>
      <c r="N36" s="70"/>
    </row>
    <row r="37" spans="2:14">
      <c r="B37" s="59"/>
      <c r="C37" s="45"/>
      <c r="D37" s="45"/>
      <c r="E37" s="45">
        <v>8</v>
      </c>
      <c r="F37" s="61">
        <v>0.7</v>
      </c>
      <c r="G37" s="45">
        <v>15</v>
      </c>
      <c r="H37" s="45">
        <v>10</v>
      </c>
      <c r="I37" s="61">
        <f>G37*H37</f>
        <v>150</v>
      </c>
      <c r="J37" s="61"/>
      <c r="K37" s="61">
        <f>F37*I37</f>
        <v>105</v>
      </c>
      <c r="L37" s="61"/>
      <c r="M37" s="61"/>
      <c r="N37" s="60"/>
    </row>
    <row r="38" spans="2:14">
      <c r="B38" s="59"/>
      <c r="C38" s="45"/>
      <c r="D38" s="45"/>
      <c r="E38" s="45"/>
      <c r="F38" s="61"/>
      <c r="G38" s="45"/>
      <c r="H38" s="45"/>
      <c r="I38" s="61"/>
      <c r="J38" s="61"/>
      <c r="K38" s="61"/>
      <c r="L38" s="61"/>
      <c r="M38" s="61"/>
      <c r="N38" s="60"/>
    </row>
    <row r="39" spans="2:14">
      <c r="B39" s="59">
        <v>1</v>
      </c>
      <c r="C39" s="63" t="s">
        <v>339</v>
      </c>
      <c r="D39" s="45"/>
      <c r="E39" s="45">
        <v>12</v>
      </c>
      <c r="F39" s="61">
        <v>11.23</v>
      </c>
      <c r="G39" s="45">
        <v>2</v>
      </c>
      <c r="H39" s="45">
        <v>3</v>
      </c>
      <c r="I39" s="61">
        <f t="shared" ref="I39:I46" si="6">G39*H39</f>
        <v>6</v>
      </c>
      <c r="J39" s="61"/>
      <c r="K39" s="61"/>
      <c r="L39" s="61"/>
      <c r="M39" s="61">
        <f>F39*I39</f>
        <v>67.38</v>
      </c>
      <c r="N39" s="60"/>
    </row>
    <row r="40" spans="2:14">
      <c r="B40" s="59"/>
      <c r="C40" s="45"/>
      <c r="D40" s="45"/>
      <c r="E40" s="45">
        <v>12</v>
      </c>
      <c r="F40" s="61">
        <v>7.03</v>
      </c>
      <c r="G40" s="45">
        <v>2</v>
      </c>
      <c r="H40" s="45">
        <v>3</v>
      </c>
      <c r="I40" s="61">
        <f t="shared" si="6"/>
        <v>6</v>
      </c>
      <c r="J40" s="61"/>
      <c r="K40" s="61"/>
      <c r="L40" s="61"/>
      <c r="M40" s="61">
        <f>F40*I40</f>
        <v>42.18</v>
      </c>
      <c r="N40" s="60"/>
    </row>
    <row r="41" spans="2:14">
      <c r="B41" s="59"/>
      <c r="C41" s="86"/>
      <c r="D41" s="45"/>
      <c r="E41" s="45">
        <v>12</v>
      </c>
      <c r="F41" s="61">
        <v>8.58</v>
      </c>
      <c r="G41" s="45">
        <v>2</v>
      </c>
      <c r="H41" s="45">
        <v>3</v>
      </c>
      <c r="I41" s="61">
        <f t="shared" si="6"/>
        <v>6</v>
      </c>
      <c r="J41" s="61"/>
      <c r="K41" s="61"/>
      <c r="L41" s="61"/>
      <c r="M41" s="61">
        <f>F41*I41</f>
        <v>51.480000000000004</v>
      </c>
      <c r="N41" s="60"/>
    </row>
    <row r="42" spans="2:14">
      <c r="B42" s="59"/>
      <c r="C42" s="45"/>
      <c r="D42" s="45"/>
      <c r="E42" s="45">
        <v>12</v>
      </c>
      <c r="F42" s="61">
        <v>8.58</v>
      </c>
      <c r="G42" s="45">
        <v>2</v>
      </c>
      <c r="H42" s="45">
        <v>3</v>
      </c>
      <c r="I42" s="61">
        <f t="shared" si="6"/>
        <v>6</v>
      </c>
      <c r="J42" s="61"/>
      <c r="K42" s="61"/>
      <c r="L42" s="61"/>
      <c r="M42" s="61">
        <f>F42*I42</f>
        <v>51.480000000000004</v>
      </c>
      <c r="N42" s="60"/>
    </row>
    <row r="43" spans="2:14">
      <c r="B43" s="59"/>
      <c r="C43" s="45"/>
      <c r="D43" s="45"/>
      <c r="E43" s="45">
        <v>8</v>
      </c>
      <c r="F43" s="61">
        <v>0.9</v>
      </c>
      <c r="G43" s="45">
        <v>2</v>
      </c>
      <c r="H43" s="45">
        <v>84</v>
      </c>
      <c r="I43" s="61">
        <f t="shared" si="6"/>
        <v>168</v>
      </c>
      <c r="J43" s="61"/>
      <c r="K43" s="61">
        <f>I43*F43</f>
        <v>151.20000000000002</v>
      </c>
      <c r="L43" s="61"/>
      <c r="M43" s="61"/>
      <c r="N43" s="60"/>
    </row>
    <row r="44" spans="2:14">
      <c r="B44" s="59"/>
      <c r="C44" s="63" t="s">
        <v>340</v>
      </c>
      <c r="D44" s="45"/>
      <c r="E44" s="45">
        <v>12</v>
      </c>
      <c r="F44" s="87">
        <v>8.0500000000000007</v>
      </c>
      <c r="G44" s="45">
        <v>5</v>
      </c>
      <c r="H44" s="45">
        <v>3</v>
      </c>
      <c r="I44" s="61">
        <f t="shared" si="6"/>
        <v>15</v>
      </c>
      <c r="J44" s="61"/>
      <c r="K44" s="61"/>
      <c r="L44" s="61"/>
      <c r="M44" s="61">
        <f>F44*I44</f>
        <v>120.75000000000001</v>
      </c>
      <c r="N44" s="60"/>
    </row>
    <row r="45" spans="2:14">
      <c r="B45" s="59"/>
      <c r="C45" s="45"/>
      <c r="D45" s="45"/>
      <c r="E45" s="45">
        <v>12</v>
      </c>
      <c r="F45" s="87">
        <v>7.35</v>
      </c>
      <c r="G45" s="45">
        <v>5</v>
      </c>
      <c r="H45" s="45">
        <v>3</v>
      </c>
      <c r="I45" s="61">
        <f t="shared" si="6"/>
        <v>15</v>
      </c>
      <c r="J45" s="61"/>
      <c r="K45" s="61"/>
      <c r="L45" s="61"/>
      <c r="M45" s="61">
        <f>F45*I45</f>
        <v>110.25</v>
      </c>
      <c r="N45" s="60"/>
    </row>
    <row r="46" spans="2:14">
      <c r="B46" s="59"/>
      <c r="C46" s="45"/>
      <c r="D46" s="45"/>
      <c r="E46" s="45">
        <v>8</v>
      </c>
      <c r="F46" s="61">
        <v>0.9</v>
      </c>
      <c r="G46" s="45">
        <v>5</v>
      </c>
      <c r="H46" s="45">
        <v>38</v>
      </c>
      <c r="I46" s="61">
        <f t="shared" si="6"/>
        <v>190</v>
      </c>
      <c r="J46" s="61"/>
      <c r="K46" s="61">
        <f>I46*F46</f>
        <v>171</v>
      </c>
      <c r="L46" s="61"/>
      <c r="M46" s="61"/>
      <c r="N46" s="60"/>
    </row>
    <row r="47" spans="2:14">
      <c r="B47" s="59"/>
      <c r="C47" s="45"/>
      <c r="D47" s="45"/>
      <c r="E47" s="45"/>
      <c r="F47" s="61"/>
      <c r="G47" s="45"/>
      <c r="H47" s="45"/>
      <c r="I47" s="61"/>
      <c r="J47" s="61"/>
      <c r="K47" s="61"/>
      <c r="L47" s="61"/>
      <c r="M47" s="61"/>
      <c r="N47" s="60"/>
    </row>
    <row r="48" spans="2:14">
      <c r="B48" s="59">
        <v>2</v>
      </c>
      <c r="C48" s="2126" t="s">
        <v>484</v>
      </c>
      <c r="D48" s="2127"/>
      <c r="E48" s="45">
        <v>12</v>
      </c>
      <c r="F48" s="61">
        <v>1.65</v>
      </c>
      <c r="G48" s="45">
        <v>4</v>
      </c>
      <c r="H48" s="45">
        <v>2</v>
      </c>
      <c r="I48" s="61">
        <f t="shared" ref="I48:I56" si="7">G48*H48</f>
        <v>8</v>
      </c>
      <c r="J48" s="61"/>
      <c r="K48" s="61"/>
      <c r="L48" s="61"/>
      <c r="M48" s="61">
        <f>I48*F48</f>
        <v>13.2</v>
      </c>
      <c r="N48" s="60"/>
    </row>
    <row r="49" spans="2:14">
      <c r="B49" s="59"/>
      <c r="C49" s="45"/>
      <c r="D49" s="45" t="s">
        <v>62</v>
      </c>
      <c r="E49" s="45">
        <v>12</v>
      </c>
      <c r="F49" s="61">
        <v>1.35</v>
      </c>
      <c r="G49" s="45">
        <v>4</v>
      </c>
      <c r="H49" s="45">
        <v>2</v>
      </c>
      <c r="I49" s="61">
        <f t="shared" si="7"/>
        <v>8</v>
      </c>
      <c r="J49" s="61"/>
      <c r="K49" s="61"/>
      <c r="L49" s="61"/>
      <c r="M49" s="61">
        <f>I49*F49</f>
        <v>10.8</v>
      </c>
      <c r="N49" s="60"/>
    </row>
    <row r="50" spans="2:14">
      <c r="B50" s="59"/>
      <c r="C50" s="63"/>
      <c r="D50" s="45"/>
      <c r="E50" s="45">
        <v>8</v>
      </c>
      <c r="F50" s="61">
        <v>0.6</v>
      </c>
      <c r="G50" s="45">
        <v>4</v>
      </c>
      <c r="H50" s="45">
        <v>8</v>
      </c>
      <c r="I50" s="61">
        <f t="shared" si="7"/>
        <v>32</v>
      </c>
      <c r="J50" s="61"/>
      <c r="K50" s="61">
        <f>F50*I50</f>
        <v>19.2</v>
      </c>
      <c r="L50" s="61"/>
      <c r="M50" s="61"/>
      <c r="N50" s="60"/>
    </row>
    <row r="51" spans="2:14">
      <c r="B51" s="59"/>
      <c r="C51" s="45"/>
      <c r="D51" s="45" t="s">
        <v>247</v>
      </c>
      <c r="E51" s="45">
        <v>12</v>
      </c>
      <c r="F51" s="61">
        <v>1.55</v>
      </c>
      <c r="G51" s="45">
        <v>4</v>
      </c>
      <c r="H51" s="45">
        <v>2</v>
      </c>
      <c r="I51" s="61">
        <f t="shared" si="7"/>
        <v>8</v>
      </c>
      <c r="J51" s="61"/>
      <c r="K51" s="61"/>
      <c r="L51" s="61"/>
      <c r="M51" s="61">
        <f>I51*F51</f>
        <v>12.4</v>
      </c>
      <c r="N51" s="60"/>
    </row>
    <row r="52" spans="2:14">
      <c r="B52" s="59"/>
      <c r="C52" s="45"/>
      <c r="D52" s="45"/>
      <c r="E52" s="45">
        <v>12</v>
      </c>
      <c r="F52" s="61">
        <v>1.25</v>
      </c>
      <c r="G52" s="45">
        <v>4</v>
      </c>
      <c r="H52" s="45">
        <v>2</v>
      </c>
      <c r="I52" s="61">
        <f t="shared" si="7"/>
        <v>8</v>
      </c>
      <c r="J52" s="61"/>
      <c r="K52" s="61"/>
      <c r="L52" s="61"/>
      <c r="M52" s="61">
        <f>I52*F52</f>
        <v>10</v>
      </c>
      <c r="N52" s="60"/>
    </row>
    <row r="53" spans="2:14">
      <c r="B53" s="59"/>
      <c r="C53" s="45"/>
      <c r="D53" s="45"/>
      <c r="E53" s="45">
        <v>8</v>
      </c>
      <c r="F53" s="61">
        <v>0.6</v>
      </c>
      <c r="G53" s="45">
        <v>4</v>
      </c>
      <c r="H53" s="45">
        <v>7</v>
      </c>
      <c r="I53" s="61">
        <f t="shared" si="7"/>
        <v>28</v>
      </c>
      <c r="J53" s="61"/>
      <c r="K53" s="61">
        <f>F53*I53</f>
        <v>16.8</v>
      </c>
      <c r="L53" s="61"/>
      <c r="M53" s="61"/>
      <c r="N53" s="60"/>
    </row>
    <row r="54" spans="2:14">
      <c r="B54" s="59"/>
      <c r="C54" s="45"/>
      <c r="D54" s="45" t="s">
        <v>423</v>
      </c>
      <c r="E54" s="45">
        <v>12</v>
      </c>
      <c r="F54" s="61">
        <v>1.45</v>
      </c>
      <c r="G54" s="45">
        <v>4</v>
      </c>
      <c r="H54" s="45">
        <v>2</v>
      </c>
      <c r="I54" s="61">
        <f t="shared" si="7"/>
        <v>8</v>
      </c>
      <c r="J54" s="61"/>
      <c r="K54" s="61"/>
      <c r="L54" s="61"/>
      <c r="M54" s="61">
        <f>I54*F54</f>
        <v>11.6</v>
      </c>
      <c r="N54" s="60"/>
    </row>
    <row r="55" spans="2:14">
      <c r="B55" s="59"/>
      <c r="C55" s="45"/>
      <c r="D55" s="45"/>
      <c r="E55" s="45">
        <v>12</v>
      </c>
      <c r="F55" s="61">
        <v>1.1499999999999999</v>
      </c>
      <c r="G55" s="45">
        <v>4</v>
      </c>
      <c r="H55" s="45">
        <v>2</v>
      </c>
      <c r="I55" s="61">
        <f t="shared" si="7"/>
        <v>8</v>
      </c>
      <c r="J55" s="61"/>
      <c r="K55" s="61"/>
      <c r="L55" s="61"/>
      <c r="M55" s="61">
        <f>I55*F55</f>
        <v>9.1999999999999993</v>
      </c>
      <c r="N55" s="60"/>
    </row>
    <row r="56" spans="2:14">
      <c r="B56" s="59"/>
      <c r="C56" s="63"/>
      <c r="D56" s="45"/>
      <c r="E56" s="45">
        <v>8</v>
      </c>
      <c r="F56" s="61">
        <v>0.6</v>
      </c>
      <c r="G56" s="45">
        <v>4</v>
      </c>
      <c r="H56" s="45">
        <v>7</v>
      </c>
      <c r="I56" s="61">
        <f t="shared" si="7"/>
        <v>28</v>
      </c>
      <c r="J56" s="61"/>
      <c r="K56" s="61">
        <f>F56*I56</f>
        <v>16.8</v>
      </c>
      <c r="L56" s="61"/>
      <c r="M56" s="61"/>
      <c r="N56" s="60"/>
    </row>
    <row r="57" spans="2:14" ht="19.5" thickBot="1">
      <c r="B57" s="64"/>
      <c r="C57" s="55"/>
      <c r="D57" s="55"/>
      <c r="E57" s="55"/>
      <c r="F57" s="65"/>
      <c r="G57" s="55"/>
      <c r="H57" s="55"/>
      <c r="I57" s="65"/>
      <c r="J57" s="65"/>
      <c r="K57" s="65"/>
      <c r="L57" s="65"/>
      <c r="M57" s="65"/>
      <c r="N57" s="66"/>
    </row>
    <row r="58" spans="2:14" ht="19.5" thickTop="1">
      <c r="B58" s="67"/>
      <c r="C58" s="52"/>
      <c r="D58" s="52"/>
      <c r="E58" s="52"/>
      <c r="F58" s="2129" t="s">
        <v>301</v>
      </c>
      <c r="G58" s="2129"/>
      <c r="H58" s="2129"/>
      <c r="I58" s="2130"/>
      <c r="J58" s="68"/>
      <c r="K58" s="69">
        <f>SUM(K36:K57)</f>
        <v>480.00000000000006</v>
      </c>
      <c r="L58" s="69">
        <f>SUM(L36:L57)</f>
        <v>0</v>
      </c>
      <c r="M58" s="69">
        <f>SUM(M36:M57)</f>
        <v>657.92000000000007</v>
      </c>
      <c r="N58" s="70">
        <f>SUM(N36:N57)</f>
        <v>0</v>
      </c>
    </row>
    <row r="59" spans="2:14">
      <c r="B59" s="71"/>
      <c r="C59" s="72"/>
      <c r="D59" s="72"/>
      <c r="E59" s="72"/>
      <c r="F59" s="2115" t="s">
        <v>302</v>
      </c>
      <c r="G59" s="2115"/>
      <c r="H59" s="2115"/>
      <c r="I59" s="2116"/>
      <c r="J59" s="73"/>
      <c r="K59" s="88">
        <v>0.39500000000000002</v>
      </c>
      <c r="L59" s="89"/>
      <c r="M59" s="88" t="s">
        <v>305</v>
      </c>
      <c r="N59" s="90" t="s">
        <v>306</v>
      </c>
    </row>
    <row r="60" spans="2:14" ht="19.5" thickBot="1">
      <c r="B60" s="76"/>
      <c r="C60" s="77"/>
      <c r="D60" s="77"/>
      <c r="E60" s="77"/>
      <c r="F60" s="2117" t="s">
        <v>307</v>
      </c>
      <c r="G60" s="2117"/>
      <c r="H60" s="2117"/>
      <c r="I60" s="2118"/>
      <c r="J60" s="91"/>
      <c r="K60" s="92">
        <f>K58*K59</f>
        <v>189.60000000000002</v>
      </c>
      <c r="L60" s="92">
        <f>L58*L59</f>
        <v>0</v>
      </c>
      <c r="M60" s="92">
        <f>M58*M59</f>
        <v>584.23296000000005</v>
      </c>
      <c r="N60" s="93">
        <f>N58*N59</f>
        <v>0</v>
      </c>
    </row>
    <row r="61" spans="2:14" ht="19.5" thickTop="1">
      <c r="B61" s="94"/>
      <c r="C61" s="94"/>
      <c r="D61" s="94"/>
      <c r="E61" s="94"/>
      <c r="F61" s="94"/>
      <c r="G61" s="94"/>
      <c r="H61" s="94"/>
      <c r="I61" s="94"/>
      <c r="J61" s="95"/>
      <c r="K61" s="96"/>
      <c r="L61" s="96"/>
      <c r="M61" s="96"/>
      <c r="N61" s="96"/>
    </row>
    <row r="62" spans="2:14">
      <c r="B62" s="94"/>
      <c r="C62" s="97" t="s">
        <v>24</v>
      </c>
      <c r="D62" s="94"/>
      <c r="E62" s="94"/>
      <c r="F62" s="94"/>
      <c r="G62" s="94"/>
      <c r="H62" s="94"/>
      <c r="I62" s="94"/>
      <c r="J62" s="94"/>
      <c r="K62" s="94"/>
      <c r="L62" s="2135" t="s">
        <v>308</v>
      </c>
      <c r="M62" s="2135"/>
      <c r="N62" s="94"/>
    </row>
    <row r="63" spans="2:14">
      <c r="B63" s="46" t="s">
        <v>1267</v>
      </c>
      <c r="C63" s="46"/>
      <c r="D63" s="46"/>
      <c r="E63" s="46"/>
      <c r="F63" s="46"/>
      <c r="G63" s="46"/>
      <c r="L63" s="2120" t="s">
        <v>1206</v>
      </c>
      <c r="M63" s="2120"/>
      <c r="N63" s="2120"/>
    </row>
    <row r="64" spans="2:14">
      <c r="B64" s="2121" t="s">
        <v>1208</v>
      </c>
      <c r="C64" s="2121"/>
      <c r="D64" s="2121"/>
      <c r="E64" s="2121"/>
      <c r="F64" s="2121"/>
      <c r="G64" s="2121"/>
      <c r="L64" s="2120" t="s">
        <v>1207</v>
      </c>
      <c r="M64" s="2120"/>
      <c r="N64" s="2120"/>
    </row>
    <row r="65" spans="2:14">
      <c r="B65" s="46" t="s">
        <v>1260</v>
      </c>
      <c r="C65" s="46"/>
      <c r="D65" s="48"/>
      <c r="E65" s="48"/>
      <c r="F65" s="48"/>
      <c r="G65" s="48"/>
      <c r="L65" s="2122" t="s">
        <v>1261</v>
      </c>
      <c r="M65" s="2122"/>
      <c r="N65" s="2122"/>
    </row>
    <row r="66" spans="2:14" ht="19.5" thickBot="1">
      <c r="B66" s="46" t="s">
        <v>1209</v>
      </c>
      <c r="C66" s="46"/>
      <c r="D66" s="48"/>
      <c r="E66" s="48"/>
      <c r="F66" s="48"/>
      <c r="G66" s="48"/>
      <c r="J66" s="49"/>
      <c r="K66" s="49"/>
      <c r="L66" s="49"/>
      <c r="M66" s="49"/>
      <c r="N66" s="50"/>
    </row>
    <row r="67" spans="2:14" ht="19.5" thickTop="1">
      <c r="B67" s="2131" t="s">
        <v>4</v>
      </c>
      <c r="C67" s="2133" t="s">
        <v>293</v>
      </c>
      <c r="D67" s="2133" t="s">
        <v>309</v>
      </c>
      <c r="E67" s="2133" t="s">
        <v>310</v>
      </c>
      <c r="F67" s="83" t="s">
        <v>295</v>
      </c>
      <c r="G67" s="2123" t="s">
        <v>311</v>
      </c>
      <c r="H67" s="2124"/>
      <c r="I67" s="2128"/>
      <c r="J67" s="52"/>
      <c r="K67" s="52" t="s">
        <v>312</v>
      </c>
      <c r="L67" s="52"/>
      <c r="M67" s="52"/>
      <c r="N67" s="53"/>
    </row>
    <row r="68" spans="2:14" ht="19.5" thickBot="1">
      <c r="B68" s="2132"/>
      <c r="C68" s="2134"/>
      <c r="D68" s="2134"/>
      <c r="E68" s="2134"/>
      <c r="F68" s="54" t="s">
        <v>313</v>
      </c>
      <c r="G68" s="54" t="s">
        <v>314</v>
      </c>
      <c r="H68" s="54" t="s">
        <v>315</v>
      </c>
      <c r="I68" s="55" t="s">
        <v>316</v>
      </c>
      <c r="J68" s="56" t="s">
        <v>317</v>
      </c>
      <c r="K68" s="57" t="s">
        <v>318</v>
      </c>
      <c r="L68" s="55" t="s">
        <v>319</v>
      </c>
      <c r="M68" s="55" t="s">
        <v>320</v>
      </c>
      <c r="N68" s="58" t="s">
        <v>321</v>
      </c>
    </row>
    <row r="69" spans="2:14" ht="19.5" thickTop="1">
      <c r="B69" s="101"/>
      <c r="C69" s="44" t="s">
        <v>1</v>
      </c>
      <c r="D69" s="45" t="s">
        <v>489</v>
      </c>
      <c r="E69" s="45">
        <v>14</v>
      </c>
      <c r="F69" s="61">
        <v>11.23</v>
      </c>
      <c r="G69" s="45">
        <v>2</v>
      </c>
      <c r="H69" s="62">
        <v>3</v>
      </c>
      <c r="I69" s="61">
        <f t="shared" ref="I69:I79" si="8">H69*G69</f>
        <v>6</v>
      </c>
      <c r="J69" s="61" t="str">
        <f>IF(D69=8,H69*E69,"-")</f>
        <v>-</v>
      </c>
      <c r="K69" s="61" t="str">
        <f>IF(E69=8,I69*F69,"-")</f>
        <v>-</v>
      </c>
      <c r="L69" s="61" t="str">
        <f>IF(E69=10,I69*F69,"-")</f>
        <v>-</v>
      </c>
      <c r="M69" s="61" t="str">
        <f>IF(E69=12,I69*F69,"-")</f>
        <v>-</v>
      </c>
      <c r="N69" s="60">
        <f t="shared" ref="N69:N76" si="9">IF(E69=14,I69*F69,"-")</f>
        <v>67.38</v>
      </c>
    </row>
    <row r="70" spans="2:14">
      <c r="B70" s="59"/>
      <c r="C70" s="44"/>
      <c r="D70" s="45"/>
      <c r="E70" s="45">
        <v>14</v>
      </c>
      <c r="F70" s="61">
        <v>7.03</v>
      </c>
      <c r="G70" s="45">
        <v>2</v>
      </c>
      <c r="H70" s="62">
        <v>3</v>
      </c>
      <c r="I70" s="61">
        <f t="shared" si="8"/>
        <v>6</v>
      </c>
      <c r="J70" s="61" t="str">
        <f>IF(D70=8,H70*E70,"-")</f>
        <v>-</v>
      </c>
      <c r="K70" s="61" t="str">
        <f>IF(E70=8,I70*F70,"-")</f>
        <v>-</v>
      </c>
      <c r="L70" s="61" t="str">
        <f>IF(E70=10,I70*F70,"-")</f>
        <v>-</v>
      </c>
      <c r="M70" s="61" t="str">
        <f>IF(E70=12,I70*F70,"-")</f>
        <v>-</v>
      </c>
      <c r="N70" s="60">
        <f t="shared" si="9"/>
        <v>42.18</v>
      </c>
    </row>
    <row r="71" spans="2:14">
      <c r="B71" s="59"/>
      <c r="C71" s="44"/>
      <c r="D71" s="45"/>
      <c r="E71" s="45">
        <v>14</v>
      </c>
      <c r="F71" s="61">
        <v>8.58</v>
      </c>
      <c r="G71" s="45">
        <v>2</v>
      </c>
      <c r="H71" s="62">
        <v>3</v>
      </c>
      <c r="I71" s="61">
        <f t="shared" si="8"/>
        <v>6</v>
      </c>
      <c r="J71" s="61" t="str">
        <f>IF(E71=6,I71*F71,"-")</f>
        <v>-</v>
      </c>
      <c r="K71" s="61" t="str">
        <f>IF(E71=8,I71*F71,"-")</f>
        <v>-</v>
      </c>
      <c r="L71" s="61" t="str">
        <f>IF(E71=10,I71*F71,"-")</f>
        <v>-</v>
      </c>
      <c r="M71" s="61" t="str">
        <f>IF(E71=12,I71*F71,"-")</f>
        <v>-</v>
      </c>
      <c r="N71" s="60">
        <f t="shared" si="9"/>
        <v>51.480000000000004</v>
      </c>
    </row>
    <row r="72" spans="2:14">
      <c r="B72" s="59"/>
      <c r="C72" s="44"/>
      <c r="D72" s="45"/>
      <c r="E72" s="45">
        <v>14</v>
      </c>
      <c r="F72" s="61">
        <v>8.58</v>
      </c>
      <c r="G72" s="45">
        <v>2</v>
      </c>
      <c r="H72" s="62">
        <v>3</v>
      </c>
      <c r="I72" s="61">
        <f t="shared" si="8"/>
        <v>6</v>
      </c>
      <c r="J72" s="61"/>
      <c r="K72" s="61"/>
      <c r="L72" s="61"/>
      <c r="M72" s="61"/>
      <c r="N72" s="60">
        <f t="shared" si="9"/>
        <v>51.480000000000004</v>
      </c>
    </row>
    <row r="73" spans="2:14">
      <c r="B73" s="59"/>
      <c r="C73" s="44"/>
      <c r="D73" s="45"/>
      <c r="E73" s="45">
        <v>8</v>
      </c>
      <c r="F73" s="61">
        <v>1.2</v>
      </c>
      <c r="G73" s="45">
        <v>2</v>
      </c>
      <c r="H73" s="62">
        <v>84</v>
      </c>
      <c r="I73" s="61">
        <f t="shared" si="8"/>
        <v>168</v>
      </c>
      <c r="J73" s="61" t="str">
        <f>IF(E73=6,I73*F73,"-")</f>
        <v>-</v>
      </c>
      <c r="K73" s="61">
        <f>IF(E73=8,I73*F73,"-")</f>
        <v>201.6</v>
      </c>
      <c r="L73" s="61" t="str">
        <f>IF(E73=10,I73*F73,"-")</f>
        <v>-</v>
      </c>
      <c r="M73" s="61" t="str">
        <f>IF(E73=12,I73*F73,"-")</f>
        <v>-</v>
      </c>
      <c r="N73" s="60" t="str">
        <f t="shared" si="9"/>
        <v>-</v>
      </c>
    </row>
    <row r="74" spans="2:14">
      <c r="B74" s="59"/>
      <c r="C74" s="44"/>
      <c r="D74" s="45" t="s">
        <v>490</v>
      </c>
      <c r="E74" s="45">
        <v>14</v>
      </c>
      <c r="F74" s="61">
        <v>3.85</v>
      </c>
      <c r="G74" s="45">
        <v>5</v>
      </c>
      <c r="H74" s="62">
        <v>3</v>
      </c>
      <c r="I74" s="61">
        <f t="shared" si="8"/>
        <v>15</v>
      </c>
      <c r="J74" s="61" t="str">
        <f>IF(E74=6,I74*F74,"-")</f>
        <v>-</v>
      </c>
      <c r="K74" s="61" t="str">
        <f>IF(E74=8,I74*F74,"-")</f>
        <v>-</v>
      </c>
      <c r="L74" s="61" t="str">
        <f>IF(E74=10,I74*F74,"-")</f>
        <v>-</v>
      </c>
      <c r="M74" s="61" t="str">
        <f>IF(E74=12,I74*F74,"-")</f>
        <v>-</v>
      </c>
      <c r="N74" s="60">
        <f t="shared" si="9"/>
        <v>57.75</v>
      </c>
    </row>
    <row r="75" spans="2:14">
      <c r="B75" s="59"/>
      <c r="C75" s="44"/>
      <c r="D75" s="45"/>
      <c r="E75" s="45">
        <v>14</v>
      </c>
      <c r="F75" s="61">
        <v>3.15</v>
      </c>
      <c r="G75" s="45">
        <v>5</v>
      </c>
      <c r="H75" s="62">
        <v>3</v>
      </c>
      <c r="I75" s="61">
        <f t="shared" si="8"/>
        <v>15</v>
      </c>
      <c r="J75" s="61" t="str">
        <f>IF(E75=6,I75*F75,"-")</f>
        <v>-</v>
      </c>
      <c r="K75" s="61" t="str">
        <f>IF(E75=8,I75*F75,"-")</f>
        <v>-</v>
      </c>
      <c r="L75" s="61" t="str">
        <f>IF(E75=10,I75*F75,"-")</f>
        <v>-</v>
      </c>
      <c r="M75" s="61" t="str">
        <f>IF(E75=12,I75*F75,"-")</f>
        <v>-</v>
      </c>
      <c r="N75" s="60">
        <f t="shared" si="9"/>
        <v>47.25</v>
      </c>
    </row>
    <row r="76" spans="2:14">
      <c r="B76" s="59"/>
      <c r="C76" s="44"/>
      <c r="D76" s="45"/>
      <c r="E76" s="45">
        <v>8</v>
      </c>
      <c r="F76" s="61">
        <v>1.2</v>
      </c>
      <c r="G76" s="45">
        <v>5</v>
      </c>
      <c r="H76" s="62">
        <v>15</v>
      </c>
      <c r="I76" s="61">
        <f t="shared" si="8"/>
        <v>75</v>
      </c>
      <c r="J76" s="61" t="str">
        <f>IF(E76=6,I76*F76,"-")</f>
        <v>-</v>
      </c>
      <c r="K76" s="61">
        <f>IF(E76=8,I76*F76,"-")</f>
        <v>90</v>
      </c>
      <c r="L76" s="61" t="str">
        <f>IF(E76=10,I76*F76,"-")</f>
        <v>-</v>
      </c>
      <c r="M76" s="61" t="str">
        <f>IF(E76=12,I76*F76,"-")</f>
        <v>-</v>
      </c>
      <c r="N76" s="60" t="str">
        <f t="shared" si="9"/>
        <v>-</v>
      </c>
    </row>
    <row r="77" spans="2:14">
      <c r="B77" s="59"/>
      <c r="C77" s="45" t="s">
        <v>487</v>
      </c>
      <c r="D77" s="45"/>
      <c r="E77" s="45"/>
      <c r="F77" s="61"/>
      <c r="G77" s="45"/>
      <c r="H77" s="45"/>
      <c r="I77" s="61">
        <f t="shared" si="8"/>
        <v>0</v>
      </c>
      <c r="J77" s="61"/>
      <c r="K77" s="61"/>
      <c r="L77" s="99"/>
      <c r="M77" s="99"/>
      <c r="N77" s="98"/>
    </row>
    <row r="78" spans="2:14">
      <c r="B78" s="59"/>
      <c r="C78" s="45" t="s">
        <v>488</v>
      </c>
      <c r="D78" s="45"/>
      <c r="E78" s="45">
        <v>8</v>
      </c>
      <c r="F78" s="61">
        <v>3.87</v>
      </c>
      <c r="G78" s="45">
        <v>4</v>
      </c>
      <c r="H78" s="45">
        <v>14</v>
      </c>
      <c r="I78" s="61">
        <f t="shared" si="8"/>
        <v>56</v>
      </c>
      <c r="J78" s="61"/>
      <c r="K78" s="61">
        <f>IF(E78=8,I78*F78,"-")</f>
        <v>216.72</v>
      </c>
      <c r="L78" s="99"/>
      <c r="M78" s="99"/>
      <c r="N78" s="98"/>
    </row>
    <row r="79" spans="2:14">
      <c r="B79" s="59"/>
      <c r="C79" s="45"/>
      <c r="D79" s="45"/>
      <c r="E79" s="45">
        <v>8</v>
      </c>
      <c r="F79" s="61">
        <v>2.67</v>
      </c>
      <c r="G79" s="45">
        <v>4</v>
      </c>
      <c r="H79" s="45">
        <v>20</v>
      </c>
      <c r="I79" s="61">
        <f t="shared" si="8"/>
        <v>80</v>
      </c>
      <c r="J79" s="61"/>
      <c r="K79" s="61">
        <f>IF(E79=8,I79*F79,"-")</f>
        <v>213.6</v>
      </c>
      <c r="L79" s="99"/>
      <c r="M79" s="99"/>
      <c r="N79" s="98"/>
    </row>
    <row r="80" spans="2:14">
      <c r="B80" s="59"/>
      <c r="C80" s="102"/>
      <c r="D80" s="102"/>
      <c r="E80" s="102"/>
      <c r="F80" s="102"/>
      <c r="G80" s="102"/>
      <c r="H80" s="102"/>
      <c r="I80" s="102"/>
      <c r="J80" s="102"/>
      <c r="K80" s="102"/>
      <c r="L80" s="99"/>
      <c r="M80" s="99"/>
      <c r="N80" s="98"/>
    </row>
    <row r="81" spans="2:14">
      <c r="B81" s="59"/>
      <c r="C81" s="99"/>
      <c r="D81" s="99"/>
      <c r="E81" s="99"/>
      <c r="F81" s="99"/>
      <c r="G81" s="99"/>
      <c r="H81" s="99"/>
      <c r="I81" s="99"/>
      <c r="J81" s="99"/>
      <c r="K81" s="99"/>
      <c r="L81" s="99"/>
      <c r="M81" s="99"/>
      <c r="N81" s="98"/>
    </row>
    <row r="82" spans="2:14">
      <c r="B82" s="59"/>
      <c r="C82" s="99"/>
      <c r="D82" s="99"/>
      <c r="E82" s="99"/>
      <c r="F82" s="99"/>
      <c r="G82" s="99"/>
      <c r="H82" s="99"/>
      <c r="I82" s="99"/>
      <c r="J82" s="99"/>
      <c r="K82" s="100"/>
      <c r="L82" s="61"/>
      <c r="M82" s="61"/>
      <c r="N82" s="60"/>
    </row>
    <row r="83" spans="2:14" ht="19.5" thickBot="1">
      <c r="B83" s="64"/>
      <c r="C83" s="55"/>
      <c r="D83" s="55"/>
      <c r="E83" s="55"/>
      <c r="F83" s="65"/>
      <c r="G83" s="55"/>
      <c r="H83" s="55"/>
      <c r="I83" s="65"/>
      <c r="J83" s="65"/>
      <c r="K83" s="65"/>
      <c r="L83" s="65"/>
      <c r="M83" s="65"/>
      <c r="N83" s="66"/>
    </row>
    <row r="84" spans="2:14" ht="19.5" thickTop="1">
      <c r="B84" s="67"/>
      <c r="C84" s="52"/>
      <c r="D84" s="52"/>
      <c r="E84" s="52"/>
      <c r="F84" s="2129" t="s">
        <v>301</v>
      </c>
      <c r="G84" s="2129"/>
      <c r="H84" s="2129"/>
      <c r="I84" s="2130"/>
      <c r="J84" s="68"/>
      <c r="K84" s="69">
        <f>SUM(K69:K83)</f>
        <v>721.92000000000007</v>
      </c>
      <c r="L84" s="69">
        <f>SUM(L69:L83)</f>
        <v>0</v>
      </c>
      <c r="M84" s="69">
        <f>SUM(M69:M83)</f>
        <v>0</v>
      </c>
      <c r="N84" s="70">
        <f>SUM(N69:N83)</f>
        <v>317.52000000000004</v>
      </c>
    </row>
    <row r="85" spans="2:14">
      <c r="B85" s="71"/>
      <c r="C85" s="72"/>
      <c r="D85" s="72"/>
      <c r="E85" s="72"/>
      <c r="F85" s="2115" t="s">
        <v>302</v>
      </c>
      <c r="G85" s="2115"/>
      <c r="H85" s="2115"/>
      <c r="I85" s="2116"/>
      <c r="J85" s="73"/>
      <c r="K85" s="88" t="s">
        <v>303</v>
      </c>
      <c r="L85" s="89" t="s">
        <v>304</v>
      </c>
      <c r="M85" s="88" t="s">
        <v>305</v>
      </c>
      <c r="N85" s="90" t="s">
        <v>306</v>
      </c>
    </row>
    <row r="86" spans="2:14" ht="19.5" thickBot="1">
      <c r="B86" s="76"/>
      <c r="C86" s="77"/>
      <c r="D86" s="77"/>
      <c r="E86" s="77"/>
      <c r="F86" s="2117" t="s">
        <v>307</v>
      </c>
      <c r="G86" s="2117"/>
      <c r="H86" s="2117"/>
      <c r="I86" s="2118"/>
      <c r="J86" s="91"/>
      <c r="K86" s="92">
        <f>K84*K85</f>
        <v>285.15840000000003</v>
      </c>
      <c r="L86" s="92">
        <f>L84*L85</f>
        <v>0</v>
      </c>
      <c r="M86" s="92">
        <f>M84*M85</f>
        <v>0</v>
      </c>
      <c r="N86" s="93">
        <f>N84*N85</f>
        <v>384.19920000000002</v>
      </c>
    </row>
    <row r="87" spans="2:14" ht="19.5" thickTop="1">
      <c r="B87" s="94"/>
      <c r="C87" s="94"/>
      <c r="D87" s="94"/>
      <c r="E87" s="94"/>
      <c r="F87" s="94"/>
      <c r="G87" s="94"/>
      <c r="H87" s="94"/>
      <c r="I87" s="94"/>
      <c r="J87" s="95"/>
      <c r="K87" s="96"/>
      <c r="L87" s="96"/>
      <c r="M87" s="96"/>
      <c r="N87" s="96"/>
    </row>
    <row r="88" spans="2:14">
      <c r="B88" s="94"/>
      <c r="C88" s="97" t="s">
        <v>24</v>
      </c>
      <c r="D88" s="94"/>
      <c r="E88" s="94"/>
      <c r="F88" s="94"/>
      <c r="G88" s="94"/>
      <c r="H88" s="94"/>
      <c r="I88" s="94"/>
      <c r="J88" s="94"/>
      <c r="K88" s="94"/>
      <c r="L88" s="2135" t="s">
        <v>308</v>
      </c>
      <c r="M88" s="2135"/>
      <c r="N88" s="94"/>
    </row>
    <row r="89" spans="2:14">
      <c r="B89" s="94"/>
      <c r="C89" s="97"/>
      <c r="D89" s="94"/>
      <c r="E89" s="94"/>
      <c r="F89" s="94"/>
      <c r="G89" s="94"/>
      <c r="H89" s="94"/>
      <c r="I89" s="94"/>
      <c r="J89" s="94"/>
      <c r="K89" s="94"/>
      <c r="L89" s="97"/>
      <c r="M89" s="97"/>
      <c r="N89" s="94"/>
    </row>
    <row r="90" spans="2:14">
      <c r="B90" s="46" t="s">
        <v>1268</v>
      </c>
      <c r="C90" s="46"/>
      <c r="D90" s="46"/>
      <c r="E90" s="46"/>
      <c r="F90" s="46"/>
      <c r="G90" s="46"/>
      <c r="L90" s="2119" t="s">
        <v>1206</v>
      </c>
      <c r="M90" s="2119"/>
      <c r="N90" s="2119"/>
    </row>
    <row r="91" spans="2:14">
      <c r="B91" s="2121" t="s">
        <v>1208</v>
      </c>
      <c r="C91" s="2121"/>
      <c r="D91" s="2121"/>
      <c r="E91" s="2121"/>
      <c r="F91" s="2121"/>
      <c r="G91" s="2121"/>
      <c r="L91" s="2119" t="s">
        <v>1265</v>
      </c>
      <c r="M91" s="2119"/>
      <c r="N91" s="2119"/>
    </row>
    <row r="92" spans="2:14">
      <c r="B92" s="46" t="s">
        <v>1260</v>
      </c>
      <c r="C92" s="46"/>
      <c r="D92" s="48"/>
      <c r="E92" s="48"/>
      <c r="F92" s="48"/>
      <c r="G92" s="48"/>
      <c r="L92" s="2122" t="s">
        <v>1269</v>
      </c>
      <c r="M92" s="2122"/>
      <c r="N92" s="2122"/>
    </row>
    <row r="93" spans="2:14" ht="19.5" thickBot="1">
      <c r="B93" s="46" t="s">
        <v>1209</v>
      </c>
      <c r="C93" s="46"/>
      <c r="D93" s="48"/>
      <c r="E93" s="48"/>
      <c r="F93" s="48"/>
      <c r="G93" s="48"/>
      <c r="J93" s="49"/>
      <c r="K93" s="49"/>
      <c r="L93" s="49"/>
      <c r="M93" s="49"/>
      <c r="N93" s="50"/>
    </row>
    <row r="94" spans="2:14" ht="19.5" thickTop="1">
      <c r="B94" s="2131" t="s">
        <v>4</v>
      </c>
      <c r="C94" s="2133" t="s">
        <v>293</v>
      </c>
      <c r="D94" s="2133" t="s">
        <v>309</v>
      </c>
      <c r="E94" s="2133" t="s">
        <v>310</v>
      </c>
      <c r="F94" s="83" t="s">
        <v>295</v>
      </c>
      <c r="G94" s="2123" t="s">
        <v>311</v>
      </c>
      <c r="H94" s="2124"/>
      <c r="I94" s="2128"/>
      <c r="J94" s="52"/>
      <c r="K94" s="52" t="s">
        <v>312</v>
      </c>
      <c r="L94" s="52"/>
      <c r="M94" s="52"/>
      <c r="N94" s="53"/>
    </row>
    <row r="95" spans="2:14" ht="19.5" thickBot="1">
      <c r="B95" s="2132"/>
      <c r="C95" s="2134"/>
      <c r="D95" s="2134"/>
      <c r="E95" s="2134"/>
      <c r="F95" s="54" t="s">
        <v>313</v>
      </c>
      <c r="G95" s="54" t="s">
        <v>314</v>
      </c>
      <c r="H95" s="54" t="s">
        <v>315</v>
      </c>
      <c r="I95" s="55" t="s">
        <v>316</v>
      </c>
      <c r="J95" s="56" t="s">
        <v>317</v>
      </c>
      <c r="K95" s="57" t="s">
        <v>318</v>
      </c>
      <c r="L95" s="55" t="s">
        <v>319</v>
      </c>
      <c r="M95" s="55" t="s">
        <v>320</v>
      </c>
      <c r="N95" s="58" t="s">
        <v>321</v>
      </c>
    </row>
    <row r="96" spans="2:14" ht="19.5" thickTop="1">
      <c r="B96" s="84">
        <v>2</v>
      </c>
      <c r="C96" s="85" t="s">
        <v>338</v>
      </c>
      <c r="D96" s="85"/>
      <c r="E96" s="85"/>
      <c r="F96" s="69"/>
      <c r="G96" s="85"/>
      <c r="H96" s="85"/>
      <c r="I96" s="69"/>
      <c r="J96" s="69"/>
      <c r="K96" s="69"/>
      <c r="L96" s="69"/>
      <c r="M96" s="69"/>
      <c r="N96" s="70"/>
    </row>
    <row r="97" spans="2:14">
      <c r="B97" s="59"/>
      <c r="C97" s="63" t="s">
        <v>339</v>
      </c>
      <c r="D97" s="45"/>
      <c r="E97" s="45">
        <v>12</v>
      </c>
      <c r="F97" s="61">
        <v>11.23</v>
      </c>
      <c r="G97" s="45">
        <v>2</v>
      </c>
      <c r="H97" s="45">
        <v>3</v>
      </c>
      <c r="I97" s="61">
        <f t="shared" ref="I97:I105" si="10">G97*H97</f>
        <v>6</v>
      </c>
      <c r="J97" s="61"/>
      <c r="K97" s="61"/>
      <c r="L97" s="61"/>
      <c r="M97" s="61">
        <f>F97*I97</f>
        <v>67.38</v>
      </c>
      <c r="N97" s="60"/>
    </row>
    <row r="98" spans="2:14">
      <c r="B98" s="59"/>
      <c r="C98" s="45"/>
      <c r="D98" s="45"/>
      <c r="E98" s="45">
        <v>12</v>
      </c>
      <c r="F98" s="61">
        <v>7.03</v>
      </c>
      <c r="G98" s="45">
        <v>2</v>
      </c>
      <c r="H98" s="45">
        <v>3</v>
      </c>
      <c r="I98" s="61">
        <f t="shared" si="10"/>
        <v>6</v>
      </c>
      <c r="J98" s="61"/>
      <c r="K98" s="61"/>
      <c r="L98" s="61"/>
      <c r="M98" s="61">
        <f>F98*I98</f>
        <v>42.18</v>
      </c>
      <c r="N98" s="60"/>
    </row>
    <row r="99" spans="2:14">
      <c r="B99" s="59"/>
      <c r="C99" s="86"/>
      <c r="D99" s="45"/>
      <c r="E99" s="45">
        <v>12</v>
      </c>
      <c r="F99" s="61">
        <v>8.58</v>
      </c>
      <c r="G99" s="45">
        <v>2</v>
      </c>
      <c r="H99" s="45">
        <v>3</v>
      </c>
      <c r="I99" s="61">
        <f t="shared" si="10"/>
        <v>6</v>
      </c>
      <c r="J99" s="61"/>
      <c r="K99" s="61"/>
      <c r="L99" s="61"/>
      <c r="M99" s="61">
        <f>F99*I99</f>
        <v>51.480000000000004</v>
      </c>
      <c r="N99" s="60"/>
    </row>
    <row r="100" spans="2:14">
      <c r="B100" s="59"/>
      <c r="C100" s="45"/>
      <c r="D100" s="45"/>
      <c r="E100" s="45">
        <v>12</v>
      </c>
      <c r="F100" s="61">
        <v>8.58</v>
      </c>
      <c r="G100" s="45">
        <v>2</v>
      </c>
      <c r="H100" s="45">
        <v>3</v>
      </c>
      <c r="I100" s="61">
        <f t="shared" si="10"/>
        <v>6</v>
      </c>
      <c r="J100" s="61"/>
      <c r="K100" s="61"/>
      <c r="L100" s="61"/>
      <c r="M100" s="61">
        <f>F100*I100</f>
        <v>51.480000000000004</v>
      </c>
      <c r="N100" s="60"/>
    </row>
    <row r="101" spans="2:14">
      <c r="B101" s="59"/>
      <c r="C101" s="45"/>
      <c r="D101" s="45"/>
      <c r="E101" s="45">
        <v>8</v>
      </c>
      <c r="F101" s="61">
        <v>0.9</v>
      </c>
      <c r="G101" s="45">
        <v>2</v>
      </c>
      <c r="H101" s="45">
        <v>84</v>
      </c>
      <c r="I101" s="61">
        <f t="shared" si="10"/>
        <v>168</v>
      </c>
      <c r="J101" s="61"/>
      <c r="K101" s="61">
        <f>I101*F101</f>
        <v>151.20000000000002</v>
      </c>
      <c r="L101" s="61"/>
      <c r="M101" s="61"/>
      <c r="N101" s="60"/>
    </row>
    <row r="102" spans="2:14">
      <c r="B102" s="59"/>
      <c r="C102" s="63" t="s">
        <v>340</v>
      </c>
      <c r="D102" s="45"/>
      <c r="E102" s="45">
        <v>12</v>
      </c>
      <c r="F102" s="61">
        <v>3.85</v>
      </c>
      <c r="G102" s="45">
        <v>5</v>
      </c>
      <c r="H102" s="45">
        <v>3</v>
      </c>
      <c r="I102" s="61">
        <f t="shared" si="10"/>
        <v>15</v>
      </c>
      <c r="J102" s="61"/>
      <c r="K102" s="61"/>
      <c r="L102" s="61"/>
      <c r="M102" s="61">
        <f>F102*I102</f>
        <v>57.75</v>
      </c>
      <c r="N102" s="60"/>
    </row>
    <row r="103" spans="2:14">
      <c r="B103" s="59"/>
      <c r="C103" s="45"/>
      <c r="D103" s="45"/>
      <c r="E103" s="45">
        <v>12</v>
      </c>
      <c r="F103" s="61">
        <v>3.15</v>
      </c>
      <c r="G103" s="45">
        <v>5</v>
      </c>
      <c r="H103" s="45">
        <v>3</v>
      </c>
      <c r="I103" s="61">
        <f t="shared" si="10"/>
        <v>15</v>
      </c>
      <c r="J103" s="61"/>
      <c r="K103" s="61"/>
      <c r="L103" s="61"/>
      <c r="M103" s="61">
        <f>F103*I103</f>
        <v>47.25</v>
      </c>
      <c r="N103" s="60"/>
    </row>
    <row r="104" spans="2:14">
      <c r="B104" s="59"/>
      <c r="C104" s="45"/>
      <c r="D104" s="45"/>
      <c r="E104" s="45">
        <v>8</v>
      </c>
      <c r="F104" s="61">
        <v>0.9</v>
      </c>
      <c r="G104" s="45">
        <v>5</v>
      </c>
      <c r="H104" s="45">
        <v>15</v>
      </c>
      <c r="I104" s="61">
        <f t="shared" si="10"/>
        <v>75</v>
      </c>
      <c r="J104" s="61"/>
      <c r="K104" s="61">
        <f>I104*F104</f>
        <v>67.5</v>
      </c>
      <c r="L104" s="61"/>
      <c r="M104" s="61"/>
      <c r="N104" s="60"/>
    </row>
    <row r="105" spans="2:14">
      <c r="B105" s="59"/>
      <c r="C105" s="45" t="s">
        <v>337</v>
      </c>
      <c r="D105" s="45"/>
      <c r="E105" s="45">
        <v>12</v>
      </c>
      <c r="F105" s="61">
        <v>3.68</v>
      </c>
      <c r="G105" s="45">
        <v>4</v>
      </c>
      <c r="H105" s="45">
        <v>10</v>
      </c>
      <c r="I105" s="61">
        <f t="shared" si="10"/>
        <v>40</v>
      </c>
      <c r="J105" s="61"/>
      <c r="K105" s="61"/>
      <c r="L105" s="61"/>
      <c r="M105" s="61">
        <f>I105*F105</f>
        <v>147.20000000000002</v>
      </c>
      <c r="N105" s="60"/>
    </row>
    <row r="106" spans="2:14">
      <c r="B106" s="59"/>
      <c r="C106" s="45"/>
      <c r="D106" s="45"/>
      <c r="E106" s="45">
        <v>8</v>
      </c>
      <c r="F106" s="61">
        <v>0.7</v>
      </c>
      <c r="G106" s="45">
        <v>15</v>
      </c>
      <c r="H106" s="45">
        <v>10</v>
      </c>
      <c r="I106" s="61">
        <f>G106*H106</f>
        <v>150</v>
      </c>
      <c r="J106" s="61"/>
      <c r="K106" s="61">
        <f>F106*I106</f>
        <v>105</v>
      </c>
      <c r="L106" s="61"/>
      <c r="M106" s="61"/>
      <c r="N106" s="60"/>
    </row>
    <row r="107" spans="2:14">
      <c r="B107" s="59"/>
      <c r="C107" s="45"/>
      <c r="D107" s="45"/>
      <c r="E107" s="45"/>
      <c r="F107" s="61"/>
      <c r="G107" s="45"/>
      <c r="H107" s="45"/>
      <c r="I107" s="61"/>
      <c r="J107" s="61"/>
      <c r="K107" s="61"/>
      <c r="L107" s="61"/>
      <c r="M107" s="61"/>
      <c r="N107" s="60"/>
    </row>
    <row r="108" spans="2:14">
      <c r="B108" s="59"/>
      <c r="C108" s="45"/>
      <c r="D108" s="45"/>
      <c r="E108" s="45"/>
      <c r="F108" s="61"/>
      <c r="G108" s="45"/>
      <c r="H108" s="45"/>
      <c r="I108" s="61"/>
      <c r="J108" s="61"/>
      <c r="K108" s="61"/>
      <c r="L108" s="61"/>
      <c r="M108" s="61"/>
      <c r="N108" s="60"/>
    </row>
    <row r="109" spans="2:14">
      <c r="B109" s="59"/>
      <c r="C109" s="63"/>
      <c r="D109" s="45"/>
      <c r="E109" s="45"/>
      <c r="F109" s="61"/>
      <c r="G109" s="45"/>
      <c r="H109" s="45"/>
      <c r="I109" s="61"/>
      <c r="J109" s="61"/>
      <c r="K109" s="61"/>
      <c r="L109" s="61"/>
      <c r="M109" s="61"/>
      <c r="N109" s="60"/>
    </row>
    <row r="110" spans="2:14">
      <c r="B110" s="59"/>
      <c r="C110" s="45"/>
      <c r="D110" s="45"/>
      <c r="E110" s="45"/>
      <c r="F110" s="61"/>
      <c r="G110" s="45"/>
      <c r="H110" s="45"/>
      <c r="I110" s="61"/>
      <c r="J110" s="61"/>
      <c r="K110" s="61"/>
      <c r="L110" s="61"/>
      <c r="M110" s="61"/>
      <c r="N110" s="60"/>
    </row>
    <row r="111" spans="2:14">
      <c r="B111" s="59"/>
      <c r="C111" s="45"/>
      <c r="D111" s="45"/>
      <c r="E111" s="45"/>
      <c r="F111" s="61"/>
      <c r="G111" s="45"/>
      <c r="H111" s="45"/>
      <c r="I111" s="61"/>
      <c r="J111" s="61"/>
      <c r="K111" s="61"/>
      <c r="L111" s="61"/>
      <c r="M111" s="61"/>
      <c r="N111" s="60"/>
    </row>
    <row r="112" spans="2:14">
      <c r="B112" s="59"/>
      <c r="C112" s="45"/>
      <c r="D112" s="45"/>
      <c r="E112" s="45"/>
      <c r="F112" s="61"/>
      <c r="G112" s="45"/>
      <c r="H112" s="45"/>
      <c r="I112" s="61"/>
      <c r="J112" s="61"/>
      <c r="K112" s="61"/>
      <c r="L112" s="61"/>
      <c r="M112" s="61"/>
      <c r="N112" s="60"/>
    </row>
    <row r="113" spans="2:14">
      <c r="B113" s="59"/>
      <c r="C113" s="45"/>
      <c r="D113" s="45"/>
      <c r="E113" s="45"/>
      <c r="F113" s="61"/>
      <c r="G113" s="45"/>
      <c r="H113" s="45"/>
      <c r="I113" s="61"/>
      <c r="J113" s="61"/>
      <c r="K113" s="61"/>
      <c r="L113" s="61"/>
      <c r="M113" s="61"/>
      <c r="N113" s="60"/>
    </row>
    <row r="114" spans="2:14">
      <c r="B114" s="59"/>
      <c r="C114" s="45"/>
      <c r="D114" s="45"/>
      <c r="E114" s="45"/>
      <c r="F114" s="61"/>
      <c r="G114" s="45"/>
      <c r="H114" s="45"/>
      <c r="I114" s="61"/>
      <c r="J114" s="61"/>
      <c r="K114" s="61"/>
      <c r="L114" s="61"/>
      <c r="M114" s="61"/>
      <c r="N114" s="60"/>
    </row>
    <row r="115" spans="2:14" ht="19.5" thickBot="1">
      <c r="B115" s="64"/>
      <c r="C115" s="55"/>
      <c r="D115" s="55"/>
      <c r="E115" s="55"/>
      <c r="F115" s="65"/>
      <c r="G115" s="55"/>
      <c r="H115" s="55"/>
      <c r="I115" s="65"/>
      <c r="J115" s="65"/>
      <c r="K115" s="65"/>
      <c r="L115" s="65"/>
      <c r="M115" s="65"/>
      <c r="N115" s="66"/>
    </row>
    <row r="116" spans="2:14" ht="19.5" thickTop="1">
      <c r="B116" s="67"/>
      <c r="C116" s="52"/>
      <c r="D116" s="52"/>
      <c r="E116" s="52"/>
      <c r="F116" s="2129" t="s">
        <v>301</v>
      </c>
      <c r="G116" s="2129"/>
      <c r="H116" s="2129"/>
      <c r="I116" s="2130"/>
      <c r="J116" s="68"/>
      <c r="K116" s="69">
        <f>SUM(K96:K115)</f>
        <v>323.70000000000005</v>
      </c>
      <c r="L116" s="69"/>
      <c r="M116" s="69">
        <f>SUM(M96:M115)</f>
        <v>464.72</v>
      </c>
      <c r="N116" s="70"/>
    </row>
    <row r="117" spans="2:14">
      <c r="B117" s="71"/>
      <c r="C117" s="72"/>
      <c r="D117" s="72"/>
      <c r="E117" s="72"/>
      <c r="F117" s="2115" t="s">
        <v>302</v>
      </c>
      <c r="G117" s="2115"/>
      <c r="H117" s="2115"/>
      <c r="I117" s="2116"/>
      <c r="J117" s="73"/>
      <c r="K117" s="88" t="s">
        <v>303</v>
      </c>
      <c r="L117" s="89"/>
      <c r="M117" s="88" t="s">
        <v>305</v>
      </c>
      <c r="N117" s="90" t="s">
        <v>306</v>
      </c>
    </row>
    <row r="118" spans="2:14" ht="19.5" thickBot="1">
      <c r="B118" s="76"/>
      <c r="C118" s="77"/>
      <c r="D118" s="77"/>
      <c r="E118" s="77"/>
      <c r="F118" s="2117" t="s">
        <v>307</v>
      </c>
      <c r="G118" s="2117"/>
      <c r="H118" s="2117"/>
      <c r="I118" s="2118"/>
      <c r="J118" s="91"/>
      <c r="K118" s="92">
        <f>K116*K117</f>
        <v>127.86150000000002</v>
      </c>
      <c r="L118" s="92">
        <f>L116*L117</f>
        <v>0</v>
      </c>
      <c r="M118" s="92">
        <f>M116*M117</f>
        <v>412.67136000000005</v>
      </c>
      <c r="N118" s="93">
        <f>N116*N117</f>
        <v>0</v>
      </c>
    </row>
    <row r="119" spans="2:14" ht="19.5" thickTop="1">
      <c r="B119" s="94"/>
      <c r="C119" s="94"/>
      <c r="D119" s="94"/>
      <c r="E119" s="94"/>
      <c r="F119" s="94"/>
      <c r="G119" s="94"/>
      <c r="H119" s="94"/>
      <c r="I119" s="94"/>
      <c r="J119" s="95"/>
      <c r="K119" s="96"/>
      <c r="L119" s="96"/>
      <c r="M119" s="96"/>
      <c r="N119" s="96"/>
    </row>
    <row r="120" spans="2:14">
      <c r="B120" s="94"/>
      <c r="C120" s="97" t="s">
        <v>24</v>
      </c>
      <c r="D120" s="94"/>
      <c r="E120" s="94"/>
      <c r="F120" s="94"/>
      <c r="G120" s="94"/>
      <c r="H120" s="94"/>
      <c r="I120" s="94"/>
      <c r="J120" s="94"/>
      <c r="K120" s="94"/>
      <c r="L120" s="2135" t="s">
        <v>308</v>
      </c>
      <c r="M120" s="2135"/>
      <c r="N120" s="94"/>
    </row>
    <row r="121" spans="2:14">
      <c r="B121" s="94"/>
      <c r="C121" s="94"/>
      <c r="D121" s="94"/>
      <c r="E121" s="94"/>
      <c r="F121" s="94"/>
      <c r="G121" s="94"/>
      <c r="H121" s="94"/>
      <c r="I121" s="94"/>
      <c r="J121" s="94"/>
      <c r="K121" s="94"/>
      <c r="L121" s="94"/>
      <c r="M121" s="94"/>
      <c r="N121" s="94"/>
    </row>
  </sheetData>
  <mergeCells count="55">
    <mergeCell ref="B2:G2"/>
    <mergeCell ref="B64:G64"/>
    <mergeCell ref="B91:G91"/>
    <mergeCell ref="L1:N1"/>
    <mergeCell ref="L2:N2"/>
    <mergeCell ref="L3:N3"/>
    <mergeCell ref="L88:M88"/>
    <mergeCell ref="L64:N64"/>
    <mergeCell ref="L65:N65"/>
    <mergeCell ref="F24:I24"/>
    <mergeCell ref="L28:M28"/>
    <mergeCell ref="L62:M62"/>
    <mergeCell ref="B6:B7"/>
    <mergeCell ref="C6:C7"/>
    <mergeCell ref="D6:D7"/>
    <mergeCell ref="E6:E7"/>
    <mergeCell ref="F116:I116"/>
    <mergeCell ref="L120:M120"/>
    <mergeCell ref="B67:B68"/>
    <mergeCell ref="C67:C68"/>
    <mergeCell ref="D67:D68"/>
    <mergeCell ref="E67:E68"/>
    <mergeCell ref="G67:I67"/>
    <mergeCell ref="B94:B95"/>
    <mergeCell ref="C94:C95"/>
    <mergeCell ref="D94:D95"/>
    <mergeCell ref="E94:E95"/>
    <mergeCell ref="G94:I94"/>
    <mergeCell ref="L90:N90"/>
    <mergeCell ref="F84:I84"/>
    <mergeCell ref="L91:N91"/>
    <mergeCell ref="L92:N92"/>
    <mergeCell ref="G6:I6"/>
    <mergeCell ref="F58:I58"/>
    <mergeCell ref="B34:B35"/>
    <mergeCell ref="C34:C35"/>
    <mergeCell ref="D34:D35"/>
    <mergeCell ref="E34:E35"/>
    <mergeCell ref="G34:I34"/>
    <mergeCell ref="F85:I85"/>
    <mergeCell ref="F86:I86"/>
    <mergeCell ref="F117:I117"/>
    <mergeCell ref="F118:I118"/>
    <mergeCell ref="L4:N4"/>
    <mergeCell ref="F25:I25"/>
    <mergeCell ref="F26:I26"/>
    <mergeCell ref="F59:I59"/>
    <mergeCell ref="F60:I60"/>
    <mergeCell ref="L63:N63"/>
    <mergeCell ref="L30:N30"/>
    <mergeCell ref="B31:G31"/>
    <mergeCell ref="L31:N31"/>
    <mergeCell ref="L32:N32"/>
    <mergeCell ref="J34:N34"/>
    <mergeCell ref="C48:D48"/>
  </mergeCells>
  <pageMargins left="0.45" right="0.45" top="0.75" bottom="0.75" header="0.3" footer="0.3"/>
  <pageSetup scale="83" orientation="landscape" horizontalDpi="300" verticalDpi="300" r:id="rId1"/>
  <rowBreaks count="3" manualBreakCount="3">
    <brk id="29" max="14" man="1"/>
    <brk id="62" max="14" man="1"/>
    <brk id="89" max="1638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1:I48"/>
  <sheetViews>
    <sheetView view="pageBreakPreview" zoomScaleSheetLayoutView="100" workbookViewId="0">
      <selection sqref="A1:XFD1048576"/>
    </sheetView>
  </sheetViews>
  <sheetFormatPr defaultRowHeight="12.75"/>
  <cols>
    <col min="1" max="1" width="3.5703125" style="432" customWidth="1"/>
    <col min="2" max="2" width="6.28515625" style="432" customWidth="1"/>
    <col min="3" max="4" width="9.140625" style="432"/>
    <col min="5" max="5" width="13.7109375" style="432" customWidth="1"/>
    <col min="6" max="6" width="19.140625" style="432" customWidth="1"/>
    <col min="7" max="7" width="16.85546875" style="432" customWidth="1"/>
    <col min="8" max="8" width="18" style="432" customWidth="1"/>
    <col min="9" max="9" width="17.140625" style="432" customWidth="1"/>
    <col min="10" max="10" width="3.42578125" style="432" customWidth="1"/>
    <col min="11" max="256" width="9.140625" style="432"/>
    <col min="257" max="257" width="7.5703125" style="432" customWidth="1"/>
    <col min="258" max="259" width="9.140625" style="432"/>
    <col min="260" max="260" width="5.85546875" style="432" customWidth="1"/>
    <col min="261" max="261" width="0.28515625" style="432" customWidth="1"/>
    <col min="262" max="262" width="15.85546875" style="432" customWidth="1"/>
    <col min="263" max="264" width="16" style="432" customWidth="1"/>
    <col min="265" max="265" width="16.140625" style="432" customWidth="1"/>
    <col min="266" max="512" width="9.140625" style="432"/>
    <col min="513" max="513" width="7.5703125" style="432" customWidth="1"/>
    <col min="514" max="515" width="9.140625" style="432"/>
    <col min="516" max="516" width="5.85546875" style="432" customWidth="1"/>
    <col min="517" max="517" width="0.28515625" style="432" customWidth="1"/>
    <col min="518" max="518" width="15.85546875" style="432" customWidth="1"/>
    <col min="519" max="520" width="16" style="432" customWidth="1"/>
    <col min="521" max="521" width="16.140625" style="432" customWidth="1"/>
    <col min="522" max="768" width="9.140625" style="432"/>
    <col min="769" max="769" width="7.5703125" style="432" customWidth="1"/>
    <col min="770" max="771" width="9.140625" style="432"/>
    <col min="772" max="772" width="5.85546875" style="432" customWidth="1"/>
    <col min="773" max="773" width="0.28515625" style="432" customWidth="1"/>
    <col min="774" max="774" width="15.85546875" style="432" customWidth="1"/>
    <col min="775" max="776" width="16" style="432" customWidth="1"/>
    <col min="777" max="777" width="16.140625" style="432" customWidth="1"/>
    <col min="778" max="1024" width="9.140625" style="432"/>
    <col min="1025" max="1025" width="7.5703125" style="432" customWidth="1"/>
    <col min="1026" max="1027" width="9.140625" style="432"/>
    <col min="1028" max="1028" width="5.85546875" style="432" customWidth="1"/>
    <col min="1029" max="1029" width="0.28515625" style="432" customWidth="1"/>
    <col min="1030" max="1030" width="15.85546875" style="432" customWidth="1"/>
    <col min="1031" max="1032" width="16" style="432" customWidth="1"/>
    <col min="1033" max="1033" width="16.140625" style="432" customWidth="1"/>
    <col min="1034" max="1280" width="9.140625" style="432"/>
    <col min="1281" max="1281" width="7.5703125" style="432" customWidth="1"/>
    <col min="1282" max="1283" width="9.140625" style="432"/>
    <col min="1284" max="1284" width="5.85546875" style="432" customWidth="1"/>
    <col min="1285" max="1285" width="0.28515625" style="432" customWidth="1"/>
    <col min="1286" max="1286" width="15.85546875" style="432" customWidth="1"/>
    <col min="1287" max="1288" width="16" style="432" customWidth="1"/>
    <col min="1289" max="1289" width="16.140625" style="432" customWidth="1"/>
    <col min="1290" max="1536" width="9.140625" style="432"/>
    <col min="1537" max="1537" width="7.5703125" style="432" customWidth="1"/>
    <col min="1538" max="1539" width="9.140625" style="432"/>
    <col min="1540" max="1540" width="5.85546875" style="432" customWidth="1"/>
    <col min="1541" max="1541" width="0.28515625" style="432" customWidth="1"/>
    <col min="1542" max="1542" width="15.85546875" style="432" customWidth="1"/>
    <col min="1543" max="1544" width="16" style="432" customWidth="1"/>
    <col min="1545" max="1545" width="16.140625" style="432" customWidth="1"/>
    <col min="1546" max="1792" width="9.140625" style="432"/>
    <col min="1793" max="1793" width="7.5703125" style="432" customWidth="1"/>
    <col min="1794" max="1795" width="9.140625" style="432"/>
    <col min="1796" max="1796" width="5.85546875" style="432" customWidth="1"/>
    <col min="1797" max="1797" width="0.28515625" style="432" customWidth="1"/>
    <col min="1798" max="1798" width="15.85546875" style="432" customWidth="1"/>
    <col min="1799" max="1800" width="16" style="432" customWidth="1"/>
    <col min="1801" max="1801" width="16.140625" style="432" customWidth="1"/>
    <col min="1802" max="2048" width="9.140625" style="432"/>
    <col min="2049" max="2049" width="7.5703125" style="432" customWidth="1"/>
    <col min="2050" max="2051" width="9.140625" style="432"/>
    <col min="2052" max="2052" width="5.85546875" style="432" customWidth="1"/>
    <col min="2053" max="2053" width="0.28515625" style="432" customWidth="1"/>
    <col min="2054" max="2054" width="15.85546875" style="432" customWidth="1"/>
    <col min="2055" max="2056" width="16" style="432" customWidth="1"/>
    <col min="2057" max="2057" width="16.140625" style="432" customWidth="1"/>
    <col min="2058" max="2304" width="9.140625" style="432"/>
    <col min="2305" max="2305" width="7.5703125" style="432" customWidth="1"/>
    <col min="2306" max="2307" width="9.140625" style="432"/>
    <col min="2308" max="2308" width="5.85546875" style="432" customWidth="1"/>
    <col min="2309" max="2309" width="0.28515625" style="432" customWidth="1"/>
    <col min="2310" max="2310" width="15.85546875" style="432" customWidth="1"/>
    <col min="2311" max="2312" width="16" style="432" customWidth="1"/>
    <col min="2313" max="2313" width="16.140625" style="432" customWidth="1"/>
    <col min="2314" max="2560" width="9.140625" style="432"/>
    <col min="2561" max="2561" width="7.5703125" style="432" customWidth="1"/>
    <col min="2562" max="2563" width="9.140625" style="432"/>
    <col min="2564" max="2564" width="5.85546875" style="432" customWidth="1"/>
    <col min="2565" max="2565" width="0.28515625" style="432" customWidth="1"/>
    <col min="2566" max="2566" width="15.85546875" style="432" customWidth="1"/>
    <col min="2567" max="2568" width="16" style="432" customWidth="1"/>
    <col min="2569" max="2569" width="16.140625" style="432" customWidth="1"/>
    <col min="2570" max="2816" width="9.140625" style="432"/>
    <col min="2817" max="2817" width="7.5703125" style="432" customWidth="1"/>
    <col min="2818" max="2819" width="9.140625" style="432"/>
    <col min="2820" max="2820" width="5.85546875" style="432" customWidth="1"/>
    <col min="2821" max="2821" width="0.28515625" style="432" customWidth="1"/>
    <col min="2822" max="2822" width="15.85546875" style="432" customWidth="1"/>
    <col min="2823" max="2824" width="16" style="432" customWidth="1"/>
    <col min="2825" max="2825" width="16.140625" style="432" customWidth="1"/>
    <col min="2826" max="3072" width="9.140625" style="432"/>
    <col min="3073" max="3073" width="7.5703125" style="432" customWidth="1"/>
    <col min="3074" max="3075" width="9.140625" style="432"/>
    <col min="3076" max="3076" width="5.85546875" style="432" customWidth="1"/>
    <col min="3077" max="3077" width="0.28515625" style="432" customWidth="1"/>
    <col min="3078" max="3078" width="15.85546875" style="432" customWidth="1"/>
    <col min="3079" max="3080" width="16" style="432" customWidth="1"/>
    <col min="3081" max="3081" width="16.140625" style="432" customWidth="1"/>
    <col min="3082" max="3328" width="9.140625" style="432"/>
    <col min="3329" max="3329" width="7.5703125" style="432" customWidth="1"/>
    <col min="3330" max="3331" width="9.140625" style="432"/>
    <col min="3332" max="3332" width="5.85546875" style="432" customWidth="1"/>
    <col min="3333" max="3333" width="0.28515625" style="432" customWidth="1"/>
    <col min="3334" max="3334" width="15.85546875" style="432" customWidth="1"/>
    <col min="3335" max="3336" width="16" style="432" customWidth="1"/>
    <col min="3337" max="3337" width="16.140625" style="432" customWidth="1"/>
    <col min="3338" max="3584" width="9.140625" style="432"/>
    <col min="3585" max="3585" width="7.5703125" style="432" customWidth="1"/>
    <col min="3586" max="3587" width="9.140625" style="432"/>
    <col min="3588" max="3588" width="5.85546875" style="432" customWidth="1"/>
    <col min="3589" max="3589" width="0.28515625" style="432" customWidth="1"/>
    <col min="3590" max="3590" width="15.85546875" style="432" customWidth="1"/>
    <col min="3591" max="3592" width="16" style="432" customWidth="1"/>
    <col min="3593" max="3593" width="16.140625" style="432" customWidth="1"/>
    <col min="3594" max="3840" width="9.140625" style="432"/>
    <col min="3841" max="3841" width="7.5703125" style="432" customWidth="1"/>
    <col min="3842" max="3843" width="9.140625" style="432"/>
    <col min="3844" max="3844" width="5.85546875" style="432" customWidth="1"/>
    <col min="3845" max="3845" width="0.28515625" style="432" customWidth="1"/>
    <col min="3846" max="3846" width="15.85546875" style="432" customWidth="1"/>
    <col min="3847" max="3848" width="16" style="432" customWidth="1"/>
    <col min="3849" max="3849" width="16.140625" style="432" customWidth="1"/>
    <col min="3850" max="4096" width="9.140625" style="432"/>
    <col min="4097" max="4097" width="7.5703125" style="432" customWidth="1"/>
    <col min="4098" max="4099" width="9.140625" style="432"/>
    <col min="4100" max="4100" width="5.85546875" style="432" customWidth="1"/>
    <col min="4101" max="4101" width="0.28515625" style="432" customWidth="1"/>
    <col min="4102" max="4102" width="15.85546875" style="432" customWidth="1"/>
    <col min="4103" max="4104" width="16" style="432" customWidth="1"/>
    <col min="4105" max="4105" width="16.140625" style="432" customWidth="1"/>
    <col min="4106" max="4352" width="9.140625" style="432"/>
    <col min="4353" max="4353" width="7.5703125" style="432" customWidth="1"/>
    <col min="4354" max="4355" width="9.140625" style="432"/>
    <col min="4356" max="4356" width="5.85546875" style="432" customWidth="1"/>
    <col min="4357" max="4357" width="0.28515625" style="432" customWidth="1"/>
    <col min="4358" max="4358" width="15.85546875" style="432" customWidth="1"/>
    <col min="4359" max="4360" width="16" style="432" customWidth="1"/>
    <col min="4361" max="4361" width="16.140625" style="432" customWidth="1"/>
    <col min="4362" max="4608" width="9.140625" style="432"/>
    <col min="4609" max="4609" width="7.5703125" style="432" customWidth="1"/>
    <col min="4610" max="4611" width="9.140625" style="432"/>
    <col min="4612" max="4612" width="5.85546875" style="432" customWidth="1"/>
    <col min="4613" max="4613" width="0.28515625" style="432" customWidth="1"/>
    <col min="4614" max="4614" width="15.85546875" style="432" customWidth="1"/>
    <col min="4615" max="4616" width="16" style="432" customWidth="1"/>
    <col min="4617" max="4617" width="16.140625" style="432" customWidth="1"/>
    <col min="4618" max="4864" width="9.140625" style="432"/>
    <col min="4865" max="4865" width="7.5703125" style="432" customWidth="1"/>
    <col min="4866" max="4867" width="9.140625" style="432"/>
    <col min="4868" max="4868" width="5.85546875" style="432" customWidth="1"/>
    <col min="4869" max="4869" width="0.28515625" style="432" customWidth="1"/>
    <col min="4870" max="4870" width="15.85546875" style="432" customWidth="1"/>
    <col min="4871" max="4872" width="16" style="432" customWidth="1"/>
    <col min="4873" max="4873" width="16.140625" style="432" customWidth="1"/>
    <col min="4874" max="5120" width="9.140625" style="432"/>
    <col min="5121" max="5121" width="7.5703125" style="432" customWidth="1"/>
    <col min="5122" max="5123" width="9.140625" style="432"/>
    <col min="5124" max="5124" width="5.85546875" style="432" customWidth="1"/>
    <col min="5125" max="5125" width="0.28515625" style="432" customWidth="1"/>
    <col min="5126" max="5126" width="15.85546875" style="432" customWidth="1"/>
    <col min="5127" max="5128" width="16" style="432" customWidth="1"/>
    <col min="5129" max="5129" width="16.140625" style="432" customWidth="1"/>
    <col min="5130" max="5376" width="9.140625" style="432"/>
    <col min="5377" max="5377" width="7.5703125" style="432" customWidth="1"/>
    <col min="5378" max="5379" width="9.140625" style="432"/>
    <col min="5380" max="5380" width="5.85546875" style="432" customWidth="1"/>
    <col min="5381" max="5381" width="0.28515625" style="432" customWidth="1"/>
    <col min="5382" max="5382" width="15.85546875" style="432" customWidth="1"/>
    <col min="5383" max="5384" width="16" style="432" customWidth="1"/>
    <col min="5385" max="5385" width="16.140625" style="432" customWidth="1"/>
    <col min="5386" max="5632" width="9.140625" style="432"/>
    <col min="5633" max="5633" width="7.5703125" style="432" customWidth="1"/>
    <col min="5634" max="5635" width="9.140625" style="432"/>
    <col min="5636" max="5636" width="5.85546875" style="432" customWidth="1"/>
    <col min="5637" max="5637" width="0.28515625" style="432" customWidth="1"/>
    <col min="5638" max="5638" width="15.85546875" style="432" customWidth="1"/>
    <col min="5639" max="5640" width="16" style="432" customWidth="1"/>
    <col min="5641" max="5641" width="16.140625" style="432" customWidth="1"/>
    <col min="5642" max="5888" width="9.140625" style="432"/>
    <col min="5889" max="5889" width="7.5703125" style="432" customWidth="1"/>
    <col min="5890" max="5891" width="9.140625" style="432"/>
    <col min="5892" max="5892" width="5.85546875" style="432" customWidth="1"/>
    <col min="5893" max="5893" width="0.28515625" style="432" customWidth="1"/>
    <col min="5894" max="5894" width="15.85546875" style="432" customWidth="1"/>
    <col min="5895" max="5896" width="16" style="432" customWidth="1"/>
    <col min="5897" max="5897" width="16.140625" style="432" customWidth="1"/>
    <col min="5898" max="6144" width="9.140625" style="432"/>
    <col min="6145" max="6145" width="7.5703125" style="432" customWidth="1"/>
    <col min="6146" max="6147" width="9.140625" style="432"/>
    <col min="6148" max="6148" width="5.85546875" style="432" customWidth="1"/>
    <col min="6149" max="6149" width="0.28515625" style="432" customWidth="1"/>
    <col min="6150" max="6150" width="15.85546875" style="432" customWidth="1"/>
    <col min="6151" max="6152" width="16" style="432" customWidth="1"/>
    <col min="6153" max="6153" width="16.140625" style="432" customWidth="1"/>
    <col min="6154" max="6400" width="9.140625" style="432"/>
    <col min="6401" max="6401" width="7.5703125" style="432" customWidth="1"/>
    <col min="6402" max="6403" width="9.140625" style="432"/>
    <col min="6404" max="6404" width="5.85546875" style="432" customWidth="1"/>
    <col min="6405" max="6405" width="0.28515625" style="432" customWidth="1"/>
    <col min="6406" max="6406" width="15.85546875" style="432" customWidth="1"/>
    <col min="6407" max="6408" width="16" style="432" customWidth="1"/>
    <col min="6409" max="6409" width="16.140625" style="432" customWidth="1"/>
    <col min="6410" max="6656" width="9.140625" style="432"/>
    <col min="6657" max="6657" width="7.5703125" style="432" customWidth="1"/>
    <col min="6658" max="6659" width="9.140625" style="432"/>
    <col min="6660" max="6660" width="5.85546875" style="432" customWidth="1"/>
    <col min="6661" max="6661" width="0.28515625" style="432" customWidth="1"/>
    <col min="6662" max="6662" width="15.85546875" style="432" customWidth="1"/>
    <col min="6663" max="6664" width="16" style="432" customWidth="1"/>
    <col min="6665" max="6665" width="16.140625" style="432" customWidth="1"/>
    <col min="6666" max="6912" width="9.140625" style="432"/>
    <col min="6913" max="6913" width="7.5703125" style="432" customWidth="1"/>
    <col min="6914" max="6915" width="9.140625" style="432"/>
    <col min="6916" max="6916" width="5.85546875" style="432" customWidth="1"/>
    <col min="6917" max="6917" width="0.28515625" style="432" customWidth="1"/>
    <col min="6918" max="6918" width="15.85546875" style="432" customWidth="1"/>
    <col min="6919" max="6920" width="16" style="432" customWidth="1"/>
    <col min="6921" max="6921" width="16.140625" style="432" customWidth="1"/>
    <col min="6922" max="7168" width="9.140625" style="432"/>
    <col min="7169" max="7169" width="7.5703125" style="432" customWidth="1"/>
    <col min="7170" max="7171" width="9.140625" style="432"/>
    <col min="7172" max="7172" width="5.85546875" style="432" customWidth="1"/>
    <col min="7173" max="7173" width="0.28515625" style="432" customWidth="1"/>
    <col min="7174" max="7174" width="15.85546875" style="432" customWidth="1"/>
    <col min="7175" max="7176" width="16" style="432" customWidth="1"/>
    <col min="7177" max="7177" width="16.140625" style="432" customWidth="1"/>
    <col min="7178" max="7424" width="9.140625" style="432"/>
    <col min="7425" max="7425" width="7.5703125" style="432" customWidth="1"/>
    <col min="7426" max="7427" width="9.140625" style="432"/>
    <col min="7428" max="7428" width="5.85546875" style="432" customWidth="1"/>
    <col min="7429" max="7429" width="0.28515625" style="432" customWidth="1"/>
    <col min="7430" max="7430" width="15.85546875" style="432" customWidth="1"/>
    <col min="7431" max="7432" width="16" style="432" customWidth="1"/>
    <col min="7433" max="7433" width="16.140625" style="432" customWidth="1"/>
    <col min="7434" max="7680" width="9.140625" style="432"/>
    <col min="7681" max="7681" width="7.5703125" style="432" customWidth="1"/>
    <col min="7682" max="7683" width="9.140625" style="432"/>
    <col min="7684" max="7684" width="5.85546875" style="432" customWidth="1"/>
    <col min="7685" max="7685" width="0.28515625" style="432" customWidth="1"/>
    <col min="7686" max="7686" width="15.85546875" style="432" customWidth="1"/>
    <col min="7687" max="7688" width="16" style="432" customWidth="1"/>
    <col min="7689" max="7689" width="16.140625" style="432" customWidth="1"/>
    <col min="7690" max="7936" width="9.140625" style="432"/>
    <col min="7937" max="7937" width="7.5703125" style="432" customWidth="1"/>
    <col min="7938" max="7939" width="9.140625" style="432"/>
    <col min="7940" max="7940" width="5.85546875" style="432" customWidth="1"/>
    <col min="7941" max="7941" width="0.28515625" style="432" customWidth="1"/>
    <col min="7942" max="7942" width="15.85546875" style="432" customWidth="1"/>
    <col min="7943" max="7944" width="16" style="432" customWidth="1"/>
    <col min="7945" max="7945" width="16.140625" style="432" customWidth="1"/>
    <col min="7946" max="8192" width="9.140625" style="432"/>
    <col min="8193" max="8193" width="7.5703125" style="432" customWidth="1"/>
    <col min="8194" max="8195" width="9.140625" style="432"/>
    <col min="8196" max="8196" width="5.85546875" style="432" customWidth="1"/>
    <col min="8197" max="8197" width="0.28515625" style="432" customWidth="1"/>
    <col min="8198" max="8198" width="15.85546875" style="432" customWidth="1"/>
    <col min="8199" max="8200" width="16" style="432" customWidth="1"/>
    <col min="8201" max="8201" width="16.140625" style="432" customWidth="1"/>
    <col min="8202" max="8448" width="9.140625" style="432"/>
    <col min="8449" max="8449" width="7.5703125" style="432" customWidth="1"/>
    <col min="8450" max="8451" width="9.140625" style="432"/>
    <col min="8452" max="8452" width="5.85546875" style="432" customWidth="1"/>
    <col min="8453" max="8453" width="0.28515625" style="432" customWidth="1"/>
    <col min="8454" max="8454" width="15.85546875" style="432" customWidth="1"/>
    <col min="8455" max="8456" width="16" style="432" customWidth="1"/>
    <col min="8457" max="8457" width="16.140625" style="432" customWidth="1"/>
    <col min="8458" max="8704" width="9.140625" style="432"/>
    <col min="8705" max="8705" width="7.5703125" style="432" customWidth="1"/>
    <col min="8706" max="8707" width="9.140625" style="432"/>
    <col min="8708" max="8708" width="5.85546875" style="432" customWidth="1"/>
    <col min="8709" max="8709" width="0.28515625" style="432" customWidth="1"/>
    <col min="8710" max="8710" width="15.85546875" style="432" customWidth="1"/>
    <col min="8711" max="8712" width="16" style="432" customWidth="1"/>
    <col min="8713" max="8713" width="16.140625" style="432" customWidth="1"/>
    <col min="8714" max="8960" width="9.140625" style="432"/>
    <col min="8961" max="8961" width="7.5703125" style="432" customWidth="1"/>
    <col min="8962" max="8963" width="9.140625" style="432"/>
    <col min="8964" max="8964" width="5.85546875" style="432" customWidth="1"/>
    <col min="8965" max="8965" width="0.28515625" style="432" customWidth="1"/>
    <col min="8966" max="8966" width="15.85546875" style="432" customWidth="1"/>
    <col min="8967" max="8968" width="16" style="432" customWidth="1"/>
    <col min="8969" max="8969" width="16.140625" style="432" customWidth="1"/>
    <col min="8970" max="9216" width="9.140625" style="432"/>
    <col min="9217" max="9217" width="7.5703125" style="432" customWidth="1"/>
    <col min="9218" max="9219" width="9.140625" style="432"/>
    <col min="9220" max="9220" width="5.85546875" style="432" customWidth="1"/>
    <col min="9221" max="9221" width="0.28515625" style="432" customWidth="1"/>
    <col min="9222" max="9222" width="15.85546875" style="432" customWidth="1"/>
    <col min="9223" max="9224" width="16" style="432" customWidth="1"/>
    <col min="9225" max="9225" width="16.140625" style="432" customWidth="1"/>
    <col min="9226" max="9472" width="9.140625" style="432"/>
    <col min="9473" max="9473" width="7.5703125" style="432" customWidth="1"/>
    <col min="9474" max="9475" width="9.140625" style="432"/>
    <col min="9476" max="9476" width="5.85546875" style="432" customWidth="1"/>
    <col min="9477" max="9477" width="0.28515625" style="432" customWidth="1"/>
    <col min="9478" max="9478" width="15.85546875" style="432" customWidth="1"/>
    <col min="9479" max="9480" width="16" style="432" customWidth="1"/>
    <col min="9481" max="9481" width="16.140625" style="432" customWidth="1"/>
    <col min="9482" max="9728" width="9.140625" style="432"/>
    <col min="9729" max="9729" width="7.5703125" style="432" customWidth="1"/>
    <col min="9730" max="9731" width="9.140625" style="432"/>
    <col min="9732" max="9732" width="5.85546875" style="432" customWidth="1"/>
    <col min="9733" max="9733" width="0.28515625" style="432" customWidth="1"/>
    <col min="9734" max="9734" width="15.85546875" style="432" customWidth="1"/>
    <col min="9735" max="9736" width="16" style="432" customWidth="1"/>
    <col min="9737" max="9737" width="16.140625" style="432" customWidth="1"/>
    <col min="9738" max="9984" width="9.140625" style="432"/>
    <col min="9985" max="9985" width="7.5703125" style="432" customWidth="1"/>
    <col min="9986" max="9987" width="9.140625" style="432"/>
    <col min="9988" max="9988" width="5.85546875" style="432" customWidth="1"/>
    <col min="9989" max="9989" width="0.28515625" style="432" customWidth="1"/>
    <col min="9990" max="9990" width="15.85546875" style="432" customWidth="1"/>
    <col min="9991" max="9992" width="16" style="432" customWidth="1"/>
    <col min="9993" max="9993" width="16.140625" style="432" customWidth="1"/>
    <col min="9994" max="10240" width="9.140625" style="432"/>
    <col min="10241" max="10241" width="7.5703125" style="432" customWidth="1"/>
    <col min="10242" max="10243" width="9.140625" style="432"/>
    <col min="10244" max="10244" width="5.85546875" style="432" customWidth="1"/>
    <col min="10245" max="10245" width="0.28515625" style="432" customWidth="1"/>
    <col min="10246" max="10246" width="15.85546875" style="432" customWidth="1"/>
    <col min="10247" max="10248" width="16" style="432" customWidth="1"/>
    <col min="10249" max="10249" width="16.140625" style="432" customWidth="1"/>
    <col min="10250" max="10496" width="9.140625" style="432"/>
    <col min="10497" max="10497" width="7.5703125" style="432" customWidth="1"/>
    <col min="10498" max="10499" width="9.140625" style="432"/>
    <col min="10500" max="10500" width="5.85546875" style="432" customWidth="1"/>
    <col min="10501" max="10501" width="0.28515625" style="432" customWidth="1"/>
    <col min="10502" max="10502" width="15.85546875" style="432" customWidth="1"/>
    <col min="10503" max="10504" width="16" style="432" customWidth="1"/>
    <col min="10505" max="10505" width="16.140625" style="432" customWidth="1"/>
    <col min="10506" max="10752" width="9.140625" style="432"/>
    <col min="10753" max="10753" width="7.5703125" style="432" customWidth="1"/>
    <col min="10754" max="10755" width="9.140625" style="432"/>
    <col min="10756" max="10756" width="5.85546875" style="432" customWidth="1"/>
    <col min="10757" max="10757" width="0.28515625" style="432" customWidth="1"/>
    <col min="10758" max="10758" width="15.85546875" style="432" customWidth="1"/>
    <col min="10759" max="10760" width="16" style="432" customWidth="1"/>
    <col min="10761" max="10761" width="16.140625" style="432" customWidth="1"/>
    <col min="10762" max="11008" width="9.140625" style="432"/>
    <col min="11009" max="11009" width="7.5703125" style="432" customWidth="1"/>
    <col min="11010" max="11011" width="9.140625" style="432"/>
    <col min="11012" max="11012" width="5.85546875" style="432" customWidth="1"/>
    <col min="11013" max="11013" width="0.28515625" style="432" customWidth="1"/>
    <col min="11014" max="11014" width="15.85546875" style="432" customWidth="1"/>
    <col min="11015" max="11016" width="16" style="432" customWidth="1"/>
    <col min="11017" max="11017" width="16.140625" style="432" customWidth="1"/>
    <col min="11018" max="11264" width="9.140625" style="432"/>
    <col min="11265" max="11265" width="7.5703125" style="432" customWidth="1"/>
    <col min="11266" max="11267" width="9.140625" style="432"/>
    <col min="11268" max="11268" width="5.85546875" style="432" customWidth="1"/>
    <col min="11269" max="11269" width="0.28515625" style="432" customWidth="1"/>
    <col min="11270" max="11270" width="15.85546875" style="432" customWidth="1"/>
    <col min="11271" max="11272" width="16" style="432" customWidth="1"/>
    <col min="11273" max="11273" width="16.140625" style="432" customWidth="1"/>
    <col min="11274" max="11520" width="9.140625" style="432"/>
    <col min="11521" max="11521" width="7.5703125" style="432" customWidth="1"/>
    <col min="11522" max="11523" width="9.140625" style="432"/>
    <col min="11524" max="11524" width="5.85546875" style="432" customWidth="1"/>
    <col min="11525" max="11525" width="0.28515625" style="432" customWidth="1"/>
    <col min="11526" max="11526" width="15.85546875" style="432" customWidth="1"/>
    <col min="11527" max="11528" width="16" style="432" customWidth="1"/>
    <col min="11529" max="11529" width="16.140625" style="432" customWidth="1"/>
    <col min="11530" max="11776" width="9.140625" style="432"/>
    <col min="11777" max="11777" width="7.5703125" style="432" customWidth="1"/>
    <col min="11778" max="11779" width="9.140625" style="432"/>
    <col min="11780" max="11780" width="5.85546875" style="432" customWidth="1"/>
    <col min="11781" max="11781" width="0.28515625" style="432" customWidth="1"/>
    <col min="11782" max="11782" width="15.85546875" style="432" customWidth="1"/>
    <col min="11783" max="11784" width="16" style="432" customWidth="1"/>
    <col min="11785" max="11785" width="16.140625" style="432" customWidth="1"/>
    <col min="11786" max="12032" width="9.140625" style="432"/>
    <col min="12033" max="12033" width="7.5703125" style="432" customWidth="1"/>
    <col min="12034" max="12035" width="9.140625" style="432"/>
    <col min="12036" max="12036" width="5.85546875" style="432" customWidth="1"/>
    <col min="12037" max="12037" width="0.28515625" style="432" customWidth="1"/>
    <col min="12038" max="12038" width="15.85546875" style="432" customWidth="1"/>
    <col min="12039" max="12040" width="16" style="432" customWidth="1"/>
    <col min="12041" max="12041" width="16.140625" style="432" customWidth="1"/>
    <col min="12042" max="12288" width="9.140625" style="432"/>
    <col min="12289" max="12289" width="7.5703125" style="432" customWidth="1"/>
    <col min="12290" max="12291" width="9.140625" style="432"/>
    <col min="12292" max="12292" width="5.85546875" style="432" customWidth="1"/>
    <col min="12293" max="12293" width="0.28515625" style="432" customWidth="1"/>
    <col min="12294" max="12294" width="15.85546875" style="432" customWidth="1"/>
    <col min="12295" max="12296" width="16" style="432" customWidth="1"/>
    <col min="12297" max="12297" width="16.140625" style="432" customWidth="1"/>
    <col min="12298" max="12544" width="9.140625" style="432"/>
    <col min="12545" max="12545" width="7.5703125" style="432" customWidth="1"/>
    <col min="12546" max="12547" width="9.140625" style="432"/>
    <col min="12548" max="12548" width="5.85546875" style="432" customWidth="1"/>
    <col min="12549" max="12549" width="0.28515625" style="432" customWidth="1"/>
    <col min="12550" max="12550" width="15.85546875" style="432" customWidth="1"/>
    <col min="12551" max="12552" width="16" style="432" customWidth="1"/>
    <col min="12553" max="12553" width="16.140625" style="432" customWidth="1"/>
    <col min="12554" max="12800" width="9.140625" style="432"/>
    <col min="12801" max="12801" width="7.5703125" style="432" customWidth="1"/>
    <col min="12802" max="12803" width="9.140625" style="432"/>
    <col min="12804" max="12804" width="5.85546875" style="432" customWidth="1"/>
    <col min="12805" max="12805" width="0.28515625" style="432" customWidth="1"/>
    <col min="12806" max="12806" width="15.85546875" style="432" customWidth="1"/>
    <col min="12807" max="12808" width="16" style="432" customWidth="1"/>
    <col min="12809" max="12809" width="16.140625" style="432" customWidth="1"/>
    <col min="12810" max="13056" width="9.140625" style="432"/>
    <col min="13057" max="13057" width="7.5703125" style="432" customWidth="1"/>
    <col min="13058" max="13059" width="9.140625" style="432"/>
    <col min="13060" max="13060" width="5.85546875" style="432" customWidth="1"/>
    <col min="13061" max="13061" width="0.28515625" style="432" customWidth="1"/>
    <col min="13062" max="13062" width="15.85546875" style="432" customWidth="1"/>
    <col min="13063" max="13064" width="16" style="432" customWidth="1"/>
    <col min="13065" max="13065" width="16.140625" style="432" customWidth="1"/>
    <col min="13066" max="13312" width="9.140625" style="432"/>
    <col min="13313" max="13313" width="7.5703125" style="432" customWidth="1"/>
    <col min="13314" max="13315" width="9.140625" style="432"/>
    <col min="13316" max="13316" width="5.85546875" style="432" customWidth="1"/>
    <col min="13317" max="13317" width="0.28515625" style="432" customWidth="1"/>
    <col min="13318" max="13318" width="15.85546875" style="432" customWidth="1"/>
    <col min="13319" max="13320" width="16" style="432" customWidth="1"/>
    <col min="13321" max="13321" width="16.140625" style="432" customWidth="1"/>
    <col min="13322" max="13568" width="9.140625" style="432"/>
    <col min="13569" max="13569" width="7.5703125" style="432" customWidth="1"/>
    <col min="13570" max="13571" width="9.140625" style="432"/>
    <col min="13572" max="13572" width="5.85546875" style="432" customWidth="1"/>
    <col min="13573" max="13573" width="0.28515625" style="432" customWidth="1"/>
    <col min="13574" max="13574" width="15.85546875" style="432" customWidth="1"/>
    <col min="13575" max="13576" width="16" style="432" customWidth="1"/>
    <col min="13577" max="13577" width="16.140625" style="432" customWidth="1"/>
    <col min="13578" max="13824" width="9.140625" style="432"/>
    <col min="13825" max="13825" width="7.5703125" style="432" customWidth="1"/>
    <col min="13826" max="13827" width="9.140625" style="432"/>
    <col min="13828" max="13828" width="5.85546875" style="432" customWidth="1"/>
    <col min="13829" max="13829" width="0.28515625" style="432" customWidth="1"/>
    <col min="13830" max="13830" width="15.85546875" style="432" customWidth="1"/>
    <col min="13831" max="13832" width="16" style="432" customWidth="1"/>
    <col min="13833" max="13833" width="16.140625" style="432" customWidth="1"/>
    <col min="13834" max="14080" width="9.140625" style="432"/>
    <col min="14081" max="14081" width="7.5703125" style="432" customWidth="1"/>
    <col min="14082" max="14083" width="9.140625" style="432"/>
    <col min="14084" max="14084" width="5.85546875" style="432" customWidth="1"/>
    <col min="14085" max="14085" width="0.28515625" style="432" customWidth="1"/>
    <col min="14086" max="14086" width="15.85546875" style="432" customWidth="1"/>
    <col min="14087" max="14088" width="16" style="432" customWidth="1"/>
    <col min="14089" max="14089" width="16.140625" style="432" customWidth="1"/>
    <col min="14090" max="14336" width="9.140625" style="432"/>
    <col min="14337" max="14337" width="7.5703125" style="432" customWidth="1"/>
    <col min="14338" max="14339" width="9.140625" style="432"/>
    <col min="14340" max="14340" width="5.85546875" style="432" customWidth="1"/>
    <col min="14341" max="14341" width="0.28515625" style="432" customWidth="1"/>
    <col min="14342" max="14342" width="15.85546875" style="432" customWidth="1"/>
    <col min="14343" max="14344" width="16" style="432" customWidth="1"/>
    <col min="14345" max="14345" width="16.140625" style="432" customWidth="1"/>
    <col min="14346" max="14592" width="9.140625" style="432"/>
    <col min="14593" max="14593" width="7.5703125" style="432" customWidth="1"/>
    <col min="14594" max="14595" width="9.140625" style="432"/>
    <col min="14596" max="14596" width="5.85546875" style="432" customWidth="1"/>
    <col min="14597" max="14597" width="0.28515625" style="432" customWidth="1"/>
    <col min="14598" max="14598" width="15.85546875" style="432" customWidth="1"/>
    <col min="14599" max="14600" width="16" style="432" customWidth="1"/>
    <col min="14601" max="14601" width="16.140625" style="432" customWidth="1"/>
    <col min="14602" max="14848" width="9.140625" style="432"/>
    <col min="14849" max="14849" width="7.5703125" style="432" customWidth="1"/>
    <col min="14850" max="14851" width="9.140625" style="432"/>
    <col min="14852" max="14852" width="5.85546875" style="432" customWidth="1"/>
    <col min="14853" max="14853" width="0.28515625" style="432" customWidth="1"/>
    <col min="14854" max="14854" width="15.85546875" style="432" customWidth="1"/>
    <col min="14855" max="14856" width="16" style="432" customWidth="1"/>
    <col min="14857" max="14857" width="16.140625" style="432" customWidth="1"/>
    <col min="14858" max="15104" width="9.140625" style="432"/>
    <col min="15105" max="15105" width="7.5703125" style="432" customWidth="1"/>
    <col min="15106" max="15107" width="9.140625" style="432"/>
    <col min="15108" max="15108" width="5.85546875" style="432" customWidth="1"/>
    <col min="15109" max="15109" width="0.28515625" style="432" customWidth="1"/>
    <col min="15110" max="15110" width="15.85546875" style="432" customWidth="1"/>
    <col min="15111" max="15112" width="16" style="432" customWidth="1"/>
    <col min="15113" max="15113" width="16.140625" style="432" customWidth="1"/>
    <col min="15114" max="15360" width="9.140625" style="432"/>
    <col min="15361" max="15361" width="7.5703125" style="432" customWidth="1"/>
    <col min="15362" max="15363" width="9.140625" style="432"/>
    <col min="15364" max="15364" width="5.85546875" style="432" customWidth="1"/>
    <col min="15365" max="15365" width="0.28515625" style="432" customWidth="1"/>
    <col min="15366" max="15366" width="15.85546875" style="432" customWidth="1"/>
    <col min="15367" max="15368" width="16" style="432" customWidth="1"/>
    <col min="15369" max="15369" width="16.140625" style="432" customWidth="1"/>
    <col min="15370" max="15616" width="9.140625" style="432"/>
    <col min="15617" max="15617" width="7.5703125" style="432" customWidth="1"/>
    <col min="15618" max="15619" width="9.140625" style="432"/>
    <col min="15620" max="15620" width="5.85546875" style="432" customWidth="1"/>
    <col min="15621" max="15621" width="0.28515625" style="432" customWidth="1"/>
    <col min="15622" max="15622" width="15.85546875" style="432" customWidth="1"/>
    <col min="15623" max="15624" width="16" style="432" customWidth="1"/>
    <col min="15625" max="15625" width="16.140625" style="432" customWidth="1"/>
    <col min="15626" max="15872" width="9.140625" style="432"/>
    <col min="15873" max="15873" width="7.5703125" style="432" customWidth="1"/>
    <col min="15874" max="15875" width="9.140625" style="432"/>
    <col min="15876" max="15876" width="5.85546875" style="432" customWidth="1"/>
    <col min="15877" max="15877" width="0.28515625" style="432" customWidth="1"/>
    <col min="15878" max="15878" width="15.85546875" style="432" customWidth="1"/>
    <col min="15879" max="15880" width="16" style="432" customWidth="1"/>
    <col min="15881" max="15881" width="16.140625" style="432" customWidth="1"/>
    <col min="15882" max="16128" width="9.140625" style="432"/>
    <col min="16129" max="16129" width="7.5703125" style="432" customWidth="1"/>
    <col min="16130" max="16131" width="9.140625" style="432"/>
    <col min="16132" max="16132" width="5.85546875" style="432" customWidth="1"/>
    <col min="16133" max="16133" width="0.28515625" style="432" customWidth="1"/>
    <col min="16134" max="16134" width="15.85546875" style="432" customWidth="1"/>
    <col min="16135" max="16136" width="16" style="432" customWidth="1"/>
    <col min="16137" max="16137" width="16.140625" style="432" customWidth="1"/>
    <col min="16138" max="16384" width="9.140625" style="432"/>
  </cols>
  <sheetData>
    <row r="1" spans="2:9" ht="18">
      <c r="B1" s="2080" t="s">
        <v>1520</v>
      </c>
      <c r="C1" s="2080"/>
      <c r="D1" s="2080"/>
      <c r="E1" s="2080"/>
      <c r="F1" s="2080"/>
      <c r="G1" s="2080"/>
      <c r="H1" s="2080"/>
      <c r="I1" s="2080"/>
    </row>
    <row r="2" spans="2:9" ht="18">
      <c r="B2" s="1781"/>
      <c r="C2" s="1781"/>
      <c r="D2" s="1781"/>
      <c r="E2" s="1781"/>
      <c r="F2" s="1781"/>
      <c r="G2" s="1782"/>
      <c r="H2" s="1809"/>
      <c r="I2" s="1809"/>
    </row>
    <row r="3" spans="2:9" ht="18">
      <c r="B3" s="2110" t="s">
        <v>1521</v>
      </c>
      <c r="C3" s="2110"/>
      <c r="D3" s="2110"/>
      <c r="E3" s="2110"/>
      <c r="F3" s="2110"/>
      <c r="G3" s="2110"/>
      <c r="H3" s="1810"/>
      <c r="I3" s="1810"/>
    </row>
    <row r="4" spans="2:9" ht="18">
      <c r="B4" s="2110" t="s">
        <v>1299</v>
      </c>
      <c r="C4" s="2110"/>
      <c r="D4" s="2110"/>
      <c r="E4" s="2110"/>
      <c r="F4" s="2110"/>
      <c r="G4" s="2110"/>
      <c r="H4" s="1811"/>
      <c r="I4" s="1811"/>
    </row>
    <row r="5" spans="2:9" ht="18">
      <c r="B5" s="2110" t="s">
        <v>1522</v>
      </c>
      <c r="C5" s="2110"/>
      <c r="D5" s="2110"/>
      <c r="E5" s="2110"/>
      <c r="F5" s="2110"/>
      <c r="G5" s="2110"/>
      <c r="H5" s="1811"/>
      <c r="I5" s="1811"/>
    </row>
    <row r="6" spans="2:9" ht="18">
      <c r="B6" s="2110" t="s">
        <v>1523</v>
      </c>
      <c r="C6" s="2110"/>
      <c r="D6" s="2110"/>
      <c r="E6" s="2110"/>
      <c r="F6" s="2110"/>
      <c r="G6" s="2110"/>
      <c r="H6" s="1808"/>
      <c r="I6" s="1808"/>
    </row>
    <row r="7" spans="2:9" ht="18">
      <c r="B7" s="2110" t="s">
        <v>1783</v>
      </c>
      <c r="C7" s="2110"/>
      <c r="D7" s="2110"/>
      <c r="E7" s="2110"/>
      <c r="F7" s="2110"/>
      <c r="G7" s="2110"/>
      <c r="H7" s="1808"/>
      <c r="I7" s="1808"/>
    </row>
    <row r="8" spans="2:9" ht="18">
      <c r="B8" s="1783"/>
      <c r="C8" s="1783"/>
      <c r="D8" s="1783"/>
      <c r="E8" s="1783"/>
      <c r="F8" s="1781"/>
      <c r="G8" s="1781"/>
      <c r="H8" s="1808"/>
      <c r="I8" s="1808"/>
    </row>
    <row r="9" spans="2:9" ht="18">
      <c r="B9" s="1783"/>
      <c r="C9" s="1783"/>
      <c r="D9" s="1783"/>
      <c r="E9" s="1783"/>
      <c r="F9" s="1781"/>
      <c r="G9" s="1781"/>
      <c r="H9" s="1808"/>
      <c r="I9" s="1808"/>
    </row>
    <row r="10" spans="2:9" ht="18">
      <c r="B10" s="1783"/>
      <c r="C10" s="1783"/>
      <c r="D10" s="1783"/>
      <c r="E10" s="1783"/>
      <c r="F10" s="1781"/>
      <c r="G10" s="1781"/>
      <c r="H10" s="1808"/>
      <c r="I10" s="1808"/>
    </row>
    <row r="11" spans="2:9" ht="18">
      <c r="B11" s="2087" t="s">
        <v>1301</v>
      </c>
      <c r="C11" s="2087"/>
      <c r="D11" s="2087"/>
      <c r="E11" s="2087"/>
      <c r="F11" s="2087"/>
      <c r="G11" s="2087"/>
      <c r="H11" s="2087"/>
      <c r="I11" s="2087"/>
    </row>
    <row r="12" spans="2:9" ht="15.75">
      <c r="B12" s="1787"/>
      <c r="C12" s="1788"/>
      <c r="D12" s="1788"/>
      <c r="E12" s="1788"/>
      <c r="F12" s="1788"/>
      <c r="G12" s="1787"/>
      <c r="H12" s="1808"/>
      <c r="I12" s="1808"/>
    </row>
    <row r="13" spans="2:9" ht="15.75">
      <c r="B13" s="2140" t="s">
        <v>1302</v>
      </c>
      <c r="C13" s="2106" t="s">
        <v>0</v>
      </c>
      <c r="D13" s="2106"/>
      <c r="E13" s="2106"/>
      <c r="F13" s="2137" t="s">
        <v>1303</v>
      </c>
      <c r="G13" s="2137"/>
      <c r="H13" s="2143" t="s">
        <v>1304</v>
      </c>
      <c r="I13" s="2144"/>
    </row>
    <row r="14" spans="2:9" ht="15.75">
      <c r="B14" s="2103"/>
      <c r="C14" s="2106"/>
      <c r="D14" s="2106"/>
      <c r="E14" s="2106"/>
      <c r="F14" s="1813" t="s">
        <v>1305</v>
      </c>
      <c r="G14" s="1813" t="s">
        <v>1306</v>
      </c>
      <c r="H14" s="1813" t="s">
        <v>1305</v>
      </c>
      <c r="I14" s="1814" t="s">
        <v>1306</v>
      </c>
    </row>
    <row r="15" spans="2:9" ht="15.75">
      <c r="B15" s="2141"/>
      <c r="C15" s="2106"/>
      <c r="D15" s="2106"/>
      <c r="E15" s="2106"/>
      <c r="F15" s="1832" t="s">
        <v>1307</v>
      </c>
      <c r="G15" s="1832" t="s">
        <v>1308</v>
      </c>
      <c r="H15" s="1832" t="s">
        <v>1307</v>
      </c>
      <c r="I15" s="1833" t="s">
        <v>1308</v>
      </c>
    </row>
    <row r="16" spans="2:9" ht="15.75">
      <c r="B16" s="1821"/>
      <c r="C16" s="2138" t="s">
        <v>1309</v>
      </c>
      <c r="D16" s="2139"/>
      <c r="E16" s="2139"/>
      <c r="F16" s="1812"/>
      <c r="G16" s="1818"/>
      <c r="H16" s="1819"/>
      <c r="I16" s="1820"/>
    </row>
    <row r="17" spans="2:9" ht="15.75">
      <c r="B17" s="1821">
        <v>1</v>
      </c>
      <c r="C17" s="2096" t="s">
        <v>1310</v>
      </c>
      <c r="D17" s="2096"/>
      <c r="E17" s="2096"/>
      <c r="F17" s="1822">
        <v>465036.33</v>
      </c>
      <c r="G17" s="1822">
        <f>'OR and Delivery'!I16</f>
        <v>191974.39367999998</v>
      </c>
      <c r="H17" s="1823">
        <f t="shared" ref="H17:H31" si="0">F17</f>
        <v>465036.33</v>
      </c>
      <c r="I17" s="1824">
        <f>G17</f>
        <v>191974.39367999998</v>
      </c>
    </row>
    <row r="18" spans="2:9" ht="15.75">
      <c r="B18" s="1821">
        <v>2</v>
      </c>
      <c r="C18" s="2096" t="s">
        <v>1311</v>
      </c>
      <c r="D18" s="2096"/>
      <c r="E18" s="2096"/>
      <c r="F18" s="1822">
        <v>717946</v>
      </c>
      <c r="G18" s="1822">
        <f>'OR and Delivery'!I31</f>
        <v>619177.36065000005</v>
      </c>
      <c r="H18" s="1823">
        <f t="shared" si="0"/>
        <v>717946</v>
      </c>
      <c r="I18" s="1824">
        <f>G18</f>
        <v>619177.36065000005</v>
      </c>
    </row>
    <row r="19" spans="2:9" ht="15.75">
      <c r="B19" s="1821">
        <v>3</v>
      </c>
      <c r="C19" s="2096" t="s">
        <v>1312</v>
      </c>
      <c r="D19" s="2096"/>
      <c r="E19" s="2096"/>
      <c r="F19" s="1822">
        <v>349050</v>
      </c>
      <c r="G19" s="1822">
        <f>'OR and Delivery'!I35</f>
        <v>61514.48000000001</v>
      </c>
      <c r="H19" s="1823">
        <f t="shared" si="0"/>
        <v>349050</v>
      </c>
      <c r="I19" s="1824">
        <f>G19</f>
        <v>61514.48000000001</v>
      </c>
    </row>
    <row r="20" spans="2:9" ht="15.75">
      <c r="B20" s="1821"/>
      <c r="C20" s="2090" t="s">
        <v>1313</v>
      </c>
      <c r="D20" s="2091"/>
      <c r="E20" s="2091"/>
      <c r="F20" s="1822">
        <f>SUM(F17:F19)</f>
        <v>1532032.33</v>
      </c>
      <c r="G20" s="1822">
        <f>SUM(G17:G19)</f>
        <v>872666.23433000001</v>
      </c>
      <c r="H20" s="1822">
        <f>SUM(H17:H19)</f>
        <v>1532032.33</v>
      </c>
      <c r="I20" s="1824">
        <f>SUM(I17:I19)</f>
        <v>872666.23433000001</v>
      </c>
    </row>
    <row r="21" spans="2:9" ht="15.75">
      <c r="B21" s="1821"/>
      <c r="C21" s="2099" t="s">
        <v>1314</v>
      </c>
      <c r="D21" s="2099"/>
      <c r="E21" s="2099"/>
      <c r="F21" s="1822"/>
      <c r="G21" s="1822"/>
      <c r="H21" s="1823"/>
      <c r="I21" s="1824"/>
    </row>
    <row r="22" spans="2:9" ht="15.75">
      <c r="B22" s="1821">
        <v>1</v>
      </c>
      <c r="C22" s="2096" t="s">
        <v>1311</v>
      </c>
      <c r="D22" s="2096"/>
      <c r="E22" s="2096"/>
      <c r="F22" s="1822">
        <v>272040</v>
      </c>
      <c r="G22" s="1822">
        <f>'OR and Delivery'!I50</f>
        <v>247644.56743999998</v>
      </c>
      <c r="H22" s="1823">
        <f t="shared" si="0"/>
        <v>272040</v>
      </c>
      <c r="I22" s="1824">
        <f t="shared" ref="I22:I31" si="1">G22</f>
        <v>247644.56743999998</v>
      </c>
    </row>
    <row r="23" spans="2:9" ht="15.75">
      <c r="B23" s="1821">
        <v>2</v>
      </c>
      <c r="C23" s="2100" t="s">
        <v>1594</v>
      </c>
      <c r="D23" s="2101"/>
      <c r="E23" s="2101"/>
      <c r="F23" s="1822">
        <v>282040</v>
      </c>
      <c r="G23" s="1822">
        <f>'OR and Delivery'!I54</f>
        <v>295896.56</v>
      </c>
      <c r="H23" s="1823">
        <f t="shared" si="0"/>
        <v>282040</v>
      </c>
      <c r="I23" s="1824">
        <f t="shared" si="1"/>
        <v>295896.56</v>
      </c>
    </row>
    <row r="24" spans="2:9" ht="15.75">
      <c r="B24" s="1821">
        <v>3</v>
      </c>
      <c r="C24" s="2096" t="s">
        <v>1316</v>
      </c>
      <c r="D24" s="2096"/>
      <c r="E24" s="2096"/>
      <c r="F24" s="1822">
        <v>397710.4</v>
      </c>
      <c r="G24" s="1822">
        <f>'OR and Delivery'!I60</f>
        <v>307927.39999999997</v>
      </c>
      <c r="H24" s="1823">
        <f t="shared" si="0"/>
        <v>397710.4</v>
      </c>
      <c r="I24" s="1824">
        <f t="shared" si="1"/>
        <v>307927.39999999997</v>
      </c>
    </row>
    <row r="25" spans="2:9" ht="15.75">
      <c r="B25" s="1821">
        <v>4</v>
      </c>
      <c r="C25" s="2096" t="s">
        <v>1595</v>
      </c>
      <c r="D25" s="2096"/>
      <c r="E25" s="2096"/>
      <c r="F25" s="1822">
        <v>191374.17</v>
      </c>
      <c r="G25" s="1822">
        <f>'OR and Delivery'!I73</f>
        <v>260458.57</v>
      </c>
      <c r="H25" s="1823">
        <f t="shared" si="0"/>
        <v>191374.17</v>
      </c>
      <c r="I25" s="1824">
        <f t="shared" si="1"/>
        <v>260458.57</v>
      </c>
    </row>
    <row r="26" spans="2:9" ht="15.75">
      <c r="B26" s="1821">
        <v>5</v>
      </c>
      <c r="C26" s="2096" t="s">
        <v>1318</v>
      </c>
      <c r="D26" s="2096"/>
      <c r="E26" s="2096"/>
      <c r="F26" s="1822">
        <v>184915.5</v>
      </c>
      <c r="G26" s="1822">
        <f>'OR and Delivery'!I86</f>
        <v>148269</v>
      </c>
      <c r="H26" s="1823">
        <f t="shared" si="0"/>
        <v>184915.5</v>
      </c>
      <c r="I26" s="1824">
        <f t="shared" si="1"/>
        <v>148269</v>
      </c>
    </row>
    <row r="27" spans="2:9" ht="15.75">
      <c r="B27" s="1821">
        <v>6</v>
      </c>
      <c r="C27" s="2096" t="s">
        <v>1319</v>
      </c>
      <c r="D27" s="2096"/>
      <c r="E27" s="2096"/>
      <c r="F27" s="1822">
        <v>1044597</v>
      </c>
      <c r="G27" s="1822">
        <f>'OR and Delivery'!I98</f>
        <v>764489.995</v>
      </c>
      <c r="H27" s="1823">
        <f t="shared" si="0"/>
        <v>1044597</v>
      </c>
      <c r="I27" s="1824">
        <f t="shared" si="1"/>
        <v>764489.995</v>
      </c>
    </row>
    <row r="28" spans="2:9" ht="15.75">
      <c r="B28" s="1821">
        <v>7</v>
      </c>
      <c r="C28" s="1825" t="s">
        <v>1320</v>
      </c>
      <c r="D28" s="1826"/>
      <c r="E28" s="1826"/>
      <c r="F28" s="1822">
        <v>82656</v>
      </c>
      <c r="G28" s="1822">
        <f>'OR and Delivery'!I103</f>
        <v>43825.519733333342</v>
      </c>
      <c r="H28" s="1823">
        <f t="shared" si="0"/>
        <v>82656</v>
      </c>
      <c r="I28" s="1824">
        <f t="shared" si="1"/>
        <v>43825.519733333342</v>
      </c>
    </row>
    <row r="29" spans="2:9" ht="15.75">
      <c r="B29" s="1821">
        <v>8</v>
      </c>
      <c r="C29" s="1825" t="s">
        <v>1321</v>
      </c>
      <c r="D29" s="1826"/>
      <c r="E29" s="1826"/>
      <c r="F29" s="1822">
        <v>15730</v>
      </c>
      <c r="G29" s="1822"/>
      <c r="H29" s="1823">
        <f t="shared" si="0"/>
        <v>15730</v>
      </c>
      <c r="I29" s="1824"/>
    </row>
    <row r="30" spans="2:9" ht="15.75">
      <c r="B30" s="1821">
        <v>9</v>
      </c>
      <c r="C30" s="1825" t="s">
        <v>1322</v>
      </c>
      <c r="D30" s="1826"/>
      <c r="E30" s="1826"/>
      <c r="F30" s="1822">
        <v>95535</v>
      </c>
      <c r="G30" s="1822">
        <f>'OR and Delivery'!I118</f>
        <v>27385.9</v>
      </c>
      <c r="H30" s="1823">
        <f t="shared" si="0"/>
        <v>95535</v>
      </c>
      <c r="I30" s="1824">
        <f t="shared" si="1"/>
        <v>27385.9</v>
      </c>
    </row>
    <row r="31" spans="2:9" ht="15.75">
      <c r="B31" s="1821">
        <v>10</v>
      </c>
      <c r="C31" s="1825" t="s">
        <v>1323</v>
      </c>
      <c r="D31" s="1826"/>
      <c r="E31" s="1826"/>
      <c r="F31" s="1822">
        <v>266980.43</v>
      </c>
      <c r="G31" s="1822">
        <f>'OR and Delivery'!I152</f>
        <v>169753.75</v>
      </c>
      <c r="H31" s="1823">
        <f t="shared" si="0"/>
        <v>266980.43</v>
      </c>
      <c r="I31" s="1824">
        <f t="shared" si="1"/>
        <v>169753.75</v>
      </c>
    </row>
    <row r="32" spans="2:9" ht="15.75">
      <c r="B32" s="1821"/>
      <c r="C32" s="2090" t="s">
        <v>1324</v>
      </c>
      <c r="D32" s="2091"/>
      <c r="E32" s="2091"/>
      <c r="F32" s="1822">
        <f>SUM(F22:F31)</f>
        <v>2833578.5000000005</v>
      </c>
      <c r="G32" s="1822">
        <f>SUM(G22:G31)</f>
        <v>2265651.2621733332</v>
      </c>
      <c r="H32" s="1823">
        <f>SUM(H22:H31)</f>
        <v>2833578.5000000005</v>
      </c>
      <c r="I32" s="1824">
        <f>SUM(I21:I31)</f>
        <v>2265651.2621733332</v>
      </c>
    </row>
    <row r="33" spans="2:9" ht="16.5" thickBot="1">
      <c r="B33" s="1828"/>
      <c r="C33" s="1834" t="s">
        <v>1325</v>
      </c>
      <c r="D33" s="1835"/>
      <c r="E33" s="1835"/>
      <c r="F33" s="1836">
        <f>F20+F32</f>
        <v>4365610.83</v>
      </c>
      <c r="G33" s="1836">
        <f>G20+G32</f>
        <v>3138317.4965033331</v>
      </c>
      <c r="H33" s="1829">
        <f>H20+H32</f>
        <v>4365610.83</v>
      </c>
      <c r="I33" s="1837">
        <f>I20+I32</f>
        <v>3138317.4965033331</v>
      </c>
    </row>
    <row r="34" spans="2:9" ht="13.5" thickTop="1">
      <c r="B34" s="1808"/>
      <c r="C34" s="1808"/>
      <c r="D34" s="1808"/>
      <c r="E34" s="1808"/>
      <c r="F34" s="1808"/>
      <c r="G34" s="1808"/>
      <c r="H34" s="1808"/>
      <c r="I34" s="1808"/>
    </row>
    <row r="35" spans="2:9">
      <c r="B35" s="1838"/>
      <c r="C35" s="1838"/>
      <c r="D35" s="1838"/>
      <c r="E35" s="1838"/>
      <c r="F35" s="1838"/>
      <c r="G35" s="1838"/>
      <c r="H35" s="1838"/>
      <c r="I35" s="1808"/>
    </row>
    <row r="36" spans="2:9">
      <c r="B36" s="2145"/>
      <c r="C36" s="2145"/>
      <c r="D36" s="2145"/>
      <c r="E36" s="2145"/>
      <c r="F36" s="2145"/>
      <c r="G36" s="2145"/>
      <c r="H36" s="2145"/>
      <c r="I36" s="2145"/>
    </row>
    <row r="37" spans="2:9">
      <c r="B37" s="1838" t="s">
        <v>1326</v>
      </c>
      <c r="C37" s="1838"/>
      <c r="D37" s="1838"/>
      <c r="E37" s="1838"/>
      <c r="F37" s="1838"/>
      <c r="G37" s="1838"/>
      <c r="H37" s="1838"/>
      <c r="I37" s="1808"/>
    </row>
    <row r="38" spans="2:9">
      <c r="B38" s="1838" t="s">
        <v>3532</v>
      </c>
      <c r="C38" s="1838"/>
      <c r="D38" s="1838"/>
      <c r="E38" s="1838"/>
      <c r="F38" s="1838"/>
      <c r="G38" s="1839"/>
      <c r="H38" s="1838"/>
      <c r="I38" s="1808"/>
    </row>
    <row r="39" spans="2:9">
      <c r="B39" s="1838"/>
      <c r="C39" s="1838"/>
      <c r="D39" s="1838"/>
      <c r="E39" s="1838"/>
      <c r="F39" s="1838"/>
      <c r="G39" s="1839"/>
      <c r="H39" s="1838"/>
      <c r="I39" s="1808"/>
    </row>
    <row r="40" spans="2:9">
      <c r="B40" s="1838"/>
      <c r="C40" s="1838"/>
      <c r="D40" s="1838"/>
      <c r="E40" s="1838"/>
      <c r="F40" s="1838"/>
      <c r="G40" s="1839"/>
      <c r="H40" s="1838"/>
      <c r="I40" s="1808"/>
    </row>
    <row r="41" spans="2:9">
      <c r="B41" s="1838"/>
      <c r="C41" s="1838"/>
      <c r="D41" s="1838"/>
      <c r="E41" s="1838"/>
      <c r="F41" s="1838"/>
      <c r="G41" s="1839"/>
      <c r="H41" s="1838"/>
      <c r="I41" s="1808"/>
    </row>
    <row r="42" spans="2:9">
      <c r="B42" s="1838"/>
      <c r="C42" s="1838"/>
      <c r="D42" s="1838"/>
      <c r="E42" s="1838"/>
      <c r="F42" s="1838"/>
      <c r="G42" s="1839"/>
      <c r="H42" s="1838"/>
      <c r="I42" s="1808"/>
    </row>
    <row r="43" spans="2:9">
      <c r="B43" s="1838"/>
      <c r="C43" s="1838"/>
      <c r="D43" s="1838"/>
      <c r="E43" s="1838"/>
      <c r="F43" s="1838"/>
      <c r="G43" s="1839"/>
      <c r="H43" s="1838"/>
      <c r="I43" s="1808"/>
    </row>
    <row r="44" spans="2:9">
      <c r="B44" s="1838"/>
      <c r="C44" s="1838"/>
      <c r="D44" s="1838"/>
      <c r="E44" s="1838"/>
      <c r="F44" s="1838"/>
      <c r="G44" s="1839"/>
      <c r="H44" s="1838"/>
      <c r="I44" s="1808"/>
    </row>
    <row r="45" spans="2:9">
      <c r="B45" s="1808"/>
      <c r="C45" s="1808"/>
      <c r="D45" s="1808"/>
      <c r="E45" s="1808"/>
      <c r="F45" s="1808"/>
      <c r="G45" s="1808"/>
      <c r="H45" s="1808"/>
      <c r="I45" s="1808"/>
    </row>
    <row r="46" spans="2:9">
      <c r="B46" s="1808"/>
      <c r="C46" s="1808"/>
      <c r="D46" s="1808"/>
      <c r="E46" s="1808"/>
      <c r="F46" s="1808"/>
      <c r="G46" s="1808"/>
      <c r="H46" s="1808"/>
      <c r="I46" s="1808"/>
    </row>
    <row r="47" spans="2:9">
      <c r="B47" s="1808"/>
      <c r="C47" s="1808"/>
      <c r="D47" s="1808"/>
      <c r="E47" s="1808"/>
      <c r="F47" s="1808"/>
      <c r="G47" s="1808"/>
      <c r="H47" s="1808"/>
      <c r="I47" s="1808"/>
    </row>
    <row r="48" spans="2:9">
      <c r="B48" s="1808" t="s">
        <v>1327</v>
      </c>
      <c r="C48" s="1808"/>
      <c r="D48" s="1808"/>
      <c r="E48" s="2142" t="s">
        <v>1328</v>
      </c>
      <c r="F48" s="2142"/>
      <c r="G48" s="2142"/>
      <c r="H48" s="2142" t="s">
        <v>1329</v>
      </c>
      <c r="I48" s="2142"/>
    </row>
  </sheetData>
  <mergeCells count="27">
    <mergeCell ref="H48:I48"/>
    <mergeCell ref="H13:I13"/>
    <mergeCell ref="B1:I1"/>
    <mergeCell ref="B3:G3"/>
    <mergeCell ref="B4:G4"/>
    <mergeCell ref="B5:G5"/>
    <mergeCell ref="B6:G6"/>
    <mergeCell ref="B7:G7"/>
    <mergeCell ref="B11:I11"/>
    <mergeCell ref="C32:E32"/>
    <mergeCell ref="B36:I36"/>
    <mergeCell ref="E48:G48"/>
    <mergeCell ref="C22:E22"/>
    <mergeCell ref="C23:E23"/>
    <mergeCell ref="C24:E24"/>
    <mergeCell ref="C25:E25"/>
    <mergeCell ref="C26:E26"/>
    <mergeCell ref="C27:E27"/>
    <mergeCell ref="C21:E21"/>
    <mergeCell ref="B13:B15"/>
    <mergeCell ref="C13:E15"/>
    <mergeCell ref="C20:E20"/>
    <mergeCell ref="F13:G13"/>
    <mergeCell ref="C16:E16"/>
    <mergeCell ref="C17:E17"/>
    <mergeCell ref="C18:E18"/>
    <mergeCell ref="C19:E19"/>
  </mergeCells>
  <pageMargins left="0.7" right="0.45" top="1" bottom="0.75" header="0.3" footer="0.3"/>
  <pageSetup scale="8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0000"/>
  </sheetPr>
  <dimension ref="B1:Q304"/>
  <sheetViews>
    <sheetView view="pageBreakPreview" zoomScaleSheetLayoutView="100" workbookViewId="0">
      <selection activeCell="H91" sqref="H91"/>
    </sheetView>
  </sheetViews>
  <sheetFormatPr defaultRowHeight="15.75" customHeight="1"/>
  <cols>
    <col min="1" max="1" width="2.5703125" style="1288" customWidth="1"/>
    <col min="2" max="2" width="7" style="1308" customWidth="1"/>
    <col min="3" max="3" width="46.42578125" style="1307" customWidth="1"/>
    <col min="4" max="4" width="7.140625" style="1308" customWidth="1"/>
    <col min="5" max="6" width="9" style="1308" bestFit="1" customWidth="1"/>
    <col min="7" max="7" width="13.140625" style="1308" bestFit="1" customWidth="1"/>
    <col min="8" max="8" width="9" style="1303" bestFit="1" customWidth="1"/>
    <col min="9" max="9" width="11.28515625" style="1310" bestFit="1" customWidth="1"/>
    <col min="10" max="10" width="1.28515625" style="1288" customWidth="1"/>
    <col min="11" max="11" width="19.7109375" style="1307" customWidth="1"/>
    <col min="12" max="17" width="9.140625" style="1307"/>
    <col min="18" max="256" width="9.140625" style="1288"/>
    <col min="257" max="257" width="6.5703125" style="1288" customWidth="1"/>
    <col min="258" max="258" width="40.7109375" style="1288" customWidth="1"/>
    <col min="259" max="259" width="7.140625" style="1288" customWidth="1"/>
    <col min="260" max="260" width="0" style="1288" hidden="1" customWidth="1"/>
    <col min="261" max="261" width="11.140625" style="1288" customWidth="1"/>
    <col min="262" max="262" width="9.85546875" style="1288" customWidth="1"/>
    <col min="263" max="263" width="11.7109375" style="1288" customWidth="1"/>
    <col min="264" max="264" width="10.42578125" style="1288" customWidth="1"/>
    <col min="265" max="265" width="13.5703125" style="1288" customWidth="1"/>
    <col min="266" max="266" width="13.42578125" style="1288" customWidth="1"/>
    <col min="267" max="267" width="9.85546875" style="1288" bestFit="1" customWidth="1"/>
    <col min="268" max="512" width="9.140625" style="1288"/>
    <col min="513" max="513" width="6.5703125" style="1288" customWidth="1"/>
    <col min="514" max="514" width="40.7109375" style="1288" customWidth="1"/>
    <col min="515" max="515" width="7.140625" style="1288" customWidth="1"/>
    <col min="516" max="516" width="0" style="1288" hidden="1" customWidth="1"/>
    <col min="517" max="517" width="11.140625" style="1288" customWidth="1"/>
    <col min="518" max="518" width="9.85546875" style="1288" customWidth="1"/>
    <col min="519" max="519" width="11.7109375" style="1288" customWidth="1"/>
    <col min="520" max="520" width="10.42578125" style="1288" customWidth="1"/>
    <col min="521" max="521" width="13.5703125" style="1288" customWidth="1"/>
    <col min="522" max="522" width="13.42578125" style="1288" customWidth="1"/>
    <col min="523" max="523" width="9.85546875" style="1288" bestFit="1" customWidth="1"/>
    <col min="524" max="768" width="9.140625" style="1288"/>
    <col min="769" max="769" width="6.5703125" style="1288" customWidth="1"/>
    <col min="770" max="770" width="40.7109375" style="1288" customWidth="1"/>
    <col min="771" max="771" width="7.140625" style="1288" customWidth="1"/>
    <col min="772" max="772" width="0" style="1288" hidden="1" customWidth="1"/>
    <col min="773" max="773" width="11.140625" style="1288" customWidth="1"/>
    <col min="774" max="774" width="9.85546875" style="1288" customWidth="1"/>
    <col min="775" max="775" width="11.7109375" style="1288" customWidth="1"/>
    <col min="776" max="776" width="10.42578125" style="1288" customWidth="1"/>
    <col min="777" max="777" width="13.5703125" style="1288" customWidth="1"/>
    <col min="778" max="778" width="13.42578125" style="1288" customWidth="1"/>
    <col min="779" max="779" width="9.85546875" style="1288" bestFit="1" customWidth="1"/>
    <col min="780" max="1024" width="9.140625" style="1288"/>
    <col min="1025" max="1025" width="6.5703125" style="1288" customWidth="1"/>
    <col min="1026" max="1026" width="40.7109375" style="1288" customWidth="1"/>
    <col min="1027" max="1027" width="7.140625" style="1288" customWidth="1"/>
    <col min="1028" max="1028" width="0" style="1288" hidden="1" customWidth="1"/>
    <col min="1029" max="1029" width="11.140625" style="1288" customWidth="1"/>
    <col min="1030" max="1030" width="9.85546875" style="1288" customWidth="1"/>
    <col min="1031" max="1031" width="11.7109375" style="1288" customWidth="1"/>
    <col min="1032" max="1032" width="10.42578125" style="1288" customWidth="1"/>
    <col min="1033" max="1033" width="13.5703125" style="1288" customWidth="1"/>
    <col min="1034" max="1034" width="13.42578125" style="1288" customWidth="1"/>
    <col min="1035" max="1035" width="9.85546875" style="1288" bestFit="1" customWidth="1"/>
    <col min="1036" max="1280" width="9.140625" style="1288"/>
    <col min="1281" max="1281" width="6.5703125" style="1288" customWidth="1"/>
    <col min="1282" max="1282" width="40.7109375" style="1288" customWidth="1"/>
    <col min="1283" max="1283" width="7.140625" style="1288" customWidth="1"/>
    <col min="1284" max="1284" width="0" style="1288" hidden="1" customWidth="1"/>
    <col min="1285" max="1285" width="11.140625" style="1288" customWidth="1"/>
    <col min="1286" max="1286" width="9.85546875" style="1288" customWidth="1"/>
    <col min="1287" max="1287" width="11.7109375" style="1288" customWidth="1"/>
    <col min="1288" max="1288" width="10.42578125" style="1288" customWidth="1"/>
    <col min="1289" max="1289" width="13.5703125" style="1288" customWidth="1"/>
    <col min="1290" max="1290" width="13.42578125" style="1288" customWidth="1"/>
    <col min="1291" max="1291" width="9.85546875" style="1288" bestFit="1" customWidth="1"/>
    <col min="1292" max="1536" width="9.140625" style="1288"/>
    <col min="1537" max="1537" width="6.5703125" style="1288" customWidth="1"/>
    <col min="1538" max="1538" width="40.7109375" style="1288" customWidth="1"/>
    <col min="1539" max="1539" width="7.140625" style="1288" customWidth="1"/>
    <col min="1540" max="1540" width="0" style="1288" hidden="1" customWidth="1"/>
    <col min="1541" max="1541" width="11.140625" style="1288" customWidth="1"/>
    <col min="1542" max="1542" width="9.85546875" style="1288" customWidth="1"/>
    <col min="1543" max="1543" width="11.7109375" style="1288" customWidth="1"/>
    <col min="1544" max="1544" width="10.42578125" style="1288" customWidth="1"/>
    <col min="1545" max="1545" width="13.5703125" style="1288" customWidth="1"/>
    <col min="1546" max="1546" width="13.42578125" style="1288" customWidth="1"/>
    <col min="1547" max="1547" width="9.85546875" style="1288" bestFit="1" customWidth="1"/>
    <col min="1548" max="1792" width="9.140625" style="1288"/>
    <col min="1793" max="1793" width="6.5703125" style="1288" customWidth="1"/>
    <col min="1794" max="1794" width="40.7109375" style="1288" customWidth="1"/>
    <col min="1795" max="1795" width="7.140625" style="1288" customWidth="1"/>
    <col min="1796" max="1796" width="0" style="1288" hidden="1" customWidth="1"/>
    <col min="1797" max="1797" width="11.140625" style="1288" customWidth="1"/>
    <col min="1798" max="1798" width="9.85546875" style="1288" customWidth="1"/>
    <col min="1799" max="1799" width="11.7109375" style="1288" customWidth="1"/>
    <col min="1800" max="1800" width="10.42578125" style="1288" customWidth="1"/>
    <col min="1801" max="1801" width="13.5703125" style="1288" customWidth="1"/>
    <col min="1802" max="1802" width="13.42578125" style="1288" customWidth="1"/>
    <col min="1803" max="1803" width="9.85546875" style="1288" bestFit="1" customWidth="1"/>
    <col min="1804" max="2048" width="9.140625" style="1288"/>
    <col min="2049" max="2049" width="6.5703125" style="1288" customWidth="1"/>
    <col min="2050" max="2050" width="40.7109375" style="1288" customWidth="1"/>
    <col min="2051" max="2051" width="7.140625" style="1288" customWidth="1"/>
    <col min="2052" max="2052" width="0" style="1288" hidden="1" customWidth="1"/>
    <col min="2053" max="2053" width="11.140625" style="1288" customWidth="1"/>
    <col min="2054" max="2054" width="9.85546875" style="1288" customWidth="1"/>
    <col min="2055" max="2055" width="11.7109375" style="1288" customWidth="1"/>
    <col min="2056" max="2056" width="10.42578125" style="1288" customWidth="1"/>
    <col min="2057" max="2057" width="13.5703125" style="1288" customWidth="1"/>
    <col min="2058" max="2058" width="13.42578125" style="1288" customWidth="1"/>
    <col min="2059" max="2059" width="9.85546875" style="1288" bestFit="1" customWidth="1"/>
    <col min="2060" max="2304" width="9.140625" style="1288"/>
    <col min="2305" max="2305" width="6.5703125" style="1288" customWidth="1"/>
    <col min="2306" max="2306" width="40.7109375" style="1288" customWidth="1"/>
    <col min="2307" max="2307" width="7.140625" style="1288" customWidth="1"/>
    <col min="2308" max="2308" width="0" style="1288" hidden="1" customWidth="1"/>
    <col min="2309" max="2309" width="11.140625" style="1288" customWidth="1"/>
    <col min="2310" max="2310" width="9.85546875" style="1288" customWidth="1"/>
    <col min="2311" max="2311" width="11.7109375" style="1288" customWidth="1"/>
    <col min="2312" max="2312" width="10.42578125" style="1288" customWidth="1"/>
    <col min="2313" max="2313" width="13.5703125" style="1288" customWidth="1"/>
    <col min="2314" max="2314" width="13.42578125" style="1288" customWidth="1"/>
    <col min="2315" max="2315" width="9.85546875" style="1288" bestFit="1" customWidth="1"/>
    <col min="2316" max="2560" width="9.140625" style="1288"/>
    <col min="2561" max="2561" width="6.5703125" style="1288" customWidth="1"/>
    <col min="2562" max="2562" width="40.7109375" style="1288" customWidth="1"/>
    <col min="2563" max="2563" width="7.140625" style="1288" customWidth="1"/>
    <col min="2564" max="2564" width="0" style="1288" hidden="1" customWidth="1"/>
    <col min="2565" max="2565" width="11.140625" style="1288" customWidth="1"/>
    <col min="2566" max="2566" width="9.85546875" style="1288" customWidth="1"/>
    <col min="2567" max="2567" width="11.7109375" style="1288" customWidth="1"/>
    <col min="2568" max="2568" width="10.42578125" style="1288" customWidth="1"/>
    <col min="2569" max="2569" width="13.5703125" style="1288" customWidth="1"/>
    <col min="2570" max="2570" width="13.42578125" style="1288" customWidth="1"/>
    <col min="2571" max="2571" width="9.85546875" style="1288" bestFit="1" customWidth="1"/>
    <col min="2572" max="2816" width="9.140625" style="1288"/>
    <col min="2817" max="2817" width="6.5703125" style="1288" customWidth="1"/>
    <col min="2818" max="2818" width="40.7109375" style="1288" customWidth="1"/>
    <col min="2819" max="2819" width="7.140625" style="1288" customWidth="1"/>
    <col min="2820" max="2820" width="0" style="1288" hidden="1" customWidth="1"/>
    <col min="2821" max="2821" width="11.140625" style="1288" customWidth="1"/>
    <col min="2822" max="2822" width="9.85546875" style="1288" customWidth="1"/>
    <col min="2823" max="2823" width="11.7109375" style="1288" customWidth="1"/>
    <col min="2824" max="2824" width="10.42578125" style="1288" customWidth="1"/>
    <col min="2825" max="2825" width="13.5703125" style="1288" customWidth="1"/>
    <col min="2826" max="2826" width="13.42578125" style="1288" customWidth="1"/>
    <col min="2827" max="2827" width="9.85546875" style="1288" bestFit="1" customWidth="1"/>
    <col min="2828" max="3072" width="9.140625" style="1288"/>
    <col min="3073" max="3073" width="6.5703125" style="1288" customWidth="1"/>
    <col min="3074" max="3074" width="40.7109375" style="1288" customWidth="1"/>
    <col min="3075" max="3075" width="7.140625" style="1288" customWidth="1"/>
    <col min="3076" max="3076" width="0" style="1288" hidden="1" customWidth="1"/>
    <col min="3077" max="3077" width="11.140625" style="1288" customWidth="1"/>
    <col min="3078" max="3078" width="9.85546875" style="1288" customWidth="1"/>
    <col min="3079" max="3079" width="11.7109375" style="1288" customWidth="1"/>
    <col min="3080" max="3080" width="10.42578125" style="1288" customWidth="1"/>
    <col min="3081" max="3081" width="13.5703125" style="1288" customWidth="1"/>
    <col min="3082" max="3082" width="13.42578125" style="1288" customWidth="1"/>
    <col min="3083" max="3083" width="9.85546875" style="1288" bestFit="1" customWidth="1"/>
    <col min="3084" max="3328" width="9.140625" style="1288"/>
    <col min="3329" max="3329" width="6.5703125" style="1288" customWidth="1"/>
    <col min="3330" max="3330" width="40.7109375" style="1288" customWidth="1"/>
    <col min="3331" max="3331" width="7.140625" style="1288" customWidth="1"/>
    <col min="3332" max="3332" width="0" style="1288" hidden="1" customWidth="1"/>
    <col min="3333" max="3333" width="11.140625" style="1288" customWidth="1"/>
    <col min="3334" max="3334" width="9.85546875" style="1288" customWidth="1"/>
    <col min="3335" max="3335" width="11.7109375" style="1288" customWidth="1"/>
    <col min="3336" max="3336" width="10.42578125" style="1288" customWidth="1"/>
    <col min="3337" max="3337" width="13.5703125" style="1288" customWidth="1"/>
    <col min="3338" max="3338" width="13.42578125" style="1288" customWidth="1"/>
    <col min="3339" max="3339" width="9.85546875" style="1288" bestFit="1" customWidth="1"/>
    <col min="3340" max="3584" width="9.140625" style="1288"/>
    <col min="3585" max="3585" width="6.5703125" style="1288" customWidth="1"/>
    <col min="3586" max="3586" width="40.7109375" style="1288" customWidth="1"/>
    <col min="3587" max="3587" width="7.140625" style="1288" customWidth="1"/>
    <col min="3588" max="3588" width="0" style="1288" hidden="1" customWidth="1"/>
    <col min="3589" max="3589" width="11.140625" style="1288" customWidth="1"/>
    <col min="3590" max="3590" width="9.85546875" style="1288" customWidth="1"/>
    <col min="3591" max="3591" width="11.7109375" style="1288" customWidth="1"/>
    <col min="3592" max="3592" width="10.42578125" style="1288" customWidth="1"/>
    <col min="3593" max="3593" width="13.5703125" style="1288" customWidth="1"/>
    <col min="3594" max="3594" width="13.42578125" style="1288" customWidth="1"/>
    <col min="3595" max="3595" width="9.85546875" style="1288" bestFit="1" customWidth="1"/>
    <col min="3596" max="3840" width="9.140625" style="1288"/>
    <col min="3841" max="3841" width="6.5703125" style="1288" customWidth="1"/>
    <col min="3842" max="3842" width="40.7109375" style="1288" customWidth="1"/>
    <col min="3843" max="3843" width="7.140625" style="1288" customWidth="1"/>
    <col min="3844" max="3844" width="0" style="1288" hidden="1" customWidth="1"/>
    <col min="3845" max="3845" width="11.140625" style="1288" customWidth="1"/>
    <col min="3846" max="3846" width="9.85546875" style="1288" customWidth="1"/>
    <col min="3847" max="3847" width="11.7109375" style="1288" customWidth="1"/>
    <col min="3848" max="3848" width="10.42578125" style="1288" customWidth="1"/>
    <col min="3849" max="3849" width="13.5703125" style="1288" customWidth="1"/>
    <col min="3850" max="3850" width="13.42578125" style="1288" customWidth="1"/>
    <col min="3851" max="3851" width="9.85546875" style="1288" bestFit="1" customWidth="1"/>
    <col min="3852" max="4096" width="9.140625" style="1288"/>
    <col min="4097" max="4097" width="6.5703125" style="1288" customWidth="1"/>
    <col min="4098" max="4098" width="40.7109375" style="1288" customWidth="1"/>
    <col min="4099" max="4099" width="7.140625" style="1288" customWidth="1"/>
    <col min="4100" max="4100" width="0" style="1288" hidden="1" customWidth="1"/>
    <col min="4101" max="4101" width="11.140625" style="1288" customWidth="1"/>
    <col min="4102" max="4102" width="9.85546875" style="1288" customWidth="1"/>
    <col min="4103" max="4103" width="11.7109375" style="1288" customWidth="1"/>
    <col min="4104" max="4104" width="10.42578125" style="1288" customWidth="1"/>
    <col min="4105" max="4105" width="13.5703125" style="1288" customWidth="1"/>
    <col min="4106" max="4106" width="13.42578125" style="1288" customWidth="1"/>
    <col min="4107" max="4107" width="9.85546875" style="1288" bestFit="1" customWidth="1"/>
    <col min="4108" max="4352" width="9.140625" style="1288"/>
    <col min="4353" max="4353" width="6.5703125" style="1288" customWidth="1"/>
    <col min="4354" max="4354" width="40.7109375" style="1288" customWidth="1"/>
    <col min="4355" max="4355" width="7.140625" style="1288" customWidth="1"/>
    <col min="4356" max="4356" width="0" style="1288" hidden="1" customWidth="1"/>
    <col min="4357" max="4357" width="11.140625" style="1288" customWidth="1"/>
    <col min="4358" max="4358" width="9.85546875" style="1288" customWidth="1"/>
    <col min="4359" max="4359" width="11.7109375" style="1288" customWidth="1"/>
    <col min="4360" max="4360" width="10.42578125" style="1288" customWidth="1"/>
    <col min="4361" max="4361" width="13.5703125" style="1288" customWidth="1"/>
    <col min="4362" max="4362" width="13.42578125" style="1288" customWidth="1"/>
    <col min="4363" max="4363" width="9.85546875" style="1288" bestFit="1" customWidth="1"/>
    <col min="4364" max="4608" width="9.140625" style="1288"/>
    <col min="4609" max="4609" width="6.5703125" style="1288" customWidth="1"/>
    <col min="4610" max="4610" width="40.7109375" style="1288" customWidth="1"/>
    <col min="4611" max="4611" width="7.140625" style="1288" customWidth="1"/>
    <col min="4612" max="4612" width="0" style="1288" hidden="1" customWidth="1"/>
    <col min="4613" max="4613" width="11.140625" style="1288" customWidth="1"/>
    <col min="4614" max="4614" width="9.85546875" style="1288" customWidth="1"/>
    <col min="4615" max="4615" width="11.7109375" style="1288" customWidth="1"/>
    <col min="4616" max="4616" width="10.42578125" style="1288" customWidth="1"/>
    <col min="4617" max="4617" width="13.5703125" style="1288" customWidth="1"/>
    <col min="4618" max="4618" width="13.42578125" style="1288" customWidth="1"/>
    <col min="4619" max="4619" width="9.85546875" style="1288" bestFit="1" customWidth="1"/>
    <col min="4620" max="4864" width="9.140625" style="1288"/>
    <col min="4865" max="4865" width="6.5703125" style="1288" customWidth="1"/>
    <col min="4866" max="4866" width="40.7109375" style="1288" customWidth="1"/>
    <col min="4867" max="4867" width="7.140625" style="1288" customWidth="1"/>
    <col min="4868" max="4868" width="0" style="1288" hidden="1" customWidth="1"/>
    <col min="4869" max="4869" width="11.140625" style="1288" customWidth="1"/>
    <col min="4870" max="4870" width="9.85546875" style="1288" customWidth="1"/>
    <col min="4871" max="4871" width="11.7109375" style="1288" customWidth="1"/>
    <col min="4872" max="4872" width="10.42578125" style="1288" customWidth="1"/>
    <col min="4873" max="4873" width="13.5703125" style="1288" customWidth="1"/>
    <col min="4874" max="4874" width="13.42578125" style="1288" customWidth="1"/>
    <col min="4875" max="4875" width="9.85546875" style="1288" bestFit="1" customWidth="1"/>
    <col min="4876" max="5120" width="9.140625" style="1288"/>
    <col min="5121" max="5121" width="6.5703125" style="1288" customWidth="1"/>
    <col min="5122" max="5122" width="40.7109375" style="1288" customWidth="1"/>
    <col min="5123" max="5123" width="7.140625" style="1288" customWidth="1"/>
    <col min="5124" max="5124" width="0" style="1288" hidden="1" customWidth="1"/>
    <col min="5125" max="5125" width="11.140625" style="1288" customWidth="1"/>
    <col min="5126" max="5126" width="9.85546875" style="1288" customWidth="1"/>
    <col min="5127" max="5127" width="11.7109375" style="1288" customWidth="1"/>
    <col min="5128" max="5128" width="10.42578125" style="1288" customWidth="1"/>
    <col min="5129" max="5129" width="13.5703125" style="1288" customWidth="1"/>
    <col min="5130" max="5130" width="13.42578125" style="1288" customWidth="1"/>
    <col min="5131" max="5131" width="9.85546875" style="1288" bestFit="1" customWidth="1"/>
    <col min="5132" max="5376" width="9.140625" style="1288"/>
    <col min="5377" max="5377" width="6.5703125" style="1288" customWidth="1"/>
    <col min="5378" max="5378" width="40.7109375" style="1288" customWidth="1"/>
    <col min="5379" max="5379" width="7.140625" style="1288" customWidth="1"/>
    <col min="5380" max="5380" width="0" style="1288" hidden="1" customWidth="1"/>
    <col min="5381" max="5381" width="11.140625" style="1288" customWidth="1"/>
    <col min="5382" max="5382" width="9.85546875" style="1288" customWidth="1"/>
    <col min="5383" max="5383" width="11.7109375" style="1288" customWidth="1"/>
    <col min="5384" max="5384" width="10.42578125" style="1288" customWidth="1"/>
    <col min="5385" max="5385" width="13.5703125" style="1288" customWidth="1"/>
    <col min="5386" max="5386" width="13.42578125" style="1288" customWidth="1"/>
    <col min="5387" max="5387" width="9.85546875" style="1288" bestFit="1" customWidth="1"/>
    <col min="5388" max="5632" width="9.140625" style="1288"/>
    <col min="5633" max="5633" width="6.5703125" style="1288" customWidth="1"/>
    <col min="5634" max="5634" width="40.7109375" style="1288" customWidth="1"/>
    <col min="5635" max="5635" width="7.140625" style="1288" customWidth="1"/>
    <col min="5636" max="5636" width="0" style="1288" hidden="1" customWidth="1"/>
    <col min="5637" max="5637" width="11.140625" style="1288" customWidth="1"/>
    <col min="5638" max="5638" width="9.85546875" style="1288" customWidth="1"/>
    <col min="5639" max="5639" width="11.7109375" style="1288" customWidth="1"/>
    <col min="5640" max="5640" width="10.42578125" style="1288" customWidth="1"/>
    <col min="5641" max="5641" width="13.5703125" style="1288" customWidth="1"/>
    <col min="5642" max="5642" width="13.42578125" style="1288" customWidth="1"/>
    <col min="5643" max="5643" width="9.85546875" style="1288" bestFit="1" customWidth="1"/>
    <col min="5644" max="5888" width="9.140625" style="1288"/>
    <col min="5889" max="5889" width="6.5703125" style="1288" customWidth="1"/>
    <col min="5890" max="5890" width="40.7109375" style="1288" customWidth="1"/>
    <col min="5891" max="5891" width="7.140625" style="1288" customWidth="1"/>
    <col min="5892" max="5892" width="0" style="1288" hidden="1" customWidth="1"/>
    <col min="5893" max="5893" width="11.140625" style="1288" customWidth="1"/>
    <col min="5894" max="5894" width="9.85546875" style="1288" customWidth="1"/>
    <col min="5895" max="5895" width="11.7109375" style="1288" customWidth="1"/>
    <col min="5896" max="5896" width="10.42578125" style="1288" customWidth="1"/>
    <col min="5897" max="5897" width="13.5703125" style="1288" customWidth="1"/>
    <col min="5898" max="5898" width="13.42578125" style="1288" customWidth="1"/>
    <col min="5899" max="5899" width="9.85546875" style="1288" bestFit="1" customWidth="1"/>
    <col min="5900" max="6144" width="9.140625" style="1288"/>
    <col min="6145" max="6145" width="6.5703125" style="1288" customWidth="1"/>
    <col min="6146" max="6146" width="40.7109375" style="1288" customWidth="1"/>
    <col min="6147" max="6147" width="7.140625" style="1288" customWidth="1"/>
    <col min="6148" max="6148" width="0" style="1288" hidden="1" customWidth="1"/>
    <col min="6149" max="6149" width="11.140625" style="1288" customWidth="1"/>
    <col min="6150" max="6150" width="9.85546875" style="1288" customWidth="1"/>
    <col min="6151" max="6151" width="11.7109375" style="1288" customWidth="1"/>
    <col min="6152" max="6152" width="10.42578125" style="1288" customWidth="1"/>
    <col min="6153" max="6153" width="13.5703125" style="1288" customWidth="1"/>
    <col min="6154" max="6154" width="13.42578125" style="1288" customWidth="1"/>
    <col min="6155" max="6155" width="9.85546875" style="1288" bestFit="1" customWidth="1"/>
    <col min="6156" max="6400" width="9.140625" style="1288"/>
    <col min="6401" max="6401" width="6.5703125" style="1288" customWidth="1"/>
    <col min="6402" max="6402" width="40.7109375" style="1288" customWidth="1"/>
    <col min="6403" max="6403" width="7.140625" style="1288" customWidth="1"/>
    <col min="6404" max="6404" width="0" style="1288" hidden="1" customWidth="1"/>
    <col min="6405" max="6405" width="11.140625" style="1288" customWidth="1"/>
    <col min="6406" max="6406" width="9.85546875" style="1288" customWidth="1"/>
    <col min="6407" max="6407" width="11.7109375" style="1288" customWidth="1"/>
    <col min="6408" max="6408" width="10.42578125" style="1288" customWidth="1"/>
    <col min="6409" max="6409" width="13.5703125" style="1288" customWidth="1"/>
    <col min="6410" max="6410" width="13.42578125" style="1288" customWidth="1"/>
    <col min="6411" max="6411" width="9.85546875" style="1288" bestFit="1" customWidth="1"/>
    <col min="6412" max="6656" width="9.140625" style="1288"/>
    <col min="6657" max="6657" width="6.5703125" style="1288" customWidth="1"/>
    <col min="6658" max="6658" width="40.7109375" style="1288" customWidth="1"/>
    <col min="6659" max="6659" width="7.140625" style="1288" customWidth="1"/>
    <col min="6660" max="6660" width="0" style="1288" hidden="1" customWidth="1"/>
    <col min="6661" max="6661" width="11.140625" style="1288" customWidth="1"/>
    <col min="6662" max="6662" width="9.85546875" style="1288" customWidth="1"/>
    <col min="6663" max="6663" width="11.7109375" style="1288" customWidth="1"/>
    <col min="6664" max="6664" width="10.42578125" style="1288" customWidth="1"/>
    <col min="6665" max="6665" width="13.5703125" style="1288" customWidth="1"/>
    <col min="6666" max="6666" width="13.42578125" style="1288" customWidth="1"/>
    <col min="6667" max="6667" width="9.85546875" style="1288" bestFit="1" customWidth="1"/>
    <col min="6668" max="6912" width="9.140625" style="1288"/>
    <col min="6913" max="6913" width="6.5703125" style="1288" customWidth="1"/>
    <col min="6914" max="6914" width="40.7109375" style="1288" customWidth="1"/>
    <col min="6915" max="6915" width="7.140625" style="1288" customWidth="1"/>
    <col min="6916" max="6916" width="0" style="1288" hidden="1" customWidth="1"/>
    <col min="6917" max="6917" width="11.140625" style="1288" customWidth="1"/>
    <col min="6918" max="6918" width="9.85546875" style="1288" customWidth="1"/>
    <col min="6919" max="6919" width="11.7109375" style="1288" customWidth="1"/>
    <col min="6920" max="6920" width="10.42578125" style="1288" customWidth="1"/>
    <col min="6921" max="6921" width="13.5703125" style="1288" customWidth="1"/>
    <col min="6922" max="6922" width="13.42578125" style="1288" customWidth="1"/>
    <col min="6923" max="6923" width="9.85546875" style="1288" bestFit="1" customWidth="1"/>
    <col min="6924" max="7168" width="9.140625" style="1288"/>
    <col min="7169" max="7169" width="6.5703125" style="1288" customWidth="1"/>
    <col min="7170" max="7170" width="40.7109375" style="1288" customWidth="1"/>
    <col min="7171" max="7171" width="7.140625" style="1288" customWidth="1"/>
    <col min="7172" max="7172" width="0" style="1288" hidden="1" customWidth="1"/>
    <col min="7173" max="7173" width="11.140625" style="1288" customWidth="1"/>
    <col min="7174" max="7174" width="9.85546875" style="1288" customWidth="1"/>
    <col min="7175" max="7175" width="11.7109375" style="1288" customWidth="1"/>
    <col min="7176" max="7176" width="10.42578125" style="1288" customWidth="1"/>
    <col min="7177" max="7177" width="13.5703125" style="1288" customWidth="1"/>
    <col min="7178" max="7178" width="13.42578125" style="1288" customWidth="1"/>
    <col min="7179" max="7179" width="9.85546875" style="1288" bestFit="1" customWidth="1"/>
    <col min="7180" max="7424" width="9.140625" style="1288"/>
    <col min="7425" max="7425" width="6.5703125" style="1288" customWidth="1"/>
    <col min="7426" max="7426" width="40.7109375" style="1288" customWidth="1"/>
    <col min="7427" max="7427" width="7.140625" style="1288" customWidth="1"/>
    <col min="7428" max="7428" width="0" style="1288" hidden="1" customWidth="1"/>
    <col min="7429" max="7429" width="11.140625" style="1288" customWidth="1"/>
    <col min="7430" max="7430" width="9.85546875" style="1288" customWidth="1"/>
    <col min="7431" max="7431" width="11.7109375" style="1288" customWidth="1"/>
    <col min="7432" max="7432" width="10.42578125" style="1288" customWidth="1"/>
    <col min="7433" max="7433" width="13.5703125" style="1288" customWidth="1"/>
    <col min="7434" max="7434" width="13.42578125" style="1288" customWidth="1"/>
    <col min="7435" max="7435" width="9.85546875" style="1288" bestFit="1" customWidth="1"/>
    <col min="7436" max="7680" width="9.140625" style="1288"/>
    <col min="7681" max="7681" width="6.5703125" style="1288" customWidth="1"/>
    <col min="7682" max="7682" width="40.7109375" style="1288" customWidth="1"/>
    <col min="7683" max="7683" width="7.140625" style="1288" customWidth="1"/>
    <col min="7684" max="7684" width="0" style="1288" hidden="1" customWidth="1"/>
    <col min="7685" max="7685" width="11.140625" style="1288" customWidth="1"/>
    <col min="7686" max="7686" width="9.85546875" style="1288" customWidth="1"/>
    <col min="7687" max="7687" width="11.7109375" style="1288" customWidth="1"/>
    <col min="7688" max="7688" width="10.42578125" style="1288" customWidth="1"/>
    <col min="7689" max="7689" width="13.5703125" style="1288" customWidth="1"/>
    <col min="7690" max="7690" width="13.42578125" style="1288" customWidth="1"/>
    <col min="7691" max="7691" width="9.85546875" style="1288" bestFit="1" customWidth="1"/>
    <col min="7692" max="7936" width="9.140625" style="1288"/>
    <col min="7937" max="7937" width="6.5703125" style="1288" customWidth="1"/>
    <col min="7938" max="7938" width="40.7109375" style="1288" customWidth="1"/>
    <col min="7939" max="7939" width="7.140625" style="1288" customWidth="1"/>
    <col min="7940" max="7940" width="0" style="1288" hidden="1" customWidth="1"/>
    <col min="7941" max="7941" width="11.140625" style="1288" customWidth="1"/>
    <col min="7942" max="7942" width="9.85546875" style="1288" customWidth="1"/>
    <col min="7943" max="7943" width="11.7109375" style="1288" customWidth="1"/>
    <col min="7944" max="7944" width="10.42578125" style="1288" customWidth="1"/>
    <col min="7945" max="7945" width="13.5703125" style="1288" customWidth="1"/>
    <col min="7946" max="7946" width="13.42578125" style="1288" customWidth="1"/>
    <col min="7947" max="7947" width="9.85546875" style="1288" bestFit="1" customWidth="1"/>
    <col min="7948" max="8192" width="9.140625" style="1288"/>
    <col min="8193" max="8193" width="6.5703125" style="1288" customWidth="1"/>
    <col min="8194" max="8194" width="40.7109375" style="1288" customWidth="1"/>
    <col min="8195" max="8195" width="7.140625" style="1288" customWidth="1"/>
    <col min="8196" max="8196" width="0" style="1288" hidden="1" customWidth="1"/>
    <col min="8197" max="8197" width="11.140625" style="1288" customWidth="1"/>
    <col min="8198" max="8198" width="9.85546875" style="1288" customWidth="1"/>
    <col min="8199" max="8199" width="11.7109375" style="1288" customWidth="1"/>
    <col min="8200" max="8200" width="10.42578125" style="1288" customWidth="1"/>
    <col min="8201" max="8201" width="13.5703125" style="1288" customWidth="1"/>
    <col min="8202" max="8202" width="13.42578125" style="1288" customWidth="1"/>
    <col min="8203" max="8203" width="9.85546875" style="1288" bestFit="1" customWidth="1"/>
    <col min="8204" max="8448" width="9.140625" style="1288"/>
    <col min="8449" max="8449" width="6.5703125" style="1288" customWidth="1"/>
    <col min="8450" max="8450" width="40.7109375" style="1288" customWidth="1"/>
    <col min="8451" max="8451" width="7.140625" style="1288" customWidth="1"/>
    <col min="8452" max="8452" width="0" style="1288" hidden="1" customWidth="1"/>
    <col min="8453" max="8453" width="11.140625" style="1288" customWidth="1"/>
    <col min="8454" max="8454" width="9.85546875" style="1288" customWidth="1"/>
    <col min="8455" max="8455" width="11.7109375" style="1288" customWidth="1"/>
    <col min="8456" max="8456" width="10.42578125" style="1288" customWidth="1"/>
    <col min="8457" max="8457" width="13.5703125" style="1288" customWidth="1"/>
    <col min="8458" max="8458" width="13.42578125" style="1288" customWidth="1"/>
    <col min="8459" max="8459" width="9.85546875" style="1288" bestFit="1" customWidth="1"/>
    <col min="8460" max="8704" width="9.140625" style="1288"/>
    <col min="8705" max="8705" width="6.5703125" style="1288" customWidth="1"/>
    <col min="8706" max="8706" width="40.7109375" style="1288" customWidth="1"/>
    <col min="8707" max="8707" width="7.140625" style="1288" customWidth="1"/>
    <col min="8708" max="8708" width="0" style="1288" hidden="1" customWidth="1"/>
    <col min="8709" max="8709" width="11.140625" style="1288" customWidth="1"/>
    <col min="8710" max="8710" width="9.85546875" style="1288" customWidth="1"/>
    <col min="8711" max="8711" width="11.7109375" style="1288" customWidth="1"/>
    <col min="8712" max="8712" width="10.42578125" style="1288" customWidth="1"/>
    <col min="8713" max="8713" width="13.5703125" style="1288" customWidth="1"/>
    <col min="8714" max="8714" width="13.42578125" style="1288" customWidth="1"/>
    <col min="8715" max="8715" width="9.85546875" style="1288" bestFit="1" customWidth="1"/>
    <col min="8716" max="8960" width="9.140625" style="1288"/>
    <col min="8961" max="8961" width="6.5703125" style="1288" customWidth="1"/>
    <col min="8962" max="8962" width="40.7109375" style="1288" customWidth="1"/>
    <col min="8963" max="8963" width="7.140625" style="1288" customWidth="1"/>
    <col min="8964" max="8964" width="0" style="1288" hidden="1" customWidth="1"/>
    <col min="8965" max="8965" width="11.140625" style="1288" customWidth="1"/>
    <col min="8966" max="8966" width="9.85546875" style="1288" customWidth="1"/>
    <col min="8967" max="8967" width="11.7109375" style="1288" customWidth="1"/>
    <col min="8968" max="8968" width="10.42578125" style="1288" customWidth="1"/>
    <col min="8969" max="8969" width="13.5703125" style="1288" customWidth="1"/>
    <col min="8970" max="8970" width="13.42578125" style="1288" customWidth="1"/>
    <col min="8971" max="8971" width="9.85546875" style="1288" bestFit="1" customWidth="1"/>
    <col min="8972" max="9216" width="9.140625" style="1288"/>
    <col min="9217" max="9217" width="6.5703125" style="1288" customWidth="1"/>
    <col min="9218" max="9218" width="40.7109375" style="1288" customWidth="1"/>
    <col min="9219" max="9219" width="7.140625" style="1288" customWidth="1"/>
    <col min="9220" max="9220" width="0" style="1288" hidden="1" customWidth="1"/>
    <col min="9221" max="9221" width="11.140625" style="1288" customWidth="1"/>
    <col min="9222" max="9222" width="9.85546875" style="1288" customWidth="1"/>
    <col min="9223" max="9223" width="11.7109375" style="1288" customWidth="1"/>
    <col min="9224" max="9224" width="10.42578125" style="1288" customWidth="1"/>
    <col min="9225" max="9225" width="13.5703125" style="1288" customWidth="1"/>
    <col min="9226" max="9226" width="13.42578125" style="1288" customWidth="1"/>
    <col min="9227" max="9227" width="9.85546875" style="1288" bestFit="1" customWidth="1"/>
    <col min="9228" max="9472" width="9.140625" style="1288"/>
    <col min="9473" max="9473" width="6.5703125" style="1288" customWidth="1"/>
    <col min="9474" max="9474" width="40.7109375" style="1288" customWidth="1"/>
    <col min="9475" max="9475" width="7.140625" style="1288" customWidth="1"/>
    <col min="9476" max="9476" width="0" style="1288" hidden="1" customWidth="1"/>
    <col min="9477" max="9477" width="11.140625" style="1288" customWidth="1"/>
    <col min="9478" max="9478" width="9.85546875" style="1288" customWidth="1"/>
    <col min="9479" max="9479" width="11.7109375" style="1288" customWidth="1"/>
    <col min="9480" max="9480" width="10.42578125" style="1288" customWidth="1"/>
    <col min="9481" max="9481" width="13.5703125" style="1288" customWidth="1"/>
    <col min="9482" max="9482" width="13.42578125" style="1288" customWidth="1"/>
    <col min="9483" max="9483" width="9.85546875" style="1288" bestFit="1" customWidth="1"/>
    <col min="9484" max="9728" width="9.140625" style="1288"/>
    <col min="9729" max="9729" width="6.5703125" style="1288" customWidth="1"/>
    <col min="9730" max="9730" width="40.7109375" style="1288" customWidth="1"/>
    <col min="9731" max="9731" width="7.140625" style="1288" customWidth="1"/>
    <col min="9732" max="9732" width="0" style="1288" hidden="1" customWidth="1"/>
    <col min="9733" max="9733" width="11.140625" style="1288" customWidth="1"/>
    <col min="9734" max="9734" width="9.85546875" style="1288" customWidth="1"/>
    <col min="9735" max="9735" width="11.7109375" style="1288" customWidth="1"/>
    <col min="9736" max="9736" width="10.42578125" style="1288" customWidth="1"/>
    <col min="9737" max="9737" width="13.5703125" style="1288" customWidth="1"/>
    <col min="9738" max="9738" width="13.42578125" style="1288" customWidth="1"/>
    <col min="9739" max="9739" width="9.85546875" style="1288" bestFit="1" customWidth="1"/>
    <col min="9740" max="9984" width="9.140625" style="1288"/>
    <col min="9985" max="9985" width="6.5703125" style="1288" customWidth="1"/>
    <col min="9986" max="9986" width="40.7109375" style="1288" customWidth="1"/>
    <col min="9987" max="9987" width="7.140625" style="1288" customWidth="1"/>
    <col min="9988" max="9988" width="0" style="1288" hidden="1" customWidth="1"/>
    <col min="9989" max="9989" width="11.140625" style="1288" customWidth="1"/>
    <col min="9990" max="9990" width="9.85546875" style="1288" customWidth="1"/>
    <col min="9991" max="9991" width="11.7109375" style="1288" customWidth="1"/>
    <col min="9992" max="9992" width="10.42578125" style="1288" customWidth="1"/>
    <col min="9993" max="9993" width="13.5703125" style="1288" customWidth="1"/>
    <col min="9994" max="9994" width="13.42578125" style="1288" customWidth="1"/>
    <col min="9995" max="9995" width="9.85546875" style="1288" bestFit="1" customWidth="1"/>
    <col min="9996" max="10240" width="9.140625" style="1288"/>
    <col min="10241" max="10241" width="6.5703125" style="1288" customWidth="1"/>
    <col min="10242" max="10242" width="40.7109375" style="1288" customWidth="1"/>
    <col min="10243" max="10243" width="7.140625" style="1288" customWidth="1"/>
    <col min="10244" max="10244" width="0" style="1288" hidden="1" customWidth="1"/>
    <col min="10245" max="10245" width="11.140625" style="1288" customWidth="1"/>
    <col min="10246" max="10246" width="9.85546875" style="1288" customWidth="1"/>
    <col min="10247" max="10247" width="11.7109375" style="1288" customWidth="1"/>
    <col min="10248" max="10248" width="10.42578125" style="1288" customWidth="1"/>
    <col min="10249" max="10249" width="13.5703125" style="1288" customWidth="1"/>
    <col min="10250" max="10250" width="13.42578125" style="1288" customWidth="1"/>
    <col min="10251" max="10251" width="9.85546875" style="1288" bestFit="1" customWidth="1"/>
    <col min="10252" max="10496" width="9.140625" style="1288"/>
    <col min="10497" max="10497" width="6.5703125" style="1288" customWidth="1"/>
    <col min="10498" max="10498" width="40.7109375" style="1288" customWidth="1"/>
    <col min="10499" max="10499" width="7.140625" style="1288" customWidth="1"/>
    <col min="10500" max="10500" width="0" style="1288" hidden="1" customWidth="1"/>
    <col min="10501" max="10501" width="11.140625" style="1288" customWidth="1"/>
    <col min="10502" max="10502" width="9.85546875" style="1288" customWidth="1"/>
    <col min="10503" max="10503" width="11.7109375" style="1288" customWidth="1"/>
    <col min="10504" max="10504" width="10.42578125" style="1288" customWidth="1"/>
    <col min="10505" max="10505" width="13.5703125" style="1288" customWidth="1"/>
    <col min="10506" max="10506" width="13.42578125" style="1288" customWidth="1"/>
    <col min="10507" max="10507" width="9.85546875" style="1288" bestFit="1" customWidth="1"/>
    <col min="10508" max="10752" width="9.140625" style="1288"/>
    <col min="10753" max="10753" width="6.5703125" style="1288" customWidth="1"/>
    <col min="10754" max="10754" width="40.7109375" style="1288" customWidth="1"/>
    <col min="10755" max="10755" width="7.140625" style="1288" customWidth="1"/>
    <col min="10756" max="10756" width="0" style="1288" hidden="1" customWidth="1"/>
    <col min="10757" max="10757" width="11.140625" style="1288" customWidth="1"/>
    <col min="10758" max="10758" width="9.85546875" style="1288" customWidth="1"/>
    <col min="10759" max="10759" width="11.7109375" style="1288" customWidth="1"/>
    <col min="10760" max="10760" width="10.42578125" style="1288" customWidth="1"/>
    <col min="10761" max="10761" width="13.5703125" style="1288" customWidth="1"/>
    <col min="10762" max="10762" width="13.42578125" style="1288" customWidth="1"/>
    <col min="10763" max="10763" width="9.85546875" style="1288" bestFit="1" customWidth="1"/>
    <col min="10764" max="11008" width="9.140625" style="1288"/>
    <col min="11009" max="11009" width="6.5703125" style="1288" customWidth="1"/>
    <col min="11010" max="11010" width="40.7109375" style="1288" customWidth="1"/>
    <col min="11011" max="11011" width="7.140625" style="1288" customWidth="1"/>
    <col min="11012" max="11012" width="0" style="1288" hidden="1" customWidth="1"/>
    <col min="11013" max="11013" width="11.140625" style="1288" customWidth="1"/>
    <col min="11014" max="11014" width="9.85546875" style="1288" customWidth="1"/>
    <col min="11015" max="11015" width="11.7109375" style="1288" customWidth="1"/>
    <col min="11016" max="11016" width="10.42578125" style="1288" customWidth="1"/>
    <col min="11017" max="11017" width="13.5703125" style="1288" customWidth="1"/>
    <col min="11018" max="11018" width="13.42578125" style="1288" customWidth="1"/>
    <col min="11019" max="11019" width="9.85546875" style="1288" bestFit="1" customWidth="1"/>
    <col min="11020" max="11264" width="9.140625" style="1288"/>
    <col min="11265" max="11265" width="6.5703125" style="1288" customWidth="1"/>
    <col min="11266" max="11266" width="40.7109375" style="1288" customWidth="1"/>
    <col min="11267" max="11267" width="7.140625" style="1288" customWidth="1"/>
    <col min="11268" max="11268" width="0" style="1288" hidden="1" customWidth="1"/>
    <col min="11269" max="11269" width="11.140625" style="1288" customWidth="1"/>
    <col min="11270" max="11270" width="9.85546875" style="1288" customWidth="1"/>
    <col min="11271" max="11271" width="11.7109375" style="1288" customWidth="1"/>
    <col min="11272" max="11272" width="10.42578125" style="1288" customWidth="1"/>
    <col min="11273" max="11273" width="13.5703125" style="1288" customWidth="1"/>
    <col min="11274" max="11274" width="13.42578125" style="1288" customWidth="1"/>
    <col min="11275" max="11275" width="9.85546875" style="1288" bestFit="1" customWidth="1"/>
    <col min="11276" max="11520" width="9.140625" style="1288"/>
    <col min="11521" max="11521" width="6.5703125" style="1288" customWidth="1"/>
    <col min="11522" max="11522" width="40.7109375" style="1288" customWidth="1"/>
    <col min="11523" max="11523" width="7.140625" style="1288" customWidth="1"/>
    <col min="11524" max="11524" width="0" style="1288" hidden="1" customWidth="1"/>
    <col min="11525" max="11525" width="11.140625" style="1288" customWidth="1"/>
    <col min="11526" max="11526" width="9.85546875" style="1288" customWidth="1"/>
    <col min="11527" max="11527" width="11.7109375" style="1288" customWidth="1"/>
    <col min="11528" max="11528" width="10.42578125" style="1288" customWidth="1"/>
    <col min="11529" max="11529" width="13.5703125" style="1288" customWidth="1"/>
    <col min="11530" max="11530" width="13.42578125" style="1288" customWidth="1"/>
    <col min="11531" max="11531" width="9.85546875" style="1288" bestFit="1" customWidth="1"/>
    <col min="11532" max="11776" width="9.140625" style="1288"/>
    <col min="11777" max="11777" width="6.5703125" style="1288" customWidth="1"/>
    <col min="11778" max="11778" width="40.7109375" style="1288" customWidth="1"/>
    <col min="11779" max="11779" width="7.140625" style="1288" customWidth="1"/>
    <col min="11780" max="11780" width="0" style="1288" hidden="1" customWidth="1"/>
    <col min="11781" max="11781" width="11.140625" style="1288" customWidth="1"/>
    <col min="11782" max="11782" width="9.85546875" style="1288" customWidth="1"/>
    <col min="11783" max="11783" width="11.7109375" style="1288" customWidth="1"/>
    <col min="11784" max="11784" width="10.42578125" style="1288" customWidth="1"/>
    <col min="11785" max="11785" width="13.5703125" style="1288" customWidth="1"/>
    <col min="11786" max="11786" width="13.42578125" style="1288" customWidth="1"/>
    <col min="11787" max="11787" width="9.85546875" style="1288" bestFit="1" customWidth="1"/>
    <col min="11788" max="12032" width="9.140625" style="1288"/>
    <col min="12033" max="12033" width="6.5703125" style="1288" customWidth="1"/>
    <col min="12034" max="12034" width="40.7109375" style="1288" customWidth="1"/>
    <col min="12035" max="12035" width="7.140625" style="1288" customWidth="1"/>
    <col min="12036" max="12036" width="0" style="1288" hidden="1" customWidth="1"/>
    <col min="12037" max="12037" width="11.140625" style="1288" customWidth="1"/>
    <col min="12038" max="12038" width="9.85546875" style="1288" customWidth="1"/>
    <col min="12039" max="12039" width="11.7109375" style="1288" customWidth="1"/>
    <col min="12040" max="12040" width="10.42578125" style="1288" customWidth="1"/>
    <col min="12041" max="12041" width="13.5703125" style="1288" customWidth="1"/>
    <col min="12042" max="12042" width="13.42578125" style="1288" customWidth="1"/>
    <col min="12043" max="12043" width="9.85546875" style="1288" bestFit="1" customWidth="1"/>
    <col min="12044" max="12288" width="9.140625" style="1288"/>
    <col min="12289" max="12289" width="6.5703125" style="1288" customWidth="1"/>
    <col min="12290" max="12290" width="40.7109375" style="1288" customWidth="1"/>
    <col min="12291" max="12291" width="7.140625" style="1288" customWidth="1"/>
    <col min="12292" max="12292" width="0" style="1288" hidden="1" customWidth="1"/>
    <col min="12293" max="12293" width="11.140625" style="1288" customWidth="1"/>
    <col min="12294" max="12294" width="9.85546875" style="1288" customWidth="1"/>
    <col min="12295" max="12295" width="11.7109375" style="1288" customWidth="1"/>
    <col min="12296" max="12296" width="10.42578125" style="1288" customWidth="1"/>
    <col min="12297" max="12297" width="13.5703125" style="1288" customWidth="1"/>
    <col min="12298" max="12298" width="13.42578125" style="1288" customWidth="1"/>
    <col min="12299" max="12299" width="9.85546875" style="1288" bestFit="1" customWidth="1"/>
    <col min="12300" max="12544" width="9.140625" style="1288"/>
    <col min="12545" max="12545" width="6.5703125" style="1288" customWidth="1"/>
    <col min="12546" max="12546" width="40.7109375" style="1288" customWidth="1"/>
    <col min="12547" max="12547" width="7.140625" style="1288" customWidth="1"/>
    <col min="12548" max="12548" width="0" style="1288" hidden="1" customWidth="1"/>
    <col min="12549" max="12549" width="11.140625" style="1288" customWidth="1"/>
    <col min="12550" max="12550" width="9.85546875" style="1288" customWidth="1"/>
    <col min="12551" max="12551" width="11.7109375" style="1288" customWidth="1"/>
    <col min="12552" max="12552" width="10.42578125" style="1288" customWidth="1"/>
    <col min="12553" max="12553" width="13.5703125" style="1288" customWidth="1"/>
    <col min="12554" max="12554" width="13.42578125" style="1288" customWidth="1"/>
    <col min="12555" max="12555" width="9.85546875" style="1288" bestFit="1" customWidth="1"/>
    <col min="12556" max="12800" width="9.140625" style="1288"/>
    <col min="12801" max="12801" width="6.5703125" style="1288" customWidth="1"/>
    <col min="12802" max="12802" width="40.7109375" style="1288" customWidth="1"/>
    <col min="12803" max="12803" width="7.140625" style="1288" customWidth="1"/>
    <col min="12804" max="12804" width="0" style="1288" hidden="1" customWidth="1"/>
    <col min="12805" max="12805" width="11.140625" style="1288" customWidth="1"/>
    <col min="12806" max="12806" width="9.85546875" style="1288" customWidth="1"/>
    <col min="12807" max="12807" width="11.7109375" style="1288" customWidth="1"/>
    <col min="12808" max="12808" width="10.42578125" style="1288" customWidth="1"/>
    <col min="12809" max="12809" width="13.5703125" style="1288" customWidth="1"/>
    <col min="12810" max="12810" width="13.42578125" style="1288" customWidth="1"/>
    <col min="12811" max="12811" width="9.85546875" style="1288" bestFit="1" customWidth="1"/>
    <col min="12812" max="13056" width="9.140625" style="1288"/>
    <col min="13057" max="13057" width="6.5703125" style="1288" customWidth="1"/>
    <col min="13058" max="13058" width="40.7109375" style="1288" customWidth="1"/>
    <col min="13059" max="13059" width="7.140625" style="1288" customWidth="1"/>
    <col min="13060" max="13060" width="0" style="1288" hidden="1" customWidth="1"/>
    <col min="13061" max="13061" width="11.140625" style="1288" customWidth="1"/>
    <col min="13062" max="13062" width="9.85546875" style="1288" customWidth="1"/>
    <col min="13063" max="13063" width="11.7109375" style="1288" customWidth="1"/>
    <col min="13064" max="13064" width="10.42578125" style="1288" customWidth="1"/>
    <col min="13065" max="13065" width="13.5703125" style="1288" customWidth="1"/>
    <col min="13066" max="13066" width="13.42578125" style="1288" customWidth="1"/>
    <col min="13067" max="13067" width="9.85546875" style="1288" bestFit="1" customWidth="1"/>
    <col min="13068" max="13312" width="9.140625" style="1288"/>
    <col min="13313" max="13313" width="6.5703125" style="1288" customWidth="1"/>
    <col min="13314" max="13314" width="40.7109375" style="1288" customWidth="1"/>
    <col min="13315" max="13315" width="7.140625" style="1288" customWidth="1"/>
    <col min="13316" max="13316" width="0" style="1288" hidden="1" customWidth="1"/>
    <col min="13317" max="13317" width="11.140625" style="1288" customWidth="1"/>
    <col min="13318" max="13318" width="9.85546875" style="1288" customWidth="1"/>
    <col min="13319" max="13319" width="11.7109375" style="1288" customWidth="1"/>
    <col min="13320" max="13320" width="10.42578125" style="1288" customWidth="1"/>
    <col min="13321" max="13321" width="13.5703125" style="1288" customWidth="1"/>
    <col min="13322" max="13322" width="13.42578125" style="1288" customWidth="1"/>
    <col min="13323" max="13323" width="9.85546875" style="1288" bestFit="1" customWidth="1"/>
    <col min="13324" max="13568" width="9.140625" style="1288"/>
    <col min="13569" max="13569" width="6.5703125" style="1288" customWidth="1"/>
    <col min="13570" max="13570" width="40.7109375" style="1288" customWidth="1"/>
    <col min="13571" max="13571" width="7.140625" style="1288" customWidth="1"/>
    <col min="13572" max="13572" width="0" style="1288" hidden="1" customWidth="1"/>
    <col min="13573" max="13573" width="11.140625" style="1288" customWidth="1"/>
    <col min="13574" max="13574" width="9.85546875" style="1288" customWidth="1"/>
    <col min="13575" max="13575" width="11.7109375" style="1288" customWidth="1"/>
    <col min="13576" max="13576" width="10.42578125" style="1288" customWidth="1"/>
    <col min="13577" max="13577" width="13.5703125" style="1288" customWidth="1"/>
    <col min="13578" max="13578" width="13.42578125" style="1288" customWidth="1"/>
    <col min="13579" max="13579" width="9.85546875" style="1288" bestFit="1" customWidth="1"/>
    <col min="13580" max="13824" width="9.140625" style="1288"/>
    <col min="13825" max="13825" width="6.5703125" style="1288" customWidth="1"/>
    <col min="13826" max="13826" width="40.7109375" style="1288" customWidth="1"/>
    <col min="13827" max="13827" width="7.140625" style="1288" customWidth="1"/>
    <col min="13828" max="13828" width="0" style="1288" hidden="1" customWidth="1"/>
    <col min="13829" max="13829" width="11.140625" style="1288" customWidth="1"/>
    <col min="13830" max="13830" width="9.85546875" style="1288" customWidth="1"/>
    <col min="13831" max="13831" width="11.7109375" style="1288" customWidth="1"/>
    <col min="13832" max="13832" width="10.42578125" style="1288" customWidth="1"/>
    <col min="13833" max="13833" width="13.5703125" style="1288" customWidth="1"/>
    <col min="13834" max="13834" width="13.42578125" style="1288" customWidth="1"/>
    <col min="13835" max="13835" width="9.85546875" style="1288" bestFit="1" customWidth="1"/>
    <col min="13836" max="14080" width="9.140625" style="1288"/>
    <col min="14081" max="14081" width="6.5703125" style="1288" customWidth="1"/>
    <col min="14082" max="14082" width="40.7109375" style="1288" customWidth="1"/>
    <col min="14083" max="14083" width="7.140625" style="1288" customWidth="1"/>
    <col min="14084" max="14084" width="0" style="1288" hidden="1" customWidth="1"/>
    <col min="14085" max="14085" width="11.140625" style="1288" customWidth="1"/>
    <col min="14086" max="14086" width="9.85546875" style="1288" customWidth="1"/>
    <col min="14087" max="14087" width="11.7109375" style="1288" customWidth="1"/>
    <col min="14088" max="14088" width="10.42578125" style="1288" customWidth="1"/>
    <col min="14089" max="14089" width="13.5703125" style="1288" customWidth="1"/>
    <col min="14090" max="14090" width="13.42578125" style="1288" customWidth="1"/>
    <col min="14091" max="14091" width="9.85546875" style="1288" bestFit="1" customWidth="1"/>
    <col min="14092" max="14336" width="9.140625" style="1288"/>
    <col min="14337" max="14337" width="6.5703125" style="1288" customWidth="1"/>
    <col min="14338" max="14338" width="40.7109375" style="1288" customWidth="1"/>
    <col min="14339" max="14339" width="7.140625" style="1288" customWidth="1"/>
    <col min="14340" max="14340" width="0" style="1288" hidden="1" customWidth="1"/>
    <col min="14341" max="14341" width="11.140625" style="1288" customWidth="1"/>
    <col min="14342" max="14342" width="9.85546875" style="1288" customWidth="1"/>
    <col min="14343" max="14343" width="11.7109375" style="1288" customWidth="1"/>
    <col min="14344" max="14344" width="10.42578125" style="1288" customWidth="1"/>
    <col min="14345" max="14345" width="13.5703125" style="1288" customWidth="1"/>
    <col min="14346" max="14346" width="13.42578125" style="1288" customWidth="1"/>
    <col min="14347" max="14347" width="9.85546875" style="1288" bestFit="1" customWidth="1"/>
    <col min="14348" max="14592" width="9.140625" style="1288"/>
    <col min="14593" max="14593" width="6.5703125" style="1288" customWidth="1"/>
    <col min="14594" max="14594" width="40.7109375" style="1288" customWidth="1"/>
    <col min="14595" max="14595" width="7.140625" style="1288" customWidth="1"/>
    <col min="14596" max="14596" width="0" style="1288" hidden="1" customWidth="1"/>
    <col min="14597" max="14597" width="11.140625" style="1288" customWidth="1"/>
    <col min="14598" max="14598" width="9.85546875" style="1288" customWidth="1"/>
    <col min="14599" max="14599" width="11.7109375" style="1288" customWidth="1"/>
    <col min="14600" max="14600" width="10.42578125" style="1288" customWidth="1"/>
    <col min="14601" max="14601" width="13.5703125" style="1288" customWidth="1"/>
    <col min="14602" max="14602" width="13.42578125" style="1288" customWidth="1"/>
    <col min="14603" max="14603" width="9.85546875" style="1288" bestFit="1" customWidth="1"/>
    <col min="14604" max="14848" width="9.140625" style="1288"/>
    <col min="14849" max="14849" width="6.5703125" style="1288" customWidth="1"/>
    <col min="14850" max="14850" width="40.7109375" style="1288" customWidth="1"/>
    <col min="14851" max="14851" width="7.140625" style="1288" customWidth="1"/>
    <col min="14852" max="14852" width="0" style="1288" hidden="1" customWidth="1"/>
    <col min="14853" max="14853" width="11.140625" style="1288" customWidth="1"/>
    <col min="14854" max="14854" width="9.85546875" style="1288" customWidth="1"/>
    <col min="14855" max="14855" width="11.7109375" style="1288" customWidth="1"/>
    <col min="14856" max="14856" width="10.42578125" style="1288" customWidth="1"/>
    <col min="14857" max="14857" width="13.5703125" style="1288" customWidth="1"/>
    <col min="14858" max="14858" width="13.42578125" style="1288" customWidth="1"/>
    <col min="14859" max="14859" width="9.85546875" style="1288" bestFit="1" customWidth="1"/>
    <col min="14860" max="15104" width="9.140625" style="1288"/>
    <col min="15105" max="15105" width="6.5703125" style="1288" customWidth="1"/>
    <col min="15106" max="15106" width="40.7109375" style="1288" customWidth="1"/>
    <col min="15107" max="15107" width="7.140625" style="1288" customWidth="1"/>
    <col min="15108" max="15108" width="0" style="1288" hidden="1" customWidth="1"/>
    <col min="15109" max="15109" width="11.140625" style="1288" customWidth="1"/>
    <col min="15110" max="15110" width="9.85546875" style="1288" customWidth="1"/>
    <col min="15111" max="15111" width="11.7109375" style="1288" customWidth="1"/>
    <col min="15112" max="15112" width="10.42578125" style="1288" customWidth="1"/>
    <col min="15113" max="15113" width="13.5703125" style="1288" customWidth="1"/>
    <col min="15114" max="15114" width="13.42578125" style="1288" customWidth="1"/>
    <col min="15115" max="15115" width="9.85546875" style="1288" bestFit="1" customWidth="1"/>
    <col min="15116" max="15360" width="9.140625" style="1288"/>
    <col min="15361" max="15361" width="6.5703125" style="1288" customWidth="1"/>
    <col min="15362" max="15362" width="40.7109375" style="1288" customWidth="1"/>
    <col min="15363" max="15363" width="7.140625" style="1288" customWidth="1"/>
    <col min="15364" max="15364" width="0" style="1288" hidden="1" customWidth="1"/>
    <col min="15365" max="15365" width="11.140625" style="1288" customWidth="1"/>
    <col min="15366" max="15366" width="9.85546875" style="1288" customWidth="1"/>
    <col min="15367" max="15367" width="11.7109375" style="1288" customWidth="1"/>
    <col min="15368" max="15368" width="10.42578125" style="1288" customWidth="1"/>
    <col min="15369" max="15369" width="13.5703125" style="1288" customWidth="1"/>
    <col min="15370" max="15370" width="13.42578125" style="1288" customWidth="1"/>
    <col min="15371" max="15371" width="9.85546875" style="1288" bestFit="1" customWidth="1"/>
    <col min="15372" max="15616" width="9.140625" style="1288"/>
    <col min="15617" max="15617" width="6.5703125" style="1288" customWidth="1"/>
    <col min="15618" max="15618" width="40.7109375" style="1288" customWidth="1"/>
    <col min="15619" max="15619" width="7.140625" style="1288" customWidth="1"/>
    <col min="15620" max="15620" width="0" style="1288" hidden="1" customWidth="1"/>
    <col min="15621" max="15621" width="11.140625" style="1288" customWidth="1"/>
    <col min="15622" max="15622" width="9.85546875" style="1288" customWidth="1"/>
    <col min="15623" max="15623" width="11.7109375" style="1288" customWidth="1"/>
    <col min="15624" max="15624" width="10.42578125" style="1288" customWidth="1"/>
    <col min="15625" max="15625" width="13.5703125" style="1288" customWidth="1"/>
    <col min="15626" max="15626" width="13.42578125" style="1288" customWidth="1"/>
    <col min="15627" max="15627" width="9.85546875" style="1288" bestFit="1" customWidth="1"/>
    <col min="15628" max="15872" width="9.140625" style="1288"/>
    <col min="15873" max="15873" width="6.5703125" style="1288" customWidth="1"/>
    <col min="15874" max="15874" width="40.7109375" style="1288" customWidth="1"/>
    <col min="15875" max="15875" width="7.140625" style="1288" customWidth="1"/>
    <col min="15876" max="15876" width="0" style="1288" hidden="1" customWidth="1"/>
    <col min="15877" max="15877" width="11.140625" style="1288" customWidth="1"/>
    <col min="15878" max="15878" width="9.85546875" style="1288" customWidth="1"/>
    <col min="15879" max="15879" width="11.7109375" style="1288" customWidth="1"/>
    <col min="15880" max="15880" width="10.42578125" style="1288" customWidth="1"/>
    <col min="15881" max="15881" width="13.5703125" style="1288" customWidth="1"/>
    <col min="15882" max="15882" width="13.42578125" style="1288" customWidth="1"/>
    <col min="15883" max="15883" width="9.85546875" style="1288" bestFit="1" customWidth="1"/>
    <col min="15884" max="16128" width="9.140625" style="1288"/>
    <col min="16129" max="16129" width="6.5703125" style="1288" customWidth="1"/>
    <col min="16130" max="16130" width="40.7109375" style="1288" customWidth="1"/>
    <col min="16131" max="16131" width="7.140625" style="1288" customWidth="1"/>
    <col min="16132" max="16132" width="0" style="1288" hidden="1" customWidth="1"/>
    <col min="16133" max="16133" width="11.140625" style="1288" customWidth="1"/>
    <col min="16134" max="16134" width="9.85546875" style="1288" customWidth="1"/>
    <col min="16135" max="16135" width="11.7109375" style="1288" customWidth="1"/>
    <col min="16136" max="16136" width="10.42578125" style="1288" customWidth="1"/>
    <col min="16137" max="16137" width="13.5703125" style="1288" customWidth="1"/>
    <col min="16138" max="16138" width="13.42578125" style="1288" customWidth="1"/>
    <col min="16139" max="16139" width="9.85546875" style="1288" bestFit="1" customWidth="1"/>
    <col min="16140" max="16384" width="9.140625" style="1288"/>
  </cols>
  <sheetData>
    <row r="1" spans="2:17" s="340" customFormat="1">
      <c r="B1" s="1329" t="s">
        <v>1257</v>
      </c>
      <c r="C1" s="1286"/>
      <c r="D1" s="1286"/>
      <c r="E1" s="1286"/>
      <c r="F1" s="1286"/>
      <c r="G1" s="1286"/>
      <c r="H1" s="2053"/>
      <c r="I1" s="2053"/>
      <c r="K1" s="341"/>
      <c r="L1" s="341"/>
      <c r="M1" s="341"/>
      <c r="N1" s="341"/>
      <c r="O1" s="341"/>
      <c r="P1" s="341"/>
      <c r="Q1" s="341"/>
    </row>
    <row r="2" spans="2:17" s="340" customFormat="1">
      <c r="B2" s="1329" t="s">
        <v>1208</v>
      </c>
      <c r="C2" s="1286"/>
      <c r="D2" s="1286"/>
      <c r="E2" s="1286"/>
      <c r="F2" s="1286"/>
      <c r="G2" s="1286"/>
      <c r="H2" s="2054"/>
      <c r="I2" s="2054"/>
      <c r="K2" s="341"/>
      <c r="L2" s="341"/>
      <c r="M2" s="341"/>
      <c r="N2" s="341"/>
      <c r="O2" s="341"/>
      <c r="P2" s="341"/>
      <c r="Q2" s="341"/>
    </row>
    <row r="3" spans="2:17" s="340" customFormat="1">
      <c r="B3" s="1329" t="s">
        <v>1258</v>
      </c>
      <c r="C3" s="1286"/>
      <c r="D3" s="1286"/>
      <c r="E3" s="1286"/>
      <c r="F3" s="1286"/>
      <c r="G3" s="2147" t="s">
        <v>1241</v>
      </c>
      <c r="H3" s="2147"/>
      <c r="I3" s="2147"/>
      <c r="K3" s="341"/>
      <c r="L3" s="341"/>
      <c r="M3" s="341"/>
      <c r="N3" s="1287"/>
      <c r="O3" s="1287"/>
      <c r="P3" s="341"/>
      <c r="Q3" s="341"/>
    </row>
    <row r="4" spans="2:17" s="340" customFormat="1">
      <c r="B4" s="1329" t="s">
        <v>1209</v>
      </c>
      <c r="C4" s="1286"/>
      <c r="D4" s="1286"/>
      <c r="E4" s="1286"/>
      <c r="F4" s="1286"/>
      <c r="G4" s="1286"/>
      <c r="H4" s="1286"/>
      <c r="I4" s="1286"/>
      <c r="K4" s="341"/>
      <c r="L4" s="341"/>
      <c r="M4" s="341"/>
      <c r="N4" s="341"/>
      <c r="O4" s="341"/>
      <c r="P4" s="341"/>
      <c r="Q4" s="341"/>
    </row>
    <row r="5" spans="2:17" s="340" customFormat="1">
      <c r="B5" s="1529"/>
      <c r="C5" s="1286"/>
      <c r="D5" s="1286"/>
      <c r="E5" s="1286"/>
      <c r="F5" s="1286"/>
      <c r="G5" s="1286"/>
      <c r="H5" s="1286"/>
      <c r="I5" s="1286"/>
      <c r="K5" s="341"/>
      <c r="L5" s="341"/>
      <c r="M5" s="341"/>
      <c r="N5" s="341"/>
      <c r="O5" s="341"/>
      <c r="P5" s="341"/>
      <c r="Q5" s="341"/>
    </row>
    <row r="6" spans="2:17" ht="20.25" customHeight="1">
      <c r="B6" s="2055" t="s">
        <v>1492</v>
      </c>
      <c r="C6" s="2055" t="s">
        <v>0</v>
      </c>
      <c r="D6" s="2055" t="s">
        <v>1491</v>
      </c>
      <c r="E6" s="2055" t="s">
        <v>1489</v>
      </c>
      <c r="F6" s="2055"/>
      <c r="G6" s="2055"/>
      <c r="H6" s="2055" t="s">
        <v>1494</v>
      </c>
      <c r="I6" s="2055"/>
      <c r="J6" s="1338"/>
    </row>
    <row r="7" spans="2:17" ht="20.25" customHeight="1">
      <c r="B7" s="2146"/>
      <c r="C7" s="2146"/>
      <c r="D7" s="2146"/>
      <c r="E7" s="1419" t="s">
        <v>1487</v>
      </c>
      <c r="F7" s="1419" t="s">
        <v>1488</v>
      </c>
      <c r="G7" s="1419" t="s">
        <v>1486</v>
      </c>
      <c r="H7" s="1420" t="s">
        <v>1487</v>
      </c>
      <c r="I7" s="1419" t="s">
        <v>1486</v>
      </c>
      <c r="J7" s="1338"/>
    </row>
    <row r="8" spans="2:17" ht="15.75" customHeight="1">
      <c r="B8" s="1496"/>
      <c r="C8" s="1551" t="s">
        <v>1485</v>
      </c>
      <c r="D8" s="1493"/>
      <c r="E8" s="1493"/>
      <c r="F8" s="1493"/>
      <c r="G8" s="1493"/>
      <c r="H8" s="1484"/>
      <c r="I8" s="1552"/>
    </row>
    <row r="9" spans="2:17" ht="15.75" customHeight="1">
      <c r="B9" s="1497"/>
      <c r="C9" s="1547" t="s">
        <v>1484</v>
      </c>
      <c r="D9" s="1448"/>
      <c r="E9" s="1448"/>
      <c r="F9" s="1448"/>
      <c r="G9" s="1448"/>
      <c r="H9" s="1451"/>
      <c r="I9" s="1549"/>
    </row>
    <row r="10" spans="2:17" ht="15.75" customHeight="1">
      <c r="B10" s="1498">
        <v>1.1000000000000001</v>
      </c>
      <c r="C10" s="1453" t="s">
        <v>1483</v>
      </c>
      <c r="D10" s="1451" t="s">
        <v>3201</v>
      </c>
      <c r="E10" s="1451">
        <v>827</v>
      </c>
      <c r="F10" s="1451">
        <v>8</v>
      </c>
      <c r="G10" s="1451">
        <f>E10*F10</f>
        <v>6616</v>
      </c>
      <c r="H10" s="1451">
        <f>'OR Sub TOS'!D14</f>
        <v>827.08</v>
      </c>
      <c r="I10" s="1550">
        <f>F10*H10</f>
        <v>6616.64</v>
      </c>
    </row>
    <row r="11" spans="2:17" ht="15.75" customHeight="1">
      <c r="B11" s="1498">
        <v>1.2</v>
      </c>
      <c r="C11" s="1453" t="s">
        <v>1482</v>
      </c>
      <c r="D11" s="1451" t="s">
        <v>3200</v>
      </c>
      <c r="E11" s="1451">
        <v>776</v>
      </c>
      <c r="F11" s="1451">
        <v>70</v>
      </c>
      <c r="G11" s="1451">
        <f t="shared" ref="G11:G70" si="0">E11*F11</f>
        <v>54320</v>
      </c>
      <c r="H11" s="1451">
        <f>'OR Sub TOS'!D30</f>
        <v>131.64339999999999</v>
      </c>
      <c r="I11" s="1550">
        <f>F11*H11</f>
        <v>9215.0379999999986</v>
      </c>
    </row>
    <row r="12" spans="2:17" ht="15.75" customHeight="1">
      <c r="B12" s="1498">
        <v>1.3</v>
      </c>
      <c r="C12" s="1453" t="s">
        <v>1571</v>
      </c>
      <c r="D12" s="1451" t="s">
        <v>3200</v>
      </c>
      <c r="E12" s="1451">
        <f>E11/3</f>
        <v>258.66666666666669</v>
      </c>
      <c r="F12" s="1451">
        <v>70</v>
      </c>
      <c r="G12" s="1451">
        <f t="shared" si="0"/>
        <v>18106.666666666668</v>
      </c>
      <c r="H12" s="1451">
        <f>'OR Sub TOS'!D42</f>
        <v>213.96150000000003</v>
      </c>
      <c r="I12" s="1550">
        <f>F12*H12</f>
        <v>14977.305000000002</v>
      </c>
    </row>
    <row r="13" spans="2:17" ht="15.75" customHeight="1">
      <c r="B13" s="1498">
        <v>1.4</v>
      </c>
      <c r="C13" s="1453" t="s">
        <v>1480</v>
      </c>
      <c r="D13" s="1451" t="s">
        <v>3200</v>
      </c>
      <c r="E13" s="1451">
        <f>E12+E11</f>
        <v>1034.6666666666667</v>
      </c>
      <c r="F13" s="1451">
        <v>56.6</v>
      </c>
      <c r="G13" s="1451">
        <f t="shared" si="0"/>
        <v>58562.133333333339</v>
      </c>
      <c r="H13" s="1451">
        <f>'OR Sub TOS'!H21</f>
        <v>429.22480000000002</v>
      </c>
      <c r="I13" s="1550">
        <f t="shared" ref="I13:I72" si="1">F13*H13</f>
        <v>24294.123680000001</v>
      </c>
    </row>
    <row r="14" spans="2:17" ht="15.75" customHeight="1">
      <c r="B14" s="1498">
        <v>1.5</v>
      </c>
      <c r="C14" s="1453" t="s">
        <v>1479</v>
      </c>
      <c r="D14" s="1451" t="s">
        <v>3200</v>
      </c>
      <c r="E14" s="1451">
        <f>E13+(0.3*E10)</f>
        <v>1282.7666666666667</v>
      </c>
      <c r="F14" s="1451">
        <v>70</v>
      </c>
      <c r="G14" s="1451">
        <f t="shared" si="0"/>
        <v>89793.666666666672</v>
      </c>
      <c r="H14" s="1451">
        <f>'OR Sub TOS'!H34</f>
        <v>164.50409999999994</v>
      </c>
      <c r="I14" s="1550">
        <f>F14*H14</f>
        <v>11515.286999999995</v>
      </c>
    </row>
    <row r="15" spans="2:17" ht="15.75" customHeight="1">
      <c r="B15" s="1499">
        <v>1.6</v>
      </c>
      <c r="C15" s="1483" t="s">
        <v>1497</v>
      </c>
      <c r="D15" s="1479" t="s">
        <v>3201</v>
      </c>
      <c r="E15" s="1479">
        <v>705</v>
      </c>
      <c r="F15" s="1479">
        <v>200</v>
      </c>
      <c r="G15" s="1479">
        <f t="shared" si="0"/>
        <v>141000</v>
      </c>
      <c r="H15" s="1479">
        <f>'OR Sub TOS'!H47</f>
        <v>626.78</v>
      </c>
      <c r="I15" s="1553">
        <f>F15*H15</f>
        <v>125356</v>
      </c>
    </row>
    <row r="16" spans="2:17" ht="15.75" customHeight="1">
      <c r="B16" s="2148" t="s">
        <v>1330</v>
      </c>
      <c r="C16" s="2149"/>
      <c r="D16" s="2150"/>
      <c r="E16" s="1481"/>
      <c r="F16" s="1481"/>
      <c r="G16" s="1481">
        <f>SUM(G10:G15)</f>
        <v>368398.46666666667</v>
      </c>
      <c r="H16" s="1481"/>
      <c r="I16" s="1481">
        <f>SUM(I10:I15)</f>
        <v>191974.39367999998</v>
      </c>
    </row>
    <row r="17" spans="2:17" s="1299" customFormat="1" ht="15.75" customHeight="1">
      <c r="B17" s="1500"/>
      <c r="C17" s="1554" t="s">
        <v>1477</v>
      </c>
      <c r="D17" s="1484"/>
      <c r="E17" s="1484"/>
      <c r="F17" s="1484"/>
      <c r="G17" s="1484"/>
      <c r="H17" s="1484"/>
      <c r="I17" s="1555"/>
      <c r="K17" s="1340"/>
      <c r="L17" s="1340"/>
      <c r="M17" s="1340"/>
      <c r="N17" s="1340"/>
      <c r="O17" s="1340"/>
      <c r="P17" s="1340"/>
      <c r="Q17" s="1340"/>
    </row>
    <row r="18" spans="2:17" s="1299" customFormat="1" ht="15.75" customHeight="1">
      <c r="B18" s="1498">
        <v>2.1</v>
      </c>
      <c r="C18" s="1453" t="s">
        <v>1476</v>
      </c>
      <c r="D18" s="1451" t="s">
        <v>3201</v>
      </c>
      <c r="E18" s="1451"/>
      <c r="F18" s="1451">
        <v>150</v>
      </c>
      <c r="G18" s="1451">
        <f t="shared" si="0"/>
        <v>0</v>
      </c>
      <c r="H18" s="1451">
        <f>'OR Sub TOS'!H57</f>
        <v>122.00000000000003</v>
      </c>
      <c r="I18" s="1550">
        <f t="shared" si="1"/>
        <v>18300.000000000004</v>
      </c>
      <c r="K18" s="1340"/>
      <c r="L18" s="1340"/>
      <c r="M18" s="1340"/>
      <c r="N18" s="1340"/>
      <c r="O18" s="1340"/>
      <c r="P18" s="1340"/>
      <c r="Q18" s="1340"/>
    </row>
    <row r="19" spans="2:17" s="1299" customFormat="1" ht="15.75" customHeight="1">
      <c r="B19" s="1498">
        <v>2.2000000000000002</v>
      </c>
      <c r="C19" s="1453" t="s">
        <v>1475</v>
      </c>
      <c r="D19" s="1451" t="s">
        <v>3201</v>
      </c>
      <c r="E19" s="1451"/>
      <c r="F19" s="1451">
        <v>150</v>
      </c>
      <c r="G19" s="1451">
        <f t="shared" si="0"/>
        <v>0</v>
      </c>
      <c r="H19" s="1451"/>
      <c r="I19" s="1550">
        <f t="shared" si="1"/>
        <v>0</v>
      </c>
      <c r="K19" s="1340"/>
      <c r="L19" s="1340"/>
      <c r="M19" s="1340"/>
      <c r="N19" s="1340"/>
      <c r="O19" s="1340"/>
      <c r="P19" s="1340"/>
      <c r="Q19" s="1340"/>
    </row>
    <row r="20" spans="2:17" s="1299" customFormat="1" ht="15.75" customHeight="1">
      <c r="B20" s="1498">
        <v>2.2999999999999998</v>
      </c>
      <c r="C20" s="1453" t="s">
        <v>1572</v>
      </c>
      <c r="D20" s="1451" t="s">
        <v>3201</v>
      </c>
      <c r="E20" s="1451"/>
      <c r="F20" s="1451">
        <v>400</v>
      </c>
      <c r="G20" s="1451">
        <f t="shared" si="0"/>
        <v>0</v>
      </c>
      <c r="H20" s="1451">
        <f>'OR Sub TOS'!D77</f>
        <v>626.78</v>
      </c>
      <c r="I20" s="1550">
        <f t="shared" si="1"/>
        <v>250712</v>
      </c>
      <c r="K20" s="1340"/>
      <c r="L20" s="1340"/>
      <c r="M20" s="1340"/>
      <c r="N20" s="1340"/>
      <c r="O20" s="1340"/>
      <c r="P20" s="1340"/>
      <c r="Q20" s="1340"/>
    </row>
    <row r="21" spans="2:17" s="1299" customFormat="1" ht="15.75" customHeight="1">
      <c r="B21" s="1498">
        <v>2.2999999999999998</v>
      </c>
      <c r="C21" s="1453" t="s">
        <v>1573</v>
      </c>
      <c r="D21" s="1451" t="s">
        <v>3200</v>
      </c>
      <c r="E21" s="1451"/>
      <c r="F21" s="1451">
        <v>3200</v>
      </c>
      <c r="G21" s="1451">
        <f t="shared" si="0"/>
        <v>0</v>
      </c>
      <c r="H21" s="1451">
        <f>'OR Sub TOS'!D88</f>
        <v>31.040000000000003</v>
      </c>
      <c r="I21" s="1550">
        <f t="shared" si="1"/>
        <v>99328.000000000015</v>
      </c>
      <c r="K21" s="1340"/>
      <c r="L21" s="1340"/>
      <c r="M21" s="1340"/>
      <c r="N21" s="1340"/>
      <c r="O21" s="1340"/>
      <c r="P21" s="1340"/>
      <c r="Q21" s="1340"/>
    </row>
    <row r="22" spans="2:17" s="1299" customFormat="1" ht="15.75" customHeight="1">
      <c r="B22" s="1498">
        <v>2.4</v>
      </c>
      <c r="C22" s="1453" t="s">
        <v>1471</v>
      </c>
      <c r="D22" s="1451" t="s">
        <v>3200</v>
      </c>
      <c r="E22" s="1451"/>
      <c r="F22" s="1451">
        <v>3200</v>
      </c>
      <c r="G22" s="1451">
        <f t="shared" si="0"/>
        <v>0</v>
      </c>
      <c r="H22" s="1451"/>
      <c r="I22" s="1550">
        <f t="shared" si="1"/>
        <v>0</v>
      </c>
      <c r="K22" s="1340"/>
      <c r="L22" s="1340"/>
      <c r="M22" s="1340"/>
      <c r="N22" s="1340"/>
      <c r="O22" s="1340"/>
      <c r="P22" s="1340"/>
      <c r="Q22" s="1340"/>
    </row>
    <row r="23" spans="2:17" s="1299" customFormat="1" ht="15.75" customHeight="1">
      <c r="B23" s="1498">
        <v>2.5</v>
      </c>
      <c r="C23" s="1453" t="s">
        <v>1470</v>
      </c>
      <c r="D23" s="1451" t="s">
        <v>3200</v>
      </c>
      <c r="E23" s="1451"/>
      <c r="F23" s="1451">
        <v>3200</v>
      </c>
      <c r="G23" s="1451">
        <f t="shared" si="0"/>
        <v>0</v>
      </c>
      <c r="H23" s="1451"/>
      <c r="I23" s="1550">
        <f t="shared" si="1"/>
        <v>0</v>
      </c>
      <c r="K23" s="1340"/>
      <c r="L23" s="1340"/>
      <c r="M23" s="1340"/>
      <c r="N23" s="1340"/>
      <c r="O23" s="1340"/>
      <c r="P23" s="1340"/>
      <c r="Q23" s="1340"/>
    </row>
    <row r="24" spans="2:17" s="1299" customFormat="1" ht="15.75" customHeight="1">
      <c r="B24" s="1498"/>
      <c r="C24" s="1453" t="s">
        <v>1568</v>
      </c>
      <c r="D24" s="1451"/>
      <c r="E24" s="1451"/>
      <c r="F24" s="1451"/>
      <c r="G24" s="1451"/>
      <c r="H24" s="1451"/>
      <c r="I24" s="1550"/>
      <c r="K24" s="1340"/>
      <c r="L24" s="1340"/>
      <c r="M24" s="1340"/>
      <c r="N24" s="1340"/>
      <c r="O24" s="1340"/>
      <c r="P24" s="1340"/>
      <c r="Q24" s="1340"/>
    </row>
    <row r="25" spans="2:17" s="1299" customFormat="1" ht="15.75" customHeight="1">
      <c r="B25" s="1498">
        <v>2.6</v>
      </c>
      <c r="C25" s="1453" t="s">
        <v>1</v>
      </c>
      <c r="D25" s="1451" t="s">
        <v>3201</v>
      </c>
      <c r="E25" s="1451"/>
      <c r="F25" s="1451">
        <v>120</v>
      </c>
      <c r="G25" s="1451">
        <f t="shared" si="0"/>
        <v>0</v>
      </c>
      <c r="H25" s="1451">
        <f>'OR Sub TOS'!D102</f>
        <v>243.32000000000002</v>
      </c>
      <c r="I25" s="1550">
        <f t="shared" si="1"/>
        <v>29198.400000000001</v>
      </c>
      <c r="K25" s="1340"/>
      <c r="L25" s="1340"/>
      <c r="M25" s="1340"/>
      <c r="N25" s="1340"/>
      <c r="O25" s="1340"/>
      <c r="P25" s="1340"/>
      <c r="Q25" s="1340"/>
    </row>
    <row r="26" spans="2:17" s="1299" customFormat="1" ht="15.75" customHeight="1">
      <c r="B26" s="1498"/>
      <c r="C26" s="1453" t="s">
        <v>1454</v>
      </c>
      <c r="D26" s="1451"/>
      <c r="E26" s="1451"/>
      <c r="F26" s="1451"/>
      <c r="G26" s="1451"/>
      <c r="H26" s="1451"/>
      <c r="I26" s="1550"/>
      <c r="K26" s="1340"/>
      <c r="L26" s="1340"/>
      <c r="M26" s="1340"/>
      <c r="N26" s="1340"/>
      <c r="O26" s="1340"/>
      <c r="P26" s="1340"/>
      <c r="Q26" s="1340"/>
    </row>
    <row r="27" spans="2:17" s="1299" customFormat="1" ht="15.75" customHeight="1">
      <c r="B27" s="1498">
        <v>2.6</v>
      </c>
      <c r="C27" s="1453" t="s">
        <v>1468</v>
      </c>
      <c r="D27" s="1451" t="s">
        <v>1450</v>
      </c>
      <c r="E27" s="1451"/>
      <c r="F27" s="1451">
        <v>36</v>
      </c>
      <c r="G27" s="1451">
        <f t="shared" si="0"/>
        <v>0</v>
      </c>
      <c r="H27" s="1451">
        <f>'OR Sub TOS'!D106</f>
        <v>2494.8263999999999</v>
      </c>
      <c r="I27" s="1550">
        <f t="shared" si="1"/>
        <v>89813.75039999999</v>
      </c>
      <c r="K27" s="1340"/>
      <c r="L27" s="1340"/>
      <c r="M27" s="1340"/>
      <c r="N27" s="1340"/>
      <c r="O27" s="1340"/>
      <c r="P27" s="1340"/>
      <c r="Q27" s="1340"/>
    </row>
    <row r="28" spans="2:17" s="1299" customFormat="1" ht="15.75" customHeight="1">
      <c r="B28" s="1498">
        <v>2.7</v>
      </c>
      <c r="C28" s="1453" t="s">
        <v>1467</v>
      </c>
      <c r="D28" s="1451" t="s">
        <v>1450</v>
      </c>
      <c r="E28" s="1451"/>
      <c r="F28" s="1451">
        <v>36</v>
      </c>
      <c r="G28" s="1451">
        <f t="shared" si="0"/>
        <v>0</v>
      </c>
      <c r="H28" s="1451"/>
      <c r="I28" s="1550">
        <f t="shared" si="1"/>
        <v>0</v>
      </c>
      <c r="K28" s="1340"/>
      <c r="L28" s="1340"/>
      <c r="M28" s="1340"/>
      <c r="N28" s="1340"/>
      <c r="O28" s="1340"/>
      <c r="P28" s="1340"/>
      <c r="Q28" s="1340"/>
    </row>
    <row r="29" spans="2:17" s="1299" customFormat="1" ht="15.75" customHeight="1">
      <c r="B29" s="1498">
        <v>2.8</v>
      </c>
      <c r="C29" s="1453" t="s">
        <v>1451</v>
      </c>
      <c r="D29" s="1451" t="s">
        <v>1450</v>
      </c>
      <c r="E29" s="1451"/>
      <c r="F29" s="1451">
        <v>36</v>
      </c>
      <c r="G29" s="1451">
        <f t="shared" si="0"/>
        <v>0</v>
      </c>
      <c r="H29" s="1451">
        <f>'OR Sub TOS'!D109</f>
        <v>3252.9780625000003</v>
      </c>
      <c r="I29" s="1550">
        <f t="shared" si="1"/>
        <v>117107.21025</v>
      </c>
      <c r="K29" s="1340"/>
      <c r="L29" s="1340"/>
      <c r="M29" s="1340"/>
      <c r="N29" s="1340"/>
      <c r="O29" s="1340"/>
      <c r="P29" s="1340"/>
      <c r="Q29" s="1340"/>
    </row>
    <row r="30" spans="2:17" ht="15.75" customHeight="1">
      <c r="B30" s="1499">
        <v>2.9</v>
      </c>
      <c r="C30" s="1483" t="s">
        <v>1466</v>
      </c>
      <c r="D30" s="1479" t="s">
        <v>1406</v>
      </c>
      <c r="E30" s="1479"/>
      <c r="F30" s="1479">
        <v>30</v>
      </c>
      <c r="G30" s="1479">
        <f t="shared" si="0"/>
        <v>0</v>
      </c>
      <c r="H30" s="1479">
        <f>'OR Sub TOS'!D119</f>
        <v>490.6</v>
      </c>
      <c r="I30" s="1553">
        <f>F30*H30</f>
        <v>14718</v>
      </c>
    </row>
    <row r="31" spans="2:17" ht="15.75" customHeight="1">
      <c r="B31" s="2148" t="s">
        <v>1330</v>
      </c>
      <c r="C31" s="2149"/>
      <c r="D31" s="2150"/>
      <c r="E31" s="1481"/>
      <c r="F31" s="1481"/>
      <c r="G31" s="1481">
        <f>SUM(G18:G30)</f>
        <v>0</v>
      </c>
      <c r="H31" s="1481"/>
      <c r="I31" s="1481">
        <f>SUM(I18:I30)</f>
        <v>619177.36065000005</v>
      </c>
    </row>
    <row r="32" spans="2:17" ht="15.75" customHeight="1">
      <c r="B32" s="1500"/>
      <c r="C32" s="1554" t="s">
        <v>1465</v>
      </c>
      <c r="D32" s="1484"/>
      <c r="E32" s="1484"/>
      <c r="F32" s="1484"/>
      <c r="G32" s="1484"/>
      <c r="H32" s="1484"/>
      <c r="I32" s="1555"/>
    </row>
    <row r="33" spans="2:9" ht="15.75" customHeight="1">
      <c r="B33" s="1498">
        <v>3.1</v>
      </c>
      <c r="C33" s="1453" t="s">
        <v>1464</v>
      </c>
      <c r="D33" s="1451" t="s">
        <v>3200</v>
      </c>
      <c r="E33" s="1451">
        <v>1250</v>
      </c>
      <c r="F33" s="1451">
        <v>700</v>
      </c>
      <c r="G33" s="1451">
        <f t="shared" si="0"/>
        <v>875000</v>
      </c>
      <c r="H33" s="1451">
        <f>'OR Sub TOS'!H91</f>
        <v>66.569600000000008</v>
      </c>
      <c r="I33" s="1550">
        <f t="shared" si="1"/>
        <v>46598.720000000008</v>
      </c>
    </row>
    <row r="34" spans="2:9" ht="15.75" customHeight="1">
      <c r="B34" s="1499">
        <v>3.2</v>
      </c>
      <c r="C34" s="1483" t="s">
        <v>1463</v>
      </c>
      <c r="D34" s="1479" t="s">
        <v>3200</v>
      </c>
      <c r="E34" s="1479">
        <v>1450</v>
      </c>
      <c r="F34" s="1479">
        <v>1900</v>
      </c>
      <c r="G34" s="1479">
        <f t="shared" si="0"/>
        <v>2755000</v>
      </c>
      <c r="H34" s="1479">
        <f>'OR Sub TOS'!H87</f>
        <v>7.8504000000000005</v>
      </c>
      <c r="I34" s="1553">
        <f t="shared" si="1"/>
        <v>14915.76</v>
      </c>
    </row>
    <row r="35" spans="2:9" ht="15.75" customHeight="1">
      <c r="B35" s="2148" t="s">
        <v>1330</v>
      </c>
      <c r="C35" s="2149"/>
      <c r="D35" s="2150"/>
      <c r="E35" s="1481"/>
      <c r="F35" s="1481"/>
      <c r="G35" s="1481">
        <f>SUM(G33:G34)</f>
        <v>3630000</v>
      </c>
      <c r="H35" s="1481"/>
      <c r="I35" s="1481">
        <f>SUM(I33:I34)</f>
        <v>61514.48000000001</v>
      </c>
    </row>
    <row r="36" spans="2:9" ht="15.75" customHeight="1">
      <c r="B36" s="1500"/>
      <c r="C36" s="1485" t="s">
        <v>1462</v>
      </c>
      <c r="D36" s="1484"/>
      <c r="E36" s="1484"/>
      <c r="F36" s="1484"/>
      <c r="G36" s="1484"/>
      <c r="H36" s="1484"/>
      <c r="I36" s="1555"/>
    </row>
    <row r="37" spans="2:9" ht="15.75" customHeight="1">
      <c r="B37" s="1501"/>
      <c r="C37" s="1548" t="s">
        <v>1461</v>
      </c>
      <c r="D37" s="1451"/>
      <c r="E37" s="1451"/>
      <c r="F37" s="1451"/>
      <c r="G37" s="1451"/>
      <c r="H37" s="1451"/>
      <c r="I37" s="1550"/>
    </row>
    <row r="38" spans="2:9" ht="15.75" customHeight="1">
      <c r="B38" s="1501"/>
      <c r="C38" s="1453" t="s">
        <v>1460</v>
      </c>
      <c r="D38" s="1451"/>
      <c r="E38" s="1451"/>
      <c r="F38" s="1451"/>
      <c r="G38" s="1451"/>
      <c r="H38" s="1451"/>
      <c r="I38" s="1550"/>
    </row>
    <row r="39" spans="2:9" ht="15.75" customHeight="1">
      <c r="B39" s="1498">
        <v>1.1000000000000001</v>
      </c>
      <c r="C39" s="1453" t="s">
        <v>1459</v>
      </c>
      <c r="D39" s="1451" t="s">
        <v>3200</v>
      </c>
      <c r="E39" s="1451">
        <v>5</v>
      </c>
      <c r="F39" s="1451">
        <v>3200</v>
      </c>
      <c r="G39" s="1451">
        <f t="shared" si="0"/>
        <v>16000</v>
      </c>
      <c r="H39" s="1451">
        <f>'OR Super TOS '!D13</f>
        <v>3.9312000000000005</v>
      </c>
      <c r="I39" s="1550">
        <f t="shared" si="1"/>
        <v>12579.840000000002</v>
      </c>
    </row>
    <row r="40" spans="2:9" ht="15.75" customHeight="1">
      <c r="B40" s="1498">
        <v>1.2</v>
      </c>
      <c r="C40" s="1453" t="s">
        <v>1458</v>
      </c>
      <c r="D40" s="1451" t="s">
        <v>3200</v>
      </c>
      <c r="E40" s="1451">
        <v>23</v>
      </c>
      <c r="F40" s="1451">
        <v>3200</v>
      </c>
      <c r="G40" s="1451">
        <f t="shared" si="0"/>
        <v>73600</v>
      </c>
      <c r="H40" s="1451">
        <f>'OR Super TOS '!D36</f>
        <v>18.692999999999998</v>
      </c>
      <c r="I40" s="1550">
        <f t="shared" si="1"/>
        <v>59817.599999999991</v>
      </c>
    </row>
    <row r="41" spans="2:9" ht="15.75" customHeight="1">
      <c r="B41" s="1498">
        <v>1.3</v>
      </c>
      <c r="C41" s="1453" t="s">
        <v>3</v>
      </c>
      <c r="D41" s="1451" t="s">
        <v>3200</v>
      </c>
      <c r="E41" s="1451">
        <v>1.2</v>
      </c>
      <c r="F41" s="1451">
        <v>3200</v>
      </c>
      <c r="G41" s="1451">
        <f t="shared" si="0"/>
        <v>3840</v>
      </c>
      <c r="H41" s="1451">
        <f>'OR Super TOS '!H16</f>
        <v>1.395</v>
      </c>
      <c r="I41" s="1550">
        <f t="shared" si="1"/>
        <v>4464</v>
      </c>
    </row>
    <row r="42" spans="2:9" ht="15.75" customHeight="1">
      <c r="B42" s="1498"/>
      <c r="C42" s="1453" t="s">
        <v>1568</v>
      </c>
      <c r="D42" s="1451"/>
      <c r="E42" s="1451"/>
      <c r="F42" s="1451"/>
      <c r="G42" s="1451"/>
      <c r="H42" s="1451"/>
      <c r="I42" s="1550"/>
    </row>
    <row r="43" spans="2:9" ht="15.75" customHeight="1">
      <c r="B43" s="1498">
        <v>1.4</v>
      </c>
      <c r="C43" s="1453" t="s">
        <v>1456</v>
      </c>
      <c r="D43" s="1451" t="s">
        <v>3201</v>
      </c>
      <c r="E43" s="1451">
        <v>101</v>
      </c>
      <c r="F43" s="1451">
        <v>130</v>
      </c>
      <c r="G43" s="1451">
        <f t="shared" si="0"/>
        <v>13130</v>
      </c>
      <c r="H43" s="1451">
        <f>'OR Super TOS '!H22</f>
        <v>78.624000000000009</v>
      </c>
      <c r="I43" s="1550">
        <f t="shared" si="1"/>
        <v>10221.120000000001</v>
      </c>
    </row>
    <row r="44" spans="2:9" ht="15.75" customHeight="1">
      <c r="B44" s="1498">
        <v>1.5</v>
      </c>
      <c r="C44" s="1453" t="s">
        <v>1455</v>
      </c>
      <c r="D44" s="1451" t="s">
        <v>3201</v>
      </c>
      <c r="E44" s="1451">
        <v>313</v>
      </c>
      <c r="F44" s="1451">
        <v>130</v>
      </c>
      <c r="G44" s="1451">
        <f t="shared" si="0"/>
        <v>40690</v>
      </c>
      <c r="H44" s="1451">
        <f>'OR Super TOS '!H51</f>
        <v>245.04000000000005</v>
      </c>
      <c r="I44" s="1550">
        <f t="shared" si="1"/>
        <v>31855.200000000008</v>
      </c>
    </row>
    <row r="45" spans="2:9" ht="15.75" customHeight="1">
      <c r="B45" s="1498">
        <v>1.6</v>
      </c>
      <c r="C45" s="1453" t="s">
        <v>3</v>
      </c>
      <c r="D45" s="1451" t="s">
        <v>3201</v>
      </c>
      <c r="E45" s="1451">
        <v>10</v>
      </c>
      <c r="F45" s="1451">
        <v>130</v>
      </c>
      <c r="G45" s="1451">
        <f t="shared" si="0"/>
        <v>1300</v>
      </c>
      <c r="H45" s="1451">
        <f>'OR Super TOS '!D77</f>
        <v>22.55</v>
      </c>
      <c r="I45" s="1550">
        <f t="shared" si="1"/>
        <v>2931.5</v>
      </c>
    </row>
    <row r="46" spans="2:9" ht="15.75" customHeight="1">
      <c r="B46" s="1498"/>
      <c r="C46" s="1453" t="s">
        <v>1454</v>
      </c>
      <c r="D46" s="1451"/>
      <c r="E46" s="1451"/>
      <c r="F46" s="1451"/>
      <c r="G46" s="1451"/>
      <c r="H46" s="1451"/>
      <c r="I46" s="1550"/>
    </row>
    <row r="47" spans="2:9" ht="15.75" customHeight="1">
      <c r="B47" s="1498">
        <v>1.7</v>
      </c>
      <c r="C47" s="1453" t="s">
        <v>1468</v>
      </c>
      <c r="D47" s="1451" t="s">
        <v>1450</v>
      </c>
      <c r="E47" s="1451">
        <v>2614</v>
      </c>
      <c r="F47" s="1451">
        <v>36</v>
      </c>
      <c r="G47" s="1451">
        <f>E47*F47</f>
        <v>94104</v>
      </c>
      <c r="H47" s="1451">
        <f>'OR Super TOS '!D81</f>
        <v>320.60160000000002</v>
      </c>
      <c r="I47" s="1550">
        <f>F47*H47</f>
        <v>11541.6576</v>
      </c>
    </row>
    <row r="48" spans="2:9" ht="15.75" customHeight="1">
      <c r="B48" s="1498">
        <v>1.7</v>
      </c>
      <c r="C48" s="1453" t="s">
        <v>1574</v>
      </c>
      <c r="D48" s="1451" t="s">
        <v>1450</v>
      </c>
      <c r="E48" s="1451">
        <v>2614</v>
      </c>
      <c r="F48" s="1451">
        <v>36</v>
      </c>
      <c r="G48" s="1451">
        <f t="shared" si="0"/>
        <v>94104</v>
      </c>
      <c r="H48" s="1451">
        <f>'OR Super TOS '!D85</f>
        <v>2389.2794400000002</v>
      </c>
      <c r="I48" s="1550">
        <f t="shared" si="1"/>
        <v>86014.059840000002</v>
      </c>
    </row>
    <row r="49" spans="2:10" ht="15.75" customHeight="1">
      <c r="B49" s="1499">
        <v>1.8</v>
      </c>
      <c r="C49" s="1483" t="s">
        <v>1451</v>
      </c>
      <c r="D49" s="1479" t="s">
        <v>1450</v>
      </c>
      <c r="E49" s="1479">
        <v>786</v>
      </c>
      <c r="F49" s="1479">
        <v>36</v>
      </c>
      <c r="G49" s="1479">
        <f t="shared" si="0"/>
        <v>28296</v>
      </c>
      <c r="H49" s="1479">
        <f>'OR Super TOS '!D89</f>
        <v>783.87750000000005</v>
      </c>
      <c r="I49" s="1553">
        <f t="shared" si="1"/>
        <v>28219.590000000004</v>
      </c>
    </row>
    <row r="50" spans="2:10" ht="15.75" customHeight="1">
      <c r="B50" s="2148" t="s">
        <v>1330</v>
      </c>
      <c r="C50" s="2149"/>
      <c r="D50" s="2150"/>
      <c r="E50" s="1481"/>
      <c r="F50" s="1481"/>
      <c r="G50" s="1481">
        <f>SUM(G39:G49)</f>
        <v>365064</v>
      </c>
      <c r="H50" s="1481"/>
      <c r="I50" s="1481">
        <f>SUM(I39:I49)</f>
        <v>247644.56743999998</v>
      </c>
      <c r="J50" s="1339"/>
    </row>
    <row r="51" spans="2:10" ht="15.75" customHeight="1">
      <c r="B51" s="1500"/>
      <c r="C51" s="1556" t="s">
        <v>1449</v>
      </c>
      <c r="D51" s="1484"/>
      <c r="E51" s="1484"/>
      <c r="F51" s="1484"/>
      <c r="G51" s="1484"/>
      <c r="H51" s="1484"/>
      <c r="I51" s="1555"/>
    </row>
    <row r="52" spans="2:10" ht="15.75" customHeight="1">
      <c r="B52" s="1498">
        <v>2.1</v>
      </c>
      <c r="C52" s="1453" t="s">
        <v>1447</v>
      </c>
      <c r="D52" s="1451" t="s">
        <v>3201</v>
      </c>
      <c r="E52" s="1451">
        <v>561</v>
      </c>
      <c r="F52" s="1451">
        <v>350</v>
      </c>
      <c r="G52" s="1451">
        <f t="shared" si="0"/>
        <v>196350</v>
      </c>
      <c r="H52" s="1451">
        <f>'OR Super TOS '!D130</f>
        <v>431.59199999999998</v>
      </c>
      <c r="I52" s="1550">
        <f t="shared" si="1"/>
        <v>151057.19999999998</v>
      </c>
    </row>
    <row r="53" spans="2:10" ht="15.75" customHeight="1">
      <c r="B53" s="1499">
        <v>2.2000000000000002</v>
      </c>
      <c r="C53" s="1483" t="s">
        <v>1446</v>
      </c>
      <c r="D53" s="1479" t="s">
        <v>3201</v>
      </c>
      <c r="E53" s="1479">
        <v>317</v>
      </c>
      <c r="F53" s="1479">
        <v>320</v>
      </c>
      <c r="G53" s="1479">
        <f t="shared" si="0"/>
        <v>101440</v>
      </c>
      <c r="H53" s="1479">
        <f>'OR Super TOS '!D212</f>
        <v>452.62300000000005</v>
      </c>
      <c r="I53" s="1553">
        <f t="shared" si="1"/>
        <v>144839.36000000002</v>
      </c>
    </row>
    <row r="54" spans="2:10" ht="15.75" customHeight="1">
      <c r="B54" s="2148" t="s">
        <v>1330</v>
      </c>
      <c r="C54" s="2149"/>
      <c r="D54" s="2150"/>
      <c r="E54" s="1481"/>
      <c r="F54" s="1481"/>
      <c r="G54" s="1481">
        <f>SUM(G52:G53)</f>
        <v>297790</v>
      </c>
      <c r="H54" s="1481"/>
      <c r="I54" s="1481">
        <f>SUM(I52:I53)</f>
        <v>295896.56</v>
      </c>
    </row>
    <row r="55" spans="2:10" ht="15.75" customHeight="1">
      <c r="B55" s="1500"/>
      <c r="C55" s="1554" t="s">
        <v>1443</v>
      </c>
      <c r="D55" s="1484"/>
      <c r="E55" s="1484"/>
      <c r="F55" s="1484"/>
      <c r="G55" s="1484"/>
      <c r="H55" s="1484"/>
      <c r="I55" s="1555"/>
    </row>
    <row r="56" spans="2:10" ht="15.75" customHeight="1">
      <c r="B56" s="1498">
        <v>3.1</v>
      </c>
      <c r="C56" s="1453" t="s">
        <v>1442</v>
      </c>
      <c r="D56" s="1451" t="s">
        <v>3201</v>
      </c>
      <c r="E56" s="1451">
        <v>987.89</v>
      </c>
      <c r="F56" s="1451">
        <v>360</v>
      </c>
      <c r="G56" s="1451">
        <f t="shared" si="0"/>
        <v>355640.4</v>
      </c>
      <c r="H56" s="1451">
        <f>'OR Super TOS '!D218</f>
        <v>773.95500000000004</v>
      </c>
      <c r="I56" s="1550">
        <f t="shared" si="1"/>
        <v>278623.8</v>
      </c>
    </row>
    <row r="57" spans="2:10" ht="15.75" customHeight="1">
      <c r="B57" s="1498">
        <v>3.2</v>
      </c>
      <c r="C57" s="1456" t="s">
        <v>1575</v>
      </c>
      <c r="D57" s="1451" t="s">
        <v>3201</v>
      </c>
      <c r="E57" s="1451">
        <v>85</v>
      </c>
      <c r="F57" s="1451">
        <v>160</v>
      </c>
      <c r="G57" s="1451">
        <f t="shared" si="0"/>
        <v>13600</v>
      </c>
      <c r="H57" s="1451">
        <f>'OR Super TOS '!D228</f>
        <v>74.400000000000006</v>
      </c>
      <c r="I57" s="1550">
        <f t="shared" si="1"/>
        <v>11904</v>
      </c>
    </row>
    <row r="58" spans="2:10" ht="15.75" customHeight="1">
      <c r="B58" s="1498">
        <v>3.3</v>
      </c>
      <c r="C58" s="1453" t="s">
        <v>1440</v>
      </c>
      <c r="D58" s="1451" t="s">
        <v>1406</v>
      </c>
      <c r="E58" s="1451">
        <v>141</v>
      </c>
      <c r="F58" s="1451">
        <v>110</v>
      </c>
      <c r="G58" s="1451">
        <f t="shared" si="0"/>
        <v>15510</v>
      </c>
      <c r="H58" s="1451">
        <f>'OR Super TOS '!D237</f>
        <v>61.96</v>
      </c>
      <c r="I58" s="1550">
        <f t="shared" si="1"/>
        <v>6815.6</v>
      </c>
    </row>
    <row r="59" spans="2:10" ht="18" customHeight="1">
      <c r="B59" s="1499">
        <v>3.4</v>
      </c>
      <c r="C59" s="1490" t="s">
        <v>1576</v>
      </c>
      <c r="D59" s="1479" t="s">
        <v>1406</v>
      </c>
      <c r="E59" s="1479">
        <v>108</v>
      </c>
      <c r="F59" s="1479">
        <v>120</v>
      </c>
      <c r="G59" s="1479">
        <f t="shared" si="0"/>
        <v>12960</v>
      </c>
      <c r="H59" s="1479">
        <f>'OR Super TOS '!H185</f>
        <v>88.2</v>
      </c>
      <c r="I59" s="1553">
        <f t="shared" si="1"/>
        <v>10584</v>
      </c>
    </row>
    <row r="60" spans="2:10" ht="15.75" customHeight="1">
      <c r="B60" s="2148" t="s">
        <v>1330</v>
      </c>
      <c r="C60" s="2149"/>
      <c r="D60" s="2150"/>
      <c r="E60" s="1481"/>
      <c r="F60" s="1481"/>
      <c r="G60" s="1481">
        <f>SUM(G56:G59)</f>
        <v>397710.4</v>
      </c>
      <c r="H60" s="1481"/>
      <c r="I60" s="1481">
        <f>SUM(I56:I59)</f>
        <v>307927.39999999997</v>
      </c>
    </row>
    <row r="61" spans="2:10" ht="15.75" customHeight="1">
      <c r="B61" s="1500"/>
      <c r="C61" s="1554" t="s">
        <v>1438</v>
      </c>
      <c r="D61" s="1484"/>
      <c r="E61" s="1484"/>
      <c r="F61" s="1484"/>
      <c r="G61" s="1484"/>
      <c r="H61" s="1484"/>
      <c r="I61" s="1555"/>
    </row>
    <row r="62" spans="2:10" ht="15.75" customHeight="1">
      <c r="B62" s="1498">
        <v>4.0999999999999996</v>
      </c>
      <c r="C62" s="1453" t="s">
        <v>1501</v>
      </c>
      <c r="D62" s="1451" t="s">
        <v>1406</v>
      </c>
      <c r="E62" s="1451">
        <v>1305.31</v>
      </c>
      <c r="F62" s="1451">
        <v>23</v>
      </c>
      <c r="G62" s="1451">
        <f t="shared" si="0"/>
        <v>30022.129999999997</v>
      </c>
      <c r="H62" s="1451">
        <f>'OR Super TOS '!H194</f>
        <v>1155.33</v>
      </c>
      <c r="I62" s="1550">
        <f t="shared" si="1"/>
        <v>26572.589999999997</v>
      </c>
    </row>
    <row r="63" spans="2:10" ht="15.75" customHeight="1">
      <c r="B63" s="1498">
        <v>4.2</v>
      </c>
      <c r="C63" s="1453" t="s">
        <v>1436</v>
      </c>
      <c r="D63" s="1451" t="s">
        <v>1406</v>
      </c>
      <c r="E63" s="1451">
        <v>752.4</v>
      </c>
      <c r="F63" s="1451">
        <v>16</v>
      </c>
      <c r="G63" s="1451">
        <f t="shared" si="0"/>
        <v>12038.4</v>
      </c>
      <c r="H63" s="1451">
        <f>'OR Super TOS '!H202</f>
        <v>1498.8600000000001</v>
      </c>
      <c r="I63" s="1550">
        <f t="shared" si="1"/>
        <v>23981.760000000002</v>
      </c>
    </row>
    <row r="64" spans="2:10" ht="15.75" customHeight="1">
      <c r="B64" s="1498">
        <v>4.3</v>
      </c>
      <c r="C64" s="1453" t="s">
        <v>1435</v>
      </c>
      <c r="D64" s="1451" t="s">
        <v>1406</v>
      </c>
      <c r="E64" s="1451">
        <v>1013.22</v>
      </c>
      <c r="F64" s="1451">
        <v>33</v>
      </c>
      <c r="G64" s="1451">
        <f t="shared" si="0"/>
        <v>33436.26</v>
      </c>
      <c r="H64" s="1451">
        <f>'OR Super TOS '!H208</f>
        <v>970.2</v>
      </c>
      <c r="I64" s="1550">
        <f t="shared" si="1"/>
        <v>32016.600000000002</v>
      </c>
    </row>
    <row r="65" spans="2:11" ht="15.75" customHeight="1">
      <c r="B65" s="1498">
        <v>4.4000000000000004</v>
      </c>
      <c r="C65" s="1453" t="s">
        <v>1434</v>
      </c>
      <c r="D65" s="1451" t="s">
        <v>1406</v>
      </c>
      <c r="E65" s="1451">
        <v>112.58</v>
      </c>
      <c r="F65" s="1451">
        <v>71</v>
      </c>
      <c r="G65" s="1451">
        <f t="shared" si="0"/>
        <v>7993.18</v>
      </c>
      <c r="H65" s="1451">
        <f>'OR Super TOS '!H216</f>
        <v>123.92</v>
      </c>
      <c r="I65" s="1550">
        <f t="shared" si="1"/>
        <v>8798.32</v>
      </c>
    </row>
    <row r="66" spans="2:11" ht="15.75" customHeight="1">
      <c r="B66" s="1498"/>
      <c r="C66" s="1453" t="s">
        <v>1433</v>
      </c>
      <c r="D66" s="1451"/>
      <c r="E66" s="1451"/>
      <c r="F66" s="1451"/>
      <c r="G66" s="1451"/>
      <c r="H66" s="1451"/>
      <c r="I66" s="1550"/>
    </row>
    <row r="67" spans="2:11" ht="15.75" customHeight="1">
      <c r="B67" s="1498">
        <v>4.5</v>
      </c>
      <c r="C67" s="1453" t="s">
        <v>1432</v>
      </c>
      <c r="D67" s="1451" t="s">
        <v>1416</v>
      </c>
      <c r="E67" s="1451">
        <v>2</v>
      </c>
      <c r="F67" s="1451">
        <v>5187</v>
      </c>
      <c r="G67" s="1451">
        <f t="shared" si="0"/>
        <v>10374</v>
      </c>
      <c r="H67" s="1451"/>
      <c r="I67" s="1550">
        <f t="shared" si="1"/>
        <v>0</v>
      </c>
    </row>
    <row r="68" spans="2:11" ht="15.75" customHeight="1">
      <c r="B68" s="1498">
        <v>4.5999999999999996</v>
      </c>
      <c r="C68" s="1453" t="s">
        <v>1431</v>
      </c>
      <c r="D68" s="1451" t="s">
        <v>1416</v>
      </c>
      <c r="E68" s="1451">
        <v>7</v>
      </c>
      <c r="F68" s="1451">
        <v>4149</v>
      </c>
      <c r="G68" s="1451">
        <f t="shared" si="0"/>
        <v>29043</v>
      </c>
      <c r="H68" s="1451">
        <f>'OR Super TOS '!H221</f>
        <v>4</v>
      </c>
      <c r="I68" s="1550">
        <f t="shared" si="1"/>
        <v>16596</v>
      </c>
      <c r="K68" s="1546"/>
    </row>
    <row r="69" spans="2:11" ht="15.75" customHeight="1">
      <c r="B69" s="1498">
        <v>4.7</v>
      </c>
      <c r="C69" s="1453" t="s">
        <v>1430</v>
      </c>
      <c r="D69" s="1451" t="s">
        <v>1416</v>
      </c>
      <c r="E69" s="1451">
        <v>6</v>
      </c>
      <c r="F69" s="1451">
        <v>3630</v>
      </c>
      <c r="G69" s="1451">
        <f t="shared" si="0"/>
        <v>21780</v>
      </c>
      <c r="H69" s="1451">
        <f>'OR Super TOS '!H225</f>
        <v>5</v>
      </c>
      <c r="I69" s="1550">
        <f t="shared" si="1"/>
        <v>18150</v>
      </c>
      <c r="K69" s="1546"/>
    </row>
    <row r="70" spans="2:11" ht="15.75" customHeight="1">
      <c r="B70" s="1498">
        <v>4.8</v>
      </c>
      <c r="C70" s="1453" t="s">
        <v>1429</v>
      </c>
      <c r="D70" s="1451" t="s">
        <v>1416</v>
      </c>
      <c r="E70" s="1451">
        <v>10</v>
      </c>
      <c r="F70" s="1451">
        <v>4668.3</v>
      </c>
      <c r="G70" s="1451">
        <f t="shared" si="0"/>
        <v>46683</v>
      </c>
      <c r="H70" s="1451">
        <f>'OR Super TOS '!H229</f>
        <v>15</v>
      </c>
      <c r="I70" s="1550">
        <f t="shared" si="1"/>
        <v>70024.5</v>
      </c>
      <c r="K70" s="1546"/>
    </row>
    <row r="71" spans="2:11" ht="15.75" customHeight="1">
      <c r="B71" s="1498"/>
      <c r="C71" s="1453" t="s">
        <v>2538</v>
      </c>
      <c r="D71" s="1451" t="s">
        <v>1416</v>
      </c>
      <c r="E71" s="1451"/>
      <c r="F71" s="1451">
        <v>6743.1</v>
      </c>
      <c r="G71" s="1451">
        <v>6743.1</v>
      </c>
      <c r="H71" s="1451">
        <f>'OR Super TOS '!H233</f>
        <v>2</v>
      </c>
      <c r="I71" s="1550">
        <f t="shared" si="1"/>
        <v>13486.2</v>
      </c>
      <c r="K71" s="1546"/>
    </row>
    <row r="72" spans="2:11" ht="15.75" customHeight="1">
      <c r="B72" s="1499"/>
      <c r="C72" s="1483" t="s">
        <v>2539</v>
      </c>
      <c r="D72" s="1479" t="s">
        <v>1416</v>
      </c>
      <c r="E72" s="1479"/>
      <c r="F72" s="1479">
        <v>7261.8</v>
      </c>
      <c r="G72" s="1479">
        <v>7261.8</v>
      </c>
      <c r="H72" s="1479">
        <f>'OR Super TOS '!H237</f>
        <v>7</v>
      </c>
      <c r="I72" s="1553">
        <f t="shared" si="1"/>
        <v>50832.6</v>
      </c>
      <c r="K72" s="1546"/>
    </row>
    <row r="73" spans="2:11" ht="15.75" customHeight="1">
      <c r="B73" s="2148" t="s">
        <v>1330</v>
      </c>
      <c r="C73" s="2149"/>
      <c r="D73" s="2150"/>
      <c r="E73" s="1481"/>
      <c r="F73" s="1481"/>
      <c r="G73" s="1481">
        <f>SUM(G62:G70)</f>
        <v>191369.97</v>
      </c>
      <c r="H73" s="1481"/>
      <c r="I73" s="1481">
        <f>SUM(I62:I72)</f>
        <v>260458.57</v>
      </c>
    </row>
    <row r="74" spans="2:11" ht="15.75" customHeight="1">
      <c r="B74" s="1500"/>
      <c r="C74" s="1554" t="s">
        <v>1428</v>
      </c>
      <c r="D74" s="1484"/>
      <c r="E74" s="1484"/>
      <c r="F74" s="1484"/>
      <c r="G74" s="1484"/>
      <c r="H74" s="1484"/>
      <c r="I74" s="1555"/>
    </row>
    <row r="75" spans="2:11" ht="15.75" customHeight="1">
      <c r="B75" s="1498"/>
      <c r="C75" s="1453" t="s">
        <v>1427</v>
      </c>
      <c r="D75" s="1451"/>
      <c r="E75" s="1451"/>
      <c r="F75" s="1451"/>
      <c r="G75" s="1451"/>
      <c r="H75" s="1451"/>
      <c r="I75" s="1550"/>
    </row>
    <row r="76" spans="2:11" ht="15.75" customHeight="1">
      <c r="B76" s="1498">
        <v>5.0999999999999996</v>
      </c>
      <c r="C76" s="1453" t="s">
        <v>1426</v>
      </c>
      <c r="D76" s="1451" t="s">
        <v>1416</v>
      </c>
      <c r="E76" s="1451">
        <v>26</v>
      </c>
      <c r="F76" s="1451">
        <v>3892.5</v>
      </c>
      <c r="G76" s="1451">
        <f t="shared" ref="G76:G117" si="2">E76*F76</f>
        <v>101205</v>
      </c>
      <c r="H76" s="1451">
        <f>'OR Super TOS '!D243</f>
        <v>22</v>
      </c>
      <c r="I76" s="1550">
        <f t="shared" ref="I76:I117" si="3">F76*H76</f>
        <v>85635</v>
      </c>
    </row>
    <row r="77" spans="2:11" ht="15.75" customHeight="1">
      <c r="B77" s="1498">
        <v>5.2</v>
      </c>
      <c r="C77" s="1453" t="s">
        <v>1425</v>
      </c>
      <c r="D77" s="1451" t="s">
        <v>1416</v>
      </c>
      <c r="E77" s="1451">
        <v>9</v>
      </c>
      <c r="F77" s="1451">
        <v>3373.5</v>
      </c>
      <c r="G77" s="1451">
        <f t="shared" si="2"/>
        <v>30361.5</v>
      </c>
      <c r="H77" s="1451">
        <f>'OR Super TOS '!D247</f>
        <v>3</v>
      </c>
      <c r="I77" s="1550">
        <f t="shared" si="3"/>
        <v>10120.5</v>
      </c>
    </row>
    <row r="78" spans="2:11" ht="15.75" customHeight="1">
      <c r="B78" s="1498">
        <v>5.3</v>
      </c>
      <c r="C78" s="1453" t="s">
        <v>1577</v>
      </c>
      <c r="D78" s="1451" t="s">
        <v>1416</v>
      </c>
      <c r="E78" s="1451">
        <v>2</v>
      </c>
      <c r="F78" s="1451">
        <v>2595</v>
      </c>
      <c r="G78" s="1451">
        <f t="shared" si="2"/>
        <v>5190</v>
      </c>
      <c r="H78" s="1451">
        <f>'OR Super TOS '!D251</f>
        <v>4</v>
      </c>
      <c r="I78" s="1550">
        <f t="shared" si="3"/>
        <v>10380</v>
      </c>
    </row>
    <row r="79" spans="2:11" ht="15.75" customHeight="1">
      <c r="B79" s="1498">
        <v>5.4</v>
      </c>
      <c r="C79" s="1453" t="s">
        <v>1578</v>
      </c>
      <c r="D79" s="1451" t="s">
        <v>1416</v>
      </c>
      <c r="E79" s="1451">
        <v>4</v>
      </c>
      <c r="F79" s="1451">
        <v>1350</v>
      </c>
      <c r="G79" s="1451">
        <f t="shared" si="2"/>
        <v>5400</v>
      </c>
      <c r="H79" s="1451">
        <f>'OR Super TOS '!D255</f>
        <v>3</v>
      </c>
      <c r="I79" s="1550">
        <f t="shared" si="3"/>
        <v>4050</v>
      </c>
    </row>
    <row r="80" spans="2:11" ht="15.75" customHeight="1">
      <c r="B80" s="1498">
        <v>5.5</v>
      </c>
      <c r="C80" s="1453" t="s">
        <v>1579</v>
      </c>
      <c r="D80" s="1451" t="s">
        <v>1416</v>
      </c>
      <c r="E80" s="1451">
        <v>1</v>
      </c>
      <c r="F80" s="1451">
        <v>2200</v>
      </c>
      <c r="G80" s="1451">
        <f t="shared" si="2"/>
        <v>2200</v>
      </c>
      <c r="H80" s="1451"/>
      <c r="I80" s="1550">
        <f t="shared" si="3"/>
        <v>0</v>
      </c>
    </row>
    <row r="81" spans="2:17" ht="15.75" customHeight="1">
      <c r="B81" s="1498"/>
      <c r="C81" s="1453" t="s">
        <v>1433</v>
      </c>
      <c r="D81" s="1451"/>
      <c r="E81" s="1451"/>
      <c r="F81" s="1451"/>
      <c r="G81" s="1451"/>
      <c r="H81" s="1451"/>
      <c r="I81" s="1550"/>
    </row>
    <row r="82" spans="2:17" ht="15.75" customHeight="1">
      <c r="B82" s="1498">
        <v>5.6</v>
      </c>
      <c r="C82" s="1453" t="s">
        <v>1505</v>
      </c>
      <c r="D82" s="1451" t="s">
        <v>1416</v>
      </c>
      <c r="E82" s="1451">
        <v>3</v>
      </c>
      <c r="F82" s="1451">
        <v>5733</v>
      </c>
      <c r="G82" s="1451">
        <f t="shared" si="2"/>
        <v>17199</v>
      </c>
      <c r="H82" s="1451">
        <f>'OR Super TOS '!D260</f>
        <v>2</v>
      </c>
      <c r="I82" s="1550">
        <f t="shared" si="3"/>
        <v>11466</v>
      </c>
    </row>
    <row r="83" spans="2:17" ht="15.75" customHeight="1">
      <c r="B83" s="1498">
        <v>5.7</v>
      </c>
      <c r="C83" s="1453" t="s">
        <v>1418</v>
      </c>
      <c r="D83" s="1451" t="s">
        <v>1416</v>
      </c>
      <c r="E83" s="1451">
        <v>4</v>
      </c>
      <c r="F83" s="1451">
        <v>3685.5</v>
      </c>
      <c r="G83" s="1451">
        <f t="shared" si="2"/>
        <v>14742</v>
      </c>
      <c r="H83" s="1451">
        <f>'OR Super TOS '!D264</f>
        <v>4</v>
      </c>
      <c r="I83" s="1550">
        <f t="shared" si="3"/>
        <v>14742</v>
      </c>
    </row>
    <row r="84" spans="2:17" ht="15.75" customHeight="1">
      <c r="B84" s="1498">
        <v>5.8</v>
      </c>
      <c r="C84" s="1453" t="s">
        <v>1417</v>
      </c>
      <c r="D84" s="1451" t="s">
        <v>1416</v>
      </c>
      <c r="E84" s="1451">
        <v>3</v>
      </c>
      <c r="F84" s="1451">
        <v>3276</v>
      </c>
      <c r="G84" s="1451">
        <f t="shared" si="2"/>
        <v>9828</v>
      </c>
      <c r="H84" s="1451">
        <f>'OR Super TOS '!D268</f>
        <v>2</v>
      </c>
      <c r="I84" s="1550">
        <f t="shared" si="3"/>
        <v>6552</v>
      </c>
    </row>
    <row r="85" spans="2:17" ht="15.75" customHeight="1">
      <c r="B85" s="1499"/>
      <c r="C85" s="1483" t="s">
        <v>2540</v>
      </c>
      <c r="D85" s="1479" t="s">
        <v>1416</v>
      </c>
      <c r="E85" s="1479"/>
      <c r="F85" s="1479">
        <v>5323.5</v>
      </c>
      <c r="G85" s="1479"/>
      <c r="H85" s="1479">
        <f>'OR Super TOS '!D272</f>
        <v>1</v>
      </c>
      <c r="I85" s="1553">
        <f t="shared" si="3"/>
        <v>5323.5</v>
      </c>
    </row>
    <row r="86" spans="2:17" ht="15.75" customHeight="1">
      <c r="B86" s="2148" t="s">
        <v>1330</v>
      </c>
      <c r="C86" s="2149"/>
      <c r="D86" s="2150"/>
      <c r="E86" s="1481"/>
      <c r="F86" s="1481"/>
      <c r="G86" s="1481">
        <f>SUM(G76:G84)</f>
        <v>186125.5</v>
      </c>
      <c r="H86" s="1481"/>
      <c r="I86" s="1481">
        <f>SUM(I76:I85)</f>
        <v>148269</v>
      </c>
    </row>
    <row r="87" spans="2:17" ht="15.75" customHeight="1">
      <c r="B87" s="1500"/>
      <c r="C87" s="1554" t="s">
        <v>1415</v>
      </c>
      <c r="D87" s="1484"/>
      <c r="E87" s="1484"/>
      <c r="F87" s="1484"/>
      <c r="G87" s="1484"/>
      <c r="H87" s="1484"/>
      <c r="I87" s="1555"/>
    </row>
    <row r="88" spans="2:17" ht="15.75" customHeight="1">
      <c r="B88" s="1498">
        <v>6.1</v>
      </c>
      <c r="C88" s="1453" t="s">
        <v>1414</v>
      </c>
      <c r="D88" s="1451" t="s">
        <v>3201</v>
      </c>
      <c r="E88" s="1451">
        <v>416</v>
      </c>
      <c r="F88" s="1451">
        <v>140</v>
      </c>
      <c r="G88" s="1451">
        <f t="shared" si="2"/>
        <v>58240</v>
      </c>
      <c r="H88" s="1451">
        <f>'OR Super TOS '!H282</f>
        <v>267.30100000000004</v>
      </c>
      <c r="I88" s="1550">
        <f t="shared" si="3"/>
        <v>37422.140000000007</v>
      </c>
    </row>
    <row r="89" spans="2:17" ht="15.75" customHeight="1">
      <c r="B89" s="1498">
        <v>6.2</v>
      </c>
      <c r="C89" s="1458" t="s">
        <v>1580</v>
      </c>
      <c r="D89" s="1451" t="s">
        <v>3201</v>
      </c>
      <c r="E89" s="1451">
        <v>1831</v>
      </c>
      <c r="F89" s="1451">
        <v>150</v>
      </c>
      <c r="G89" s="1451">
        <f t="shared" si="2"/>
        <v>274650</v>
      </c>
      <c r="H89" s="1451">
        <f>'OR Super TOS '!D491</f>
        <v>1516.6472000000003</v>
      </c>
      <c r="I89" s="1550">
        <f t="shared" si="3"/>
        <v>227497.08000000005</v>
      </c>
    </row>
    <row r="90" spans="2:17" s="1299" customFormat="1" ht="15.75" customHeight="1">
      <c r="B90" s="1498">
        <v>6.3</v>
      </c>
      <c r="C90" s="1453" t="s">
        <v>1581</v>
      </c>
      <c r="D90" s="1451" t="s">
        <v>3201</v>
      </c>
      <c r="E90" s="1451">
        <v>705</v>
      </c>
      <c r="F90" s="1451">
        <v>310</v>
      </c>
      <c r="G90" s="1451">
        <f t="shared" si="2"/>
        <v>218550</v>
      </c>
      <c r="H90" s="1451">
        <f>'OR Super TOS '!D560</f>
        <v>563.84749999999997</v>
      </c>
      <c r="I90" s="1550">
        <f t="shared" si="3"/>
        <v>174792.72499999998</v>
      </c>
      <c r="K90" s="1340"/>
      <c r="L90" s="1340"/>
      <c r="M90" s="1340"/>
      <c r="N90" s="1340"/>
      <c r="O90" s="1340"/>
      <c r="P90" s="1340"/>
      <c r="Q90" s="1340"/>
    </row>
    <row r="91" spans="2:17" ht="31.5">
      <c r="B91" s="1498">
        <v>6.5</v>
      </c>
      <c r="C91" s="1459" t="s">
        <v>1507</v>
      </c>
      <c r="D91" s="1451" t="s">
        <v>3201</v>
      </c>
      <c r="E91" s="1451">
        <v>163</v>
      </c>
      <c r="F91" s="1451">
        <v>370</v>
      </c>
      <c r="G91" s="1451">
        <f t="shared" si="2"/>
        <v>60310</v>
      </c>
      <c r="H91" s="1451"/>
      <c r="I91" s="1550">
        <f t="shared" si="3"/>
        <v>0</v>
      </c>
    </row>
    <row r="92" spans="2:17" ht="15" customHeight="1">
      <c r="B92" s="1498">
        <v>6.7</v>
      </c>
      <c r="C92" s="1459" t="s">
        <v>1582</v>
      </c>
      <c r="D92" s="1451" t="s">
        <v>3201</v>
      </c>
      <c r="E92" s="1451">
        <v>705</v>
      </c>
      <c r="F92" s="1451">
        <v>300</v>
      </c>
      <c r="G92" s="1451">
        <f t="shared" si="2"/>
        <v>211500</v>
      </c>
      <c r="H92" s="1451">
        <f>'OR Super TOS '!H624</f>
        <v>641.75350000000003</v>
      </c>
      <c r="I92" s="1550">
        <f t="shared" si="3"/>
        <v>192526.05000000002</v>
      </c>
    </row>
    <row r="93" spans="2:17" ht="12.75" customHeight="1">
      <c r="B93" s="1498">
        <v>6.8</v>
      </c>
      <c r="C93" s="1459" t="s">
        <v>1409</v>
      </c>
      <c r="D93" s="1451" t="s">
        <v>1406</v>
      </c>
      <c r="E93" s="1451">
        <v>610</v>
      </c>
      <c r="F93" s="1451">
        <v>100</v>
      </c>
      <c r="G93" s="1451">
        <f t="shared" si="2"/>
        <v>61000</v>
      </c>
      <c r="H93" s="1451">
        <f>'OR Super TOS '!H664</f>
        <v>419.09000000000003</v>
      </c>
      <c r="I93" s="1550">
        <f t="shared" si="3"/>
        <v>41909</v>
      </c>
    </row>
    <row r="94" spans="2:17" ht="15.75" customHeight="1">
      <c r="B94" s="1498">
        <v>6.9</v>
      </c>
      <c r="C94" s="1453" t="s">
        <v>1583</v>
      </c>
      <c r="D94" s="1451" t="s">
        <v>1406</v>
      </c>
      <c r="E94" s="1451">
        <v>73</v>
      </c>
      <c r="F94" s="1451">
        <v>150</v>
      </c>
      <c r="G94" s="1451">
        <f t="shared" si="2"/>
        <v>10950</v>
      </c>
      <c r="H94" s="1451">
        <f>'OR Super TOS '!H683</f>
        <v>48.25</v>
      </c>
      <c r="I94" s="1550">
        <f t="shared" si="3"/>
        <v>7237.5</v>
      </c>
    </row>
    <row r="95" spans="2:17" ht="17.25" customHeight="1">
      <c r="B95" s="1501">
        <v>6.11</v>
      </c>
      <c r="C95" s="1459" t="s">
        <v>1405</v>
      </c>
      <c r="D95" s="1451" t="s">
        <v>3201</v>
      </c>
      <c r="E95" s="1451">
        <v>148</v>
      </c>
      <c r="F95" s="1451">
        <v>550</v>
      </c>
      <c r="G95" s="1451">
        <f t="shared" si="2"/>
        <v>81400</v>
      </c>
      <c r="H95" s="1451">
        <f>'OR Super TOS '!H692</f>
        <v>125.46000000000001</v>
      </c>
      <c r="I95" s="1550">
        <f t="shared" si="3"/>
        <v>69003</v>
      </c>
    </row>
    <row r="96" spans="2:17" ht="16.5" customHeight="1">
      <c r="B96" s="1501">
        <v>6.12</v>
      </c>
      <c r="C96" s="1460" t="s">
        <v>1584</v>
      </c>
      <c r="D96" s="1451" t="s">
        <v>1402</v>
      </c>
      <c r="E96" s="1451">
        <v>133</v>
      </c>
      <c r="F96" s="1451">
        <v>100</v>
      </c>
      <c r="G96" s="1451">
        <f t="shared" si="2"/>
        <v>13300</v>
      </c>
      <c r="H96" s="1451">
        <f>'OR Super TOS '!H701</f>
        <v>62.85</v>
      </c>
      <c r="I96" s="1550">
        <f t="shared" si="3"/>
        <v>6285</v>
      </c>
    </row>
    <row r="97" spans="2:9" ht="18.75" customHeight="1">
      <c r="B97" s="1502"/>
      <c r="C97" s="1486" t="s">
        <v>1544</v>
      </c>
      <c r="D97" s="1479" t="s">
        <v>1402</v>
      </c>
      <c r="E97" s="1479">
        <v>133</v>
      </c>
      <c r="F97" s="1479">
        <v>265</v>
      </c>
      <c r="G97" s="1479">
        <f t="shared" si="2"/>
        <v>35245</v>
      </c>
      <c r="H97" s="1479">
        <f>'OR Super TOS '!D714</f>
        <v>29.5</v>
      </c>
      <c r="I97" s="1553">
        <f t="shared" si="3"/>
        <v>7817.5</v>
      </c>
    </row>
    <row r="98" spans="2:9" ht="15.75" customHeight="1">
      <c r="B98" s="2148" t="s">
        <v>1330</v>
      </c>
      <c r="C98" s="2149"/>
      <c r="D98" s="2150"/>
      <c r="E98" s="1481"/>
      <c r="F98" s="1481"/>
      <c r="G98" s="1481">
        <f>SUM(G88:G97)</f>
        <v>1025145</v>
      </c>
      <c r="H98" s="1481"/>
      <c r="I98" s="1481">
        <f>SUM(I88:I97)</f>
        <v>764489.995</v>
      </c>
    </row>
    <row r="99" spans="2:9" ht="15.75" customHeight="1">
      <c r="B99" s="1500"/>
      <c r="C99" s="1554" t="s">
        <v>1401</v>
      </c>
      <c r="D99" s="1484"/>
      <c r="E99" s="1484"/>
      <c r="F99" s="1484"/>
      <c r="G99" s="1484"/>
      <c r="H99" s="1484"/>
      <c r="I99" s="1555"/>
    </row>
    <row r="100" spans="2:9" ht="15.75" customHeight="1">
      <c r="B100" s="1498">
        <v>7.1</v>
      </c>
      <c r="C100" s="1453" t="s">
        <v>1585</v>
      </c>
      <c r="D100" s="1451" t="s">
        <v>3201</v>
      </c>
      <c r="E100" s="1451">
        <v>1831</v>
      </c>
      <c r="F100" s="1451">
        <f>28*2/3</f>
        <v>18.666666666666668</v>
      </c>
      <c r="G100" s="1451">
        <f t="shared" si="2"/>
        <v>34178.666666666672</v>
      </c>
      <c r="H100" s="1451">
        <f>'OR Super TOS '!D719</f>
        <v>1516.6472000000003</v>
      </c>
      <c r="I100" s="1550">
        <f t="shared" si="3"/>
        <v>28310.747733333341</v>
      </c>
    </row>
    <row r="101" spans="2:9" ht="15.75" customHeight="1">
      <c r="B101" s="1498">
        <v>7.2</v>
      </c>
      <c r="C101" s="1453" t="s">
        <v>1399</v>
      </c>
      <c r="D101" s="1451" t="s">
        <v>3201</v>
      </c>
      <c r="E101" s="1451">
        <v>705</v>
      </c>
      <c r="F101" s="1451">
        <f t="shared" ref="F101:F102" si="4">28*2/3</f>
        <v>18.666666666666668</v>
      </c>
      <c r="G101" s="1451">
        <f t="shared" si="2"/>
        <v>13160</v>
      </c>
      <c r="H101" s="1451">
        <f>'OR Super TOS '!D722</f>
        <v>563.84749999999997</v>
      </c>
      <c r="I101" s="1550">
        <f t="shared" si="3"/>
        <v>10525.153333333334</v>
      </c>
    </row>
    <row r="102" spans="2:9" ht="15.75" customHeight="1">
      <c r="B102" s="1499">
        <v>7.3</v>
      </c>
      <c r="C102" s="1483" t="s">
        <v>1398</v>
      </c>
      <c r="D102" s="1479" t="s">
        <v>3201</v>
      </c>
      <c r="E102" s="1479">
        <v>416</v>
      </c>
      <c r="F102" s="1451">
        <f t="shared" si="4"/>
        <v>18.666666666666668</v>
      </c>
      <c r="G102" s="1479">
        <f t="shared" si="2"/>
        <v>7765.3333333333339</v>
      </c>
      <c r="H102" s="1479">
        <f>'OR Super TOS '!D725</f>
        <v>267.30100000000004</v>
      </c>
      <c r="I102" s="1553">
        <f t="shared" si="3"/>
        <v>4989.6186666666681</v>
      </c>
    </row>
    <row r="103" spans="2:9" ht="15.75" customHeight="1">
      <c r="B103" s="2148" t="s">
        <v>1330</v>
      </c>
      <c r="C103" s="2149"/>
      <c r="D103" s="2150"/>
      <c r="E103" s="1481"/>
      <c r="F103" s="1481"/>
      <c r="G103" s="1481">
        <f>SUM(G100:G102)</f>
        <v>55104.000000000007</v>
      </c>
      <c r="H103" s="1481"/>
      <c r="I103" s="1481">
        <f>SUM(I100:I102)</f>
        <v>43825.519733333342</v>
      </c>
    </row>
    <row r="104" spans="2:9" ht="15.75" customHeight="1">
      <c r="B104" s="1501"/>
      <c r="C104" s="1548" t="s">
        <v>1395</v>
      </c>
      <c r="D104" s="1451"/>
      <c r="E104" s="1451"/>
      <c r="F104" s="1451"/>
      <c r="G104" s="1451"/>
      <c r="H104" s="1451"/>
      <c r="I104" s="1550"/>
    </row>
    <row r="105" spans="2:9" ht="15.75" customHeight="1">
      <c r="B105" s="1498">
        <v>9.1</v>
      </c>
      <c r="C105" s="1453" t="s">
        <v>1394</v>
      </c>
      <c r="D105" s="1451"/>
      <c r="E105" s="1451"/>
      <c r="F105" s="1451"/>
      <c r="G105" s="1451"/>
      <c r="H105" s="1451"/>
      <c r="I105" s="1550"/>
    </row>
    <row r="106" spans="2:9" ht="15.75" customHeight="1">
      <c r="B106" s="1498"/>
      <c r="C106" s="1453" t="s">
        <v>1391</v>
      </c>
      <c r="D106" s="1451" t="s">
        <v>1370</v>
      </c>
      <c r="E106" s="1451">
        <v>16</v>
      </c>
      <c r="F106" s="1451">
        <v>70</v>
      </c>
      <c r="G106" s="1451">
        <f t="shared" si="2"/>
        <v>1120</v>
      </c>
      <c r="H106" s="1451"/>
      <c r="I106" s="1550">
        <f t="shared" si="3"/>
        <v>0</v>
      </c>
    </row>
    <row r="107" spans="2:9" ht="15.75" customHeight="1">
      <c r="B107" s="1498"/>
      <c r="C107" s="1453" t="s">
        <v>1390</v>
      </c>
      <c r="D107" s="1451" t="s">
        <v>1370</v>
      </c>
      <c r="E107" s="1451">
        <v>50</v>
      </c>
      <c r="F107" s="1451">
        <v>80</v>
      </c>
      <c r="G107" s="1451">
        <f t="shared" si="2"/>
        <v>4000</v>
      </c>
      <c r="H107" s="1451">
        <f>'OR Super TOS '!D736</f>
        <v>25.6</v>
      </c>
      <c r="I107" s="1550">
        <f t="shared" si="3"/>
        <v>2048</v>
      </c>
    </row>
    <row r="108" spans="2:9" ht="15.75" customHeight="1">
      <c r="B108" s="1498"/>
      <c r="C108" s="1453" t="s">
        <v>1389</v>
      </c>
      <c r="D108" s="1451" t="s">
        <v>1370</v>
      </c>
      <c r="E108" s="1451">
        <v>26</v>
      </c>
      <c r="F108" s="1451">
        <v>95</v>
      </c>
      <c r="G108" s="1451">
        <f t="shared" si="2"/>
        <v>2470</v>
      </c>
      <c r="H108" s="1451">
        <f>'OR Super TOS '!D745</f>
        <v>18.7</v>
      </c>
      <c r="I108" s="1550">
        <f t="shared" si="3"/>
        <v>1776.5</v>
      </c>
    </row>
    <row r="109" spans="2:9" ht="15.75" customHeight="1">
      <c r="B109" s="1498"/>
      <c r="C109" s="1453" t="s">
        <v>1388</v>
      </c>
      <c r="D109" s="1451" t="s">
        <v>1370</v>
      </c>
      <c r="E109" s="1451">
        <v>50</v>
      </c>
      <c r="F109" s="1451">
        <v>125</v>
      </c>
      <c r="G109" s="1451">
        <f t="shared" si="2"/>
        <v>6250</v>
      </c>
      <c r="H109" s="1451">
        <f>'OR Super TOS '!D749</f>
        <v>4.55</v>
      </c>
      <c r="I109" s="1550">
        <f t="shared" si="3"/>
        <v>568.75</v>
      </c>
    </row>
    <row r="110" spans="2:9" ht="16.5" customHeight="1">
      <c r="B110" s="1498">
        <v>9.3000000000000007</v>
      </c>
      <c r="C110" s="1459" t="s">
        <v>1586</v>
      </c>
      <c r="D110" s="1451"/>
      <c r="E110" s="1451"/>
      <c r="F110" s="1451"/>
      <c r="G110" s="1451"/>
      <c r="H110" s="1451"/>
      <c r="I110" s="1550"/>
    </row>
    <row r="111" spans="2:9" ht="15.75" customHeight="1">
      <c r="B111" s="1498"/>
      <c r="C111" s="1453" t="s">
        <v>1384</v>
      </c>
      <c r="D111" s="1451" t="s">
        <v>4</v>
      </c>
      <c r="E111" s="1451">
        <v>38</v>
      </c>
      <c r="F111" s="1451">
        <v>95</v>
      </c>
      <c r="G111" s="1451">
        <f t="shared" si="2"/>
        <v>3610</v>
      </c>
      <c r="H111" s="1451">
        <f>'OR Super TOS '!D757</f>
        <v>5</v>
      </c>
      <c r="I111" s="1550">
        <f t="shared" si="3"/>
        <v>475</v>
      </c>
    </row>
    <row r="112" spans="2:9" ht="15.75" customHeight="1">
      <c r="B112" s="1498">
        <v>9.5</v>
      </c>
      <c r="C112" s="1453" t="s">
        <v>1380</v>
      </c>
      <c r="D112" s="1451"/>
      <c r="E112" s="1451"/>
      <c r="F112" s="1451"/>
      <c r="G112" s="1451"/>
      <c r="H112" s="1451"/>
      <c r="I112" s="1550"/>
    </row>
    <row r="113" spans="2:9" ht="15.75" customHeight="1">
      <c r="B113" s="1498"/>
      <c r="C113" s="1453" t="s">
        <v>1379</v>
      </c>
      <c r="D113" s="1451" t="s">
        <v>1370</v>
      </c>
      <c r="E113" s="1451">
        <v>10</v>
      </c>
      <c r="F113" s="1451">
        <v>65</v>
      </c>
      <c r="G113" s="1451">
        <f t="shared" si="2"/>
        <v>650</v>
      </c>
      <c r="H113" s="1451">
        <f>'OR Super TOS '!D761</f>
        <v>65.790000000000006</v>
      </c>
      <c r="I113" s="1550">
        <f t="shared" si="3"/>
        <v>4276.3500000000004</v>
      </c>
    </row>
    <row r="114" spans="2:9" ht="15.75" customHeight="1">
      <c r="B114" s="1498"/>
      <c r="C114" s="1453" t="s">
        <v>1378</v>
      </c>
      <c r="D114" s="1451" t="s">
        <v>1370</v>
      </c>
      <c r="E114" s="1451">
        <v>25</v>
      </c>
      <c r="F114" s="1451">
        <v>95</v>
      </c>
      <c r="G114" s="1451">
        <f t="shared" si="2"/>
        <v>2375</v>
      </c>
      <c r="H114" s="1451">
        <f>'OR Super TOS '!H708</f>
        <v>55.79</v>
      </c>
      <c r="I114" s="1550">
        <f t="shared" si="3"/>
        <v>5300.05</v>
      </c>
    </row>
    <row r="115" spans="2:9" ht="15.75" customHeight="1">
      <c r="B115" s="1498"/>
      <c r="C115" s="1453" t="s">
        <v>1377</v>
      </c>
      <c r="D115" s="1451" t="s">
        <v>1370</v>
      </c>
      <c r="E115" s="1451">
        <v>120</v>
      </c>
      <c r="F115" s="1451">
        <v>125</v>
      </c>
      <c r="G115" s="1451">
        <f t="shared" si="2"/>
        <v>15000</v>
      </c>
      <c r="H115" s="1451">
        <f>'OR Super TOS '!H711</f>
        <v>38.369999999999997</v>
      </c>
      <c r="I115" s="1550">
        <f t="shared" si="3"/>
        <v>4796.25</v>
      </c>
    </row>
    <row r="116" spans="2:9" ht="15.75" customHeight="1">
      <c r="B116" s="1498"/>
      <c r="C116" s="1453" t="s">
        <v>1376</v>
      </c>
      <c r="D116" s="1451" t="s">
        <v>1370</v>
      </c>
      <c r="E116" s="1451">
        <v>50</v>
      </c>
      <c r="F116" s="1451">
        <v>145</v>
      </c>
      <c r="G116" s="1451">
        <f t="shared" si="2"/>
        <v>7250</v>
      </c>
      <c r="H116" s="1451"/>
      <c r="I116" s="1550">
        <f t="shared" si="3"/>
        <v>0</v>
      </c>
    </row>
    <row r="117" spans="2:9" ht="15.75" customHeight="1">
      <c r="B117" s="1499">
        <v>9.9</v>
      </c>
      <c r="C117" s="1483" t="s">
        <v>1373</v>
      </c>
      <c r="D117" s="1479" t="s">
        <v>4</v>
      </c>
      <c r="E117" s="1479">
        <v>9</v>
      </c>
      <c r="F117" s="1479">
        <v>905</v>
      </c>
      <c r="G117" s="1479">
        <f t="shared" si="2"/>
        <v>8145</v>
      </c>
      <c r="H117" s="1479">
        <f>'OR Super TOS '!H715</f>
        <v>9</v>
      </c>
      <c r="I117" s="1553">
        <f t="shared" si="3"/>
        <v>8145</v>
      </c>
    </row>
    <row r="118" spans="2:9" ht="15.75" customHeight="1">
      <c r="B118" s="2148" t="s">
        <v>1330</v>
      </c>
      <c r="C118" s="2149"/>
      <c r="D118" s="2150"/>
      <c r="E118" s="1481"/>
      <c r="F118" s="1481"/>
      <c r="G118" s="1481">
        <f>SUM(G106:G117)</f>
        <v>50870</v>
      </c>
      <c r="H118" s="1481"/>
      <c r="I118" s="1481">
        <f>SUM(I106:I117)</f>
        <v>27385.9</v>
      </c>
    </row>
    <row r="119" spans="2:9" ht="15.75" customHeight="1">
      <c r="B119" s="1500"/>
      <c r="C119" s="1554" t="s">
        <v>1368</v>
      </c>
      <c r="D119" s="1484"/>
      <c r="E119" s="1484"/>
      <c r="F119" s="1484"/>
      <c r="G119" s="1484"/>
      <c r="H119" s="1484"/>
      <c r="I119" s="1555"/>
    </row>
    <row r="120" spans="2:9" ht="15.75" customHeight="1">
      <c r="B120" s="1501">
        <v>2</v>
      </c>
      <c r="C120" s="1461" t="s">
        <v>1366</v>
      </c>
      <c r="D120" s="1462"/>
      <c r="E120" s="1462"/>
      <c r="F120" s="1451"/>
      <c r="G120" s="1451"/>
      <c r="H120" s="1451"/>
      <c r="I120" s="1550"/>
    </row>
    <row r="121" spans="2:9" ht="15.75" customHeight="1">
      <c r="B121" s="1501">
        <v>2.0099999999999998</v>
      </c>
      <c r="C121" s="1461" t="s">
        <v>3202</v>
      </c>
      <c r="D121" s="1462" t="s">
        <v>1332</v>
      </c>
      <c r="E121" s="1462">
        <v>138</v>
      </c>
      <c r="F121" s="1451">
        <v>200</v>
      </c>
      <c r="G121" s="1451">
        <f t="shared" ref="G121:G151" si="5">E121*F121</f>
        <v>27600</v>
      </c>
      <c r="H121" s="1451">
        <f>'OR Super TOS '!H721</f>
        <v>104</v>
      </c>
      <c r="I121" s="1550">
        <f t="shared" ref="I121:I151" si="6">F121*H121</f>
        <v>20800</v>
      </c>
    </row>
    <row r="122" spans="2:9" ht="15.75" customHeight="1">
      <c r="B122" s="1501">
        <v>3</v>
      </c>
      <c r="C122" s="1461" t="s">
        <v>1365</v>
      </c>
      <c r="D122" s="1462"/>
      <c r="E122" s="1462"/>
      <c r="F122" s="1451"/>
      <c r="G122" s="1451"/>
      <c r="H122" s="1451"/>
      <c r="I122" s="1550"/>
    </row>
    <row r="123" spans="2:9" ht="15.75" customHeight="1">
      <c r="B123" s="1501">
        <v>3.01</v>
      </c>
      <c r="C123" s="1461" t="s">
        <v>1364</v>
      </c>
      <c r="D123" s="1462" t="s">
        <v>1332</v>
      </c>
      <c r="E123" s="1462">
        <v>45</v>
      </c>
      <c r="F123" s="1451">
        <v>81.25</v>
      </c>
      <c r="G123" s="1451">
        <f t="shared" si="5"/>
        <v>3656.25</v>
      </c>
      <c r="H123" s="1451">
        <f>'OR Super TOS '!H726</f>
        <v>38</v>
      </c>
      <c r="I123" s="1550">
        <f t="shared" si="6"/>
        <v>3087.5</v>
      </c>
    </row>
    <row r="124" spans="2:9" ht="15.75" customHeight="1">
      <c r="B124" s="1501">
        <v>3.02</v>
      </c>
      <c r="C124" s="1461" t="s">
        <v>1363</v>
      </c>
      <c r="D124" s="1462" t="s">
        <v>1360</v>
      </c>
      <c r="E124" s="1462">
        <v>20</v>
      </c>
      <c r="F124" s="1451">
        <v>131.25</v>
      </c>
      <c r="G124" s="1451">
        <f t="shared" si="5"/>
        <v>2625</v>
      </c>
      <c r="H124" s="1451">
        <f>'OR Super TOS '!H730</f>
        <v>23</v>
      </c>
      <c r="I124" s="1550">
        <f t="shared" si="6"/>
        <v>3018.75</v>
      </c>
    </row>
    <row r="125" spans="2:9" ht="15.75" customHeight="1">
      <c r="B125" s="1501">
        <v>4</v>
      </c>
      <c r="C125" s="1461" t="s">
        <v>1359</v>
      </c>
      <c r="D125" s="1462"/>
      <c r="E125" s="1462"/>
      <c r="F125" s="1451"/>
      <c r="G125" s="1451"/>
      <c r="H125" s="1451"/>
      <c r="I125" s="1550"/>
    </row>
    <row r="126" spans="2:9" ht="15.75" customHeight="1">
      <c r="B126" s="1501">
        <v>4.01</v>
      </c>
      <c r="C126" s="1461" t="s">
        <v>1358</v>
      </c>
      <c r="D126" s="1462" t="s">
        <v>1332</v>
      </c>
      <c r="E126" s="1462">
        <v>78</v>
      </c>
      <c r="F126" s="1451">
        <v>200</v>
      </c>
      <c r="G126" s="1451">
        <f t="shared" si="5"/>
        <v>15600</v>
      </c>
      <c r="H126" s="1451">
        <f>'OR Super TOS '!H735</f>
        <v>64</v>
      </c>
      <c r="I126" s="1550">
        <f t="shared" si="6"/>
        <v>12800</v>
      </c>
    </row>
    <row r="127" spans="2:9" ht="15.75" customHeight="1">
      <c r="B127" s="1501">
        <v>4.0199999999999996</v>
      </c>
      <c r="C127" s="1461" t="s">
        <v>1357</v>
      </c>
      <c r="D127" s="1462" t="s">
        <v>1332</v>
      </c>
      <c r="E127" s="1462">
        <v>13</v>
      </c>
      <c r="F127" s="1451">
        <v>785</v>
      </c>
      <c r="G127" s="1451">
        <f t="shared" si="5"/>
        <v>10205</v>
      </c>
      <c r="H127" s="1451">
        <f>'OR Super TOS '!H739</f>
        <v>11</v>
      </c>
      <c r="I127" s="1550">
        <f t="shared" si="6"/>
        <v>8635</v>
      </c>
    </row>
    <row r="128" spans="2:9" ht="15.75" customHeight="1">
      <c r="B128" s="1501">
        <v>4.01</v>
      </c>
      <c r="C128" s="1461" t="s">
        <v>1587</v>
      </c>
      <c r="D128" s="1462" t="s">
        <v>1332</v>
      </c>
      <c r="E128" s="1462">
        <v>1</v>
      </c>
      <c r="F128" s="1451">
        <v>220</v>
      </c>
      <c r="G128" s="1451">
        <f t="shared" si="5"/>
        <v>220</v>
      </c>
      <c r="H128" s="1451">
        <f>'OR Super TOS '!H743</f>
        <v>1</v>
      </c>
      <c r="I128" s="1550">
        <f t="shared" si="6"/>
        <v>220</v>
      </c>
    </row>
    <row r="129" spans="2:9" ht="15.75" customHeight="1">
      <c r="B129" s="1501">
        <v>5</v>
      </c>
      <c r="C129" s="1461" t="s">
        <v>1356</v>
      </c>
      <c r="D129" s="1462"/>
      <c r="E129" s="1462"/>
      <c r="F129" s="1451"/>
      <c r="G129" s="1451"/>
      <c r="H129" s="1451"/>
      <c r="I129" s="1550"/>
    </row>
    <row r="130" spans="2:9" ht="15.75" customHeight="1">
      <c r="B130" s="1501">
        <v>5.01</v>
      </c>
      <c r="C130" s="1461" t="s">
        <v>1355</v>
      </c>
      <c r="D130" s="1462" t="s">
        <v>1332</v>
      </c>
      <c r="E130" s="1462">
        <v>78</v>
      </c>
      <c r="F130" s="1451">
        <v>90</v>
      </c>
      <c r="G130" s="1451">
        <f t="shared" si="5"/>
        <v>7020</v>
      </c>
      <c r="H130" s="1451">
        <f>'OR Super TOS '!H748</f>
        <v>64</v>
      </c>
      <c r="I130" s="1550">
        <f t="shared" si="6"/>
        <v>5760</v>
      </c>
    </row>
    <row r="131" spans="2:9" ht="15.75" customHeight="1">
      <c r="B131" s="1501">
        <v>5.0199999999999996</v>
      </c>
      <c r="C131" s="1461" t="s">
        <v>1354</v>
      </c>
      <c r="D131" s="1462" t="s">
        <v>1332</v>
      </c>
      <c r="E131" s="1462">
        <v>13</v>
      </c>
      <c r="F131" s="1451">
        <v>281.25</v>
      </c>
      <c r="G131" s="1451">
        <f t="shared" si="5"/>
        <v>3656.25</v>
      </c>
      <c r="H131" s="1451">
        <f>'OR Super TOS '!H752</f>
        <v>11</v>
      </c>
      <c r="I131" s="1550">
        <f t="shared" si="6"/>
        <v>3093.75</v>
      </c>
    </row>
    <row r="132" spans="2:9" ht="15.75" customHeight="1">
      <c r="B132" s="1501">
        <v>5.03</v>
      </c>
      <c r="C132" s="1461" t="s">
        <v>1588</v>
      </c>
      <c r="D132" s="1462" t="s">
        <v>1332</v>
      </c>
      <c r="E132" s="1462">
        <v>8</v>
      </c>
      <c r="F132" s="1451">
        <v>300</v>
      </c>
      <c r="G132" s="1451">
        <f t="shared" si="5"/>
        <v>2400</v>
      </c>
      <c r="H132" s="1451">
        <f>'OR Super TOS '!H756</f>
        <v>1</v>
      </c>
      <c r="I132" s="1550">
        <f t="shared" si="6"/>
        <v>300</v>
      </c>
    </row>
    <row r="133" spans="2:9" ht="15.75" customHeight="1">
      <c r="B133" s="1501">
        <v>6</v>
      </c>
      <c r="C133" s="1461" t="s">
        <v>1353</v>
      </c>
      <c r="D133" s="1462"/>
      <c r="E133" s="1462"/>
      <c r="F133" s="1451"/>
      <c r="G133" s="1451"/>
      <c r="H133" s="1451"/>
      <c r="I133" s="1550"/>
    </row>
    <row r="134" spans="2:9" ht="15.75" customHeight="1">
      <c r="B134" s="1501">
        <v>6.01</v>
      </c>
      <c r="C134" s="1461" t="s">
        <v>1352</v>
      </c>
      <c r="D134" s="1462" t="s">
        <v>1332</v>
      </c>
      <c r="E134" s="1462">
        <v>13</v>
      </c>
      <c r="F134" s="1451">
        <v>130</v>
      </c>
      <c r="G134" s="1451">
        <f t="shared" si="5"/>
        <v>1690</v>
      </c>
      <c r="H134" s="1451">
        <f>'OR Super TOS '!H761</f>
        <v>17</v>
      </c>
      <c r="I134" s="1550">
        <f t="shared" si="6"/>
        <v>2210</v>
      </c>
    </row>
    <row r="135" spans="2:9" ht="15.75" customHeight="1">
      <c r="B135" s="1501">
        <v>6.03</v>
      </c>
      <c r="C135" s="1461" t="s">
        <v>1351</v>
      </c>
      <c r="D135" s="1462" t="s">
        <v>1332</v>
      </c>
      <c r="E135" s="1462">
        <v>13</v>
      </c>
      <c r="F135" s="1451">
        <v>90</v>
      </c>
      <c r="G135" s="1451">
        <f t="shared" si="5"/>
        <v>1170</v>
      </c>
      <c r="H135" s="1451"/>
      <c r="I135" s="1550">
        <f t="shared" si="6"/>
        <v>0</v>
      </c>
    </row>
    <row r="136" spans="2:9" ht="15.75" customHeight="1">
      <c r="B136" s="1501">
        <v>7</v>
      </c>
      <c r="C136" s="1461" t="s">
        <v>1350</v>
      </c>
      <c r="D136" s="1462"/>
      <c r="E136" s="1462"/>
      <c r="F136" s="1451"/>
      <c r="G136" s="1451"/>
      <c r="H136" s="1451"/>
      <c r="I136" s="1550"/>
    </row>
    <row r="137" spans="2:9" ht="15.75" customHeight="1">
      <c r="B137" s="1501">
        <v>7.01</v>
      </c>
      <c r="C137" s="1461" t="s">
        <v>1589</v>
      </c>
      <c r="D137" s="1462" t="s">
        <v>1332</v>
      </c>
      <c r="E137" s="1462">
        <v>24</v>
      </c>
      <c r="F137" s="1451">
        <v>1500</v>
      </c>
      <c r="G137" s="1451">
        <f t="shared" si="5"/>
        <v>36000</v>
      </c>
      <c r="H137" s="1451">
        <f>'OR Super TOS '!D769</f>
        <v>24</v>
      </c>
      <c r="I137" s="1550">
        <f t="shared" si="6"/>
        <v>36000</v>
      </c>
    </row>
    <row r="138" spans="2:9" ht="15.75" customHeight="1">
      <c r="B138" s="1501">
        <v>7.02</v>
      </c>
      <c r="C138" s="1461" t="s">
        <v>1590</v>
      </c>
      <c r="D138" s="1462" t="s">
        <v>1332</v>
      </c>
      <c r="E138" s="1462">
        <v>70</v>
      </c>
      <c r="F138" s="1451">
        <v>1200</v>
      </c>
      <c r="G138" s="1451">
        <f t="shared" si="5"/>
        <v>84000</v>
      </c>
      <c r="H138" s="1451">
        <f>'OR Super TOS '!D766</f>
        <v>32</v>
      </c>
      <c r="I138" s="1550">
        <f t="shared" si="6"/>
        <v>38400</v>
      </c>
    </row>
    <row r="139" spans="2:9" ht="15.75" customHeight="1">
      <c r="B139" s="1501">
        <v>7.03</v>
      </c>
      <c r="C139" s="1461" t="s">
        <v>1347</v>
      </c>
      <c r="D139" s="1462" t="s">
        <v>1332</v>
      </c>
      <c r="E139" s="1462">
        <v>19</v>
      </c>
      <c r="F139" s="1451">
        <v>406.25</v>
      </c>
      <c r="G139" s="1451">
        <f t="shared" si="5"/>
        <v>7718.75</v>
      </c>
      <c r="H139" s="1451">
        <f>'OR Super TOS '!D773</f>
        <v>21</v>
      </c>
      <c r="I139" s="1550">
        <f t="shared" si="6"/>
        <v>8531.25</v>
      </c>
    </row>
    <row r="140" spans="2:9" ht="15.75" customHeight="1">
      <c r="B140" s="1501">
        <v>7.04</v>
      </c>
      <c r="C140" s="1461" t="s">
        <v>1346</v>
      </c>
      <c r="D140" s="1462" t="s">
        <v>1332</v>
      </c>
      <c r="E140" s="1462">
        <v>11</v>
      </c>
      <c r="F140" s="1451">
        <v>406.25</v>
      </c>
      <c r="G140" s="1451">
        <f t="shared" si="5"/>
        <v>4468.75</v>
      </c>
      <c r="H140" s="1451">
        <f>'OR Super TOS '!D777</f>
        <v>13</v>
      </c>
      <c r="I140" s="1550">
        <f t="shared" si="6"/>
        <v>5281.25</v>
      </c>
    </row>
    <row r="141" spans="2:9" ht="15.75" customHeight="1">
      <c r="B141" s="1501">
        <v>7.05</v>
      </c>
      <c r="C141" s="1461" t="s">
        <v>1345</v>
      </c>
      <c r="D141" s="1462" t="s">
        <v>1332</v>
      </c>
      <c r="E141" s="1462">
        <v>14</v>
      </c>
      <c r="F141" s="1451">
        <v>1375</v>
      </c>
      <c r="G141" s="1451">
        <f t="shared" si="5"/>
        <v>19250</v>
      </c>
      <c r="H141" s="1451">
        <f>'OR Super TOS '!D781</f>
        <v>14</v>
      </c>
      <c r="I141" s="1550">
        <f t="shared" si="6"/>
        <v>19250</v>
      </c>
    </row>
    <row r="142" spans="2:9" ht="15.75" customHeight="1">
      <c r="B142" s="1501">
        <v>8</v>
      </c>
      <c r="C142" s="1461" t="s">
        <v>1344</v>
      </c>
      <c r="D142" s="1462"/>
      <c r="E142" s="1462"/>
      <c r="F142" s="1451"/>
      <c r="G142" s="1451"/>
      <c r="H142" s="1451"/>
      <c r="I142" s="1550"/>
    </row>
    <row r="143" spans="2:9" ht="15.75" customHeight="1">
      <c r="B143" s="1501">
        <v>8.01</v>
      </c>
      <c r="C143" s="1461" t="s">
        <v>1343</v>
      </c>
      <c r="D143" s="1462"/>
      <c r="E143" s="1462"/>
      <c r="F143" s="1451"/>
      <c r="G143" s="1451"/>
      <c r="H143" s="1451"/>
      <c r="I143" s="1550"/>
    </row>
    <row r="144" spans="2:9" ht="15.75" customHeight="1">
      <c r="B144" s="1501"/>
      <c r="C144" s="1461" t="s">
        <v>1591</v>
      </c>
      <c r="D144" s="1462" t="s">
        <v>1332</v>
      </c>
      <c r="E144" s="1462">
        <v>1</v>
      </c>
      <c r="F144" s="1451">
        <v>266.25</v>
      </c>
      <c r="G144" s="1451">
        <f t="shared" si="5"/>
        <v>266.25</v>
      </c>
      <c r="H144" s="1451">
        <f>'OR Super TOS '!D786</f>
        <v>1</v>
      </c>
      <c r="I144" s="1550">
        <f t="shared" si="6"/>
        <v>266.25</v>
      </c>
    </row>
    <row r="145" spans="2:10" ht="15.75" customHeight="1">
      <c r="B145" s="1501">
        <v>10</v>
      </c>
      <c r="C145" s="1461" t="s">
        <v>1340</v>
      </c>
      <c r="D145" s="1462"/>
      <c r="E145" s="1462"/>
      <c r="F145" s="1451"/>
      <c r="G145" s="1451"/>
      <c r="H145" s="1451"/>
      <c r="I145" s="1550"/>
    </row>
    <row r="146" spans="2:10" ht="15.75" customHeight="1">
      <c r="B146" s="1501">
        <v>10.01</v>
      </c>
      <c r="C146" s="1461" t="s">
        <v>1339</v>
      </c>
      <c r="D146" s="1462"/>
      <c r="E146" s="1462"/>
      <c r="F146" s="1451"/>
      <c r="G146" s="1451"/>
      <c r="H146" s="1451"/>
      <c r="I146" s="1550"/>
    </row>
    <row r="147" spans="2:10" ht="15.75" customHeight="1">
      <c r="B147" s="1501"/>
      <c r="C147" s="1461" t="s">
        <v>1592</v>
      </c>
      <c r="D147" s="1462" t="s">
        <v>1338</v>
      </c>
      <c r="E147" s="1462">
        <v>28</v>
      </c>
      <c r="F147" s="1451">
        <v>50</v>
      </c>
      <c r="G147" s="1451">
        <f t="shared" si="5"/>
        <v>1400</v>
      </c>
      <c r="H147" s="1451"/>
      <c r="I147" s="1550">
        <f t="shared" si="6"/>
        <v>0</v>
      </c>
    </row>
    <row r="148" spans="2:10" ht="15.75" customHeight="1">
      <c r="B148" s="1501">
        <v>10.02</v>
      </c>
      <c r="C148" s="1461" t="s">
        <v>1337</v>
      </c>
      <c r="D148" s="1462" t="s">
        <v>1336</v>
      </c>
      <c r="E148" s="1462">
        <v>15</v>
      </c>
      <c r="F148" s="1451">
        <v>40</v>
      </c>
      <c r="G148" s="1451">
        <f t="shared" si="5"/>
        <v>600</v>
      </c>
      <c r="H148" s="1451"/>
      <c r="I148" s="1550">
        <f t="shared" si="6"/>
        <v>0</v>
      </c>
    </row>
    <row r="149" spans="2:10" ht="15.75" customHeight="1">
      <c r="B149" s="1501">
        <v>10.029999999999999</v>
      </c>
      <c r="C149" s="1461" t="s">
        <v>1593</v>
      </c>
      <c r="D149" s="1462" t="s">
        <v>1336</v>
      </c>
      <c r="E149" s="1462">
        <v>30</v>
      </c>
      <c r="F149" s="1451">
        <v>60</v>
      </c>
      <c r="G149" s="1451">
        <f t="shared" si="5"/>
        <v>1800</v>
      </c>
      <c r="H149" s="1451">
        <f>'OR Super TOS '!D791</f>
        <v>35</v>
      </c>
      <c r="I149" s="1550">
        <f t="shared" si="6"/>
        <v>2100</v>
      </c>
    </row>
    <row r="150" spans="2:10" ht="15.75" customHeight="1">
      <c r="B150" s="1501">
        <v>10.039999999999999</v>
      </c>
      <c r="C150" s="1461" t="s">
        <v>1518</v>
      </c>
      <c r="D150" s="1462"/>
      <c r="E150" s="1462"/>
      <c r="F150" s="1451"/>
      <c r="G150" s="1451">
        <f t="shared" si="5"/>
        <v>0</v>
      </c>
      <c r="H150" s="1451">
        <f>'OR Super TOS '!D796</f>
        <v>13.45</v>
      </c>
      <c r="I150" s="1550">
        <f t="shared" si="6"/>
        <v>0</v>
      </c>
    </row>
    <row r="151" spans="2:10" ht="15.75" customHeight="1">
      <c r="B151" s="1502"/>
      <c r="C151" s="1557" t="s">
        <v>1235</v>
      </c>
      <c r="D151" s="1558" t="s">
        <v>1336</v>
      </c>
      <c r="E151" s="1558">
        <v>12</v>
      </c>
      <c r="F151" s="1479">
        <v>50</v>
      </c>
      <c r="G151" s="1479">
        <f t="shared" si="5"/>
        <v>600</v>
      </c>
      <c r="H151" s="1479"/>
      <c r="I151" s="1553">
        <f t="shared" si="6"/>
        <v>0</v>
      </c>
    </row>
    <row r="152" spans="2:10" ht="15.75" customHeight="1">
      <c r="B152" s="2148" t="s">
        <v>1330</v>
      </c>
      <c r="C152" s="2149"/>
      <c r="D152" s="2150"/>
      <c r="E152" s="1481"/>
      <c r="F152" s="1481"/>
      <c r="G152" s="1481">
        <f>SUM(G120:G151)</f>
        <v>231946.25</v>
      </c>
      <c r="H152" s="1481"/>
      <c r="I152" s="1481">
        <f>SUM(I120:I151)</f>
        <v>169753.75</v>
      </c>
    </row>
    <row r="153" spans="2:10" ht="15.75" customHeight="1">
      <c r="B153" s="1444"/>
      <c r="C153" s="1340"/>
      <c r="D153" s="1303"/>
      <c r="E153" s="1303"/>
      <c r="F153" s="1303"/>
      <c r="G153" s="1303"/>
      <c r="I153" s="1303"/>
      <c r="J153" s="1307"/>
    </row>
    <row r="154" spans="2:10" ht="15.75" customHeight="1">
      <c r="I154" s="1308"/>
      <c r="J154" s="1307"/>
    </row>
    <row r="155" spans="2:10" ht="15.75" customHeight="1">
      <c r="I155" s="1308"/>
      <c r="J155" s="1307"/>
    </row>
    <row r="156" spans="2:10" ht="15.75" customHeight="1">
      <c r="I156" s="1308"/>
      <c r="J156" s="1307"/>
    </row>
    <row r="157" spans="2:10" ht="15.75" customHeight="1">
      <c r="I157" s="1308"/>
      <c r="J157" s="1307"/>
    </row>
    <row r="158" spans="2:10" ht="15.75" customHeight="1">
      <c r="I158" s="1308"/>
      <c r="J158" s="1307"/>
    </row>
    <row r="159" spans="2:10" ht="15.75" customHeight="1">
      <c r="I159" s="1308"/>
      <c r="J159" s="1307"/>
    </row>
    <row r="160" spans="2:10" ht="15.75" customHeight="1">
      <c r="I160" s="1308"/>
      <c r="J160" s="1307"/>
    </row>
    <row r="161" spans="9:10" ht="15.75" customHeight="1">
      <c r="I161" s="1308"/>
      <c r="J161" s="1307"/>
    </row>
    <row r="162" spans="9:10" ht="15.75" customHeight="1">
      <c r="I162" s="1308"/>
      <c r="J162" s="1307"/>
    </row>
    <row r="163" spans="9:10" ht="15.75" customHeight="1">
      <c r="I163" s="1308"/>
      <c r="J163" s="1307"/>
    </row>
    <row r="164" spans="9:10" ht="15.75" customHeight="1">
      <c r="I164" s="1308"/>
      <c r="J164" s="1307"/>
    </row>
    <row r="165" spans="9:10" ht="15.75" customHeight="1">
      <c r="I165" s="1308"/>
      <c r="J165" s="1307"/>
    </row>
    <row r="166" spans="9:10" ht="15.75" customHeight="1">
      <c r="I166" s="1308"/>
      <c r="J166" s="1307"/>
    </row>
    <row r="167" spans="9:10" ht="15.75" customHeight="1">
      <c r="I167" s="1308"/>
      <c r="J167" s="1307"/>
    </row>
    <row r="168" spans="9:10" ht="15.75" customHeight="1">
      <c r="I168" s="1308"/>
      <c r="J168" s="1307"/>
    </row>
    <row r="169" spans="9:10" ht="15.75" customHeight="1">
      <c r="I169" s="1308"/>
      <c r="J169" s="1307"/>
    </row>
    <row r="170" spans="9:10" ht="15.75" customHeight="1">
      <c r="I170" s="1308"/>
      <c r="J170" s="1307"/>
    </row>
    <row r="171" spans="9:10" ht="15.75" customHeight="1">
      <c r="I171" s="1308"/>
      <c r="J171" s="1307"/>
    </row>
    <row r="172" spans="9:10" ht="15.75" customHeight="1">
      <c r="I172" s="1308"/>
      <c r="J172" s="1307"/>
    </row>
    <row r="173" spans="9:10" ht="15.75" customHeight="1">
      <c r="I173" s="1308"/>
      <c r="J173" s="1307"/>
    </row>
    <row r="174" spans="9:10" ht="15.75" customHeight="1">
      <c r="I174" s="1308"/>
      <c r="J174" s="1307"/>
    </row>
    <row r="175" spans="9:10" ht="15.75" customHeight="1">
      <c r="I175" s="1308"/>
      <c r="J175" s="1307"/>
    </row>
    <row r="176" spans="9:10" ht="15.75" customHeight="1">
      <c r="I176" s="1308"/>
      <c r="J176" s="1307"/>
    </row>
    <row r="177" spans="9:10" ht="15.75" customHeight="1">
      <c r="I177" s="1308"/>
      <c r="J177" s="1307"/>
    </row>
    <row r="178" spans="9:10" ht="15.75" customHeight="1">
      <c r="I178" s="1308"/>
      <c r="J178" s="1307"/>
    </row>
    <row r="179" spans="9:10" ht="15.75" customHeight="1">
      <c r="I179" s="1308"/>
      <c r="J179" s="1307"/>
    </row>
    <row r="180" spans="9:10" ht="15.75" customHeight="1">
      <c r="I180" s="1308"/>
      <c r="J180" s="1307"/>
    </row>
    <row r="181" spans="9:10" ht="15.75" customHeight="1">
      <c r="I181" s="1308"/>
      <c r="J181" s="1307"/>
    </row>
    <row r="182" spans="9:10" ht="15.75" customHeight="1">
      <c r="I182" s="1308"/>
      <c r="J182" s="1307"/>
    </row>
    <row r="183" spans="9:10" ht="15.75" customHeight="1">
      <c r="I183" s="1308"/>
      <c r="J183" s="1307"/>
    </row>
    <row r="184" spans="9:10" ht="15.75" customHeight="1">
      <c r="I184" s="1308"/>
      <c r="J184" s="1307"/>
    </row>
    <row r="185" spans="9:10" ht="15.75" customHeight="1">
      <c r="I185" s="1308"/>
      <c r="J185" s="1307"/>
    </row>
    <row r="186" spans="9:10" ht="15.75" customHeight="1">
      <c r="I186" s="1308"/>
      <c r="J186" s="1307"/>
    </row>
    <row r="187" spans="9:10" ht="15.75" customHeight="1">
      <c r="I187" s="1308"/>
      <c r="J187" s="1307"/>
    </row>
    <row r="188" spans="9:10" ht="15.75" customHeight="1">
      <c r="I188" s="1308"/>
      <c r="J188" s="1307"/>
    </row>
    <row r="189" spans="9:10" ht="15.75" customHeight="1">
      <c r="I189" s="1308"/>
      <c r="J189" s="1307"/>
    </row>
    <row r="190" spans="9:10" ht="15.75" customHeight="1">
      <c r="I190" s="1308"/>
      <c r="J190" s="1307"/>
    </row>
    <row r="191" spans="9:10" ht="15.75" customHeight="1">
      <c r="I191" s="1308"/>
      <c r="J191" s="1307"/>
    </row>
    <row r="192" spans="9:10" ht="15.75" customHeight="1">
      <c r="I192" s="1308"/>
      <c r="J192" s="1307"/>
    </row>
    <row r="193" spans="9:10" ht="15.75" customHeight="1">
      <c r="I193" s="1308"/>
      <c r="J193" s="1307"/>
    </row>
    <row r="194" spans="9:10" ht="15.75" customHeight="1">
      <c r="I194" s="1308"/>
      <c r="J194" s="1307"/>
    </row>
    <row r="195" spans="9:10" ht="15.75" customHeight="1">
      <c r="I195" s="1308"/>
      <c r="J195" s="1307"/>
    </row>
    <row r="196" spans="9:10" ht="15.75" customHeight="1">
      <c r="I196" s="1308"/>
      <c r="J196" s="1307"/>
    </row>
    <row r="197" spans="9:10" ht="15.75" customHeight="1">
      <c r="I197" s="1308"/>
      <c r="J197" s="1307"/>
    </row>
    <row r="198" spans="9:10" ht="15.75" customHeight="1">
      <c r="I198" s="1308"/>
      <c r="J198" s="1307"/>
    </row>
    <row r="199" spans="9:10" ht="15.75" customHeight="1">
      <c r="I199" s="1308"/>
      <c r="J199" s="1307"/>
    </row>
    <row r="200" spans="9:10" ht="15.75" customHeight="1">
      <c r="I200" s="1308"/>
      <c r="J200" s="1307"/>
    </row>
    <row r="201" spans="9:10" ht="15.75" customHeight="1">
      <c r="I201" s="1308"/>
      <c r="J201" s="1307"/>
    </row>
    <row r="202" spans="9:10" ht="15.75" customHeight="1">
      <c r="I202" s="1308"/>
      <c r="J202" s="1307"/>
    </row>
    <row r="203" spans="9:10" ht="15.75" customHeight="1">
      <c r="I203" s="1308"/>
      <c r="J203" s="1307"/>
    </row>
    <row r="204" spans="9:10" ht="15.75" customHeight="1">
      <c r="I204" s="1308"/>
      <c r="J204" s="1307"/>
    </row>
    <row r="205" spans="9:10" ht="15.75" customHeight="1">
      <c r="I205" s="1308"/>
      <c r="J205" s="1307"/>
    </row>
    <row r="206" spans="9:10" ht="15.75" customHeight="1">
      <c r="I206" s="1308"/>
      <c r="J206" s="1307"/>
    </row>
    <row r="207" spans="9:10" ht="15.75" customHeight="1">
      <c r="I207" s="1308"/>
      <c r="J207" s="1307"/>
    </row>
    <row r="208" spans="9:10" ht="15.75" customHeight="1">
      <c r="I208" s="1308"/>
      <c r="J208" s="1307"/>
    </row>
    <row r="209" spans="9:10" ht="15.75" customHeight="1">
      <c r="I209" s="1308"/>
      <c r="J209" s="1307"/>
    </row>
    <row r="210" spans="9:10" ht="15.75" customHeight="1">
      <c r="I210" s="1308"/>
      <c r="J210" s="1307"/>
    </row>
    <row r="211" spans="9:10" ht="15.75" customHeight="1">
      <c r="I211" s="1308"/>
      <c r="J211" s="1307"/>
    </row>
    <row r="212" spans="9:10" ht="15.75" customHeight="1">
      <c r="I212" s="1308"/>
      <c r="J212" s="1307"/>
    </row>
    <row r="213" spans="9:10" ht="15.75" customHeight="1">
      <c r="I213" s="1308"/>
      <c r="J213" s="1307"/>
    </row>
    <row r="214" spans="9:10" ht="15.75" customHeight="1">
      <c r="I214" s="1308"/>
      <c r="J214" s="1307"/>
    </row>
    <row r="215" spans="9:10" ht="15.75" customHeight="1">
      <c r="I215" s="1308"/>
      <c r="J215" s="1307"/>
    </row>
    <row r="216" spans="9:10" ht="15.75" customHeight="1">
      <c r="I216" s="1308"/>
      <c r="J216" s="1307"/>
    </row>
    <row r="217" spans="9:10" ht="15.75" customHeight="1">
      <c r="I217" s="1308"/>
      <c r="J217" s="1307"/>
    </row>
    <row r="218" spans="9:10" ht="15.75" customHeight="1">
      <c r="I218" s="1308"/>
      <c r="J218" s="1307"/>
    </row>
    <row r="219" spans="9:10" ht="15.75" customHeight="1">
      <c r="I219" s="1308"/>
      <c r="J219" s="1307"/>
    </row>
    <row r="220" spans="9:10" ht="15.75" customHeight="1">
      <c r="I220" s="1308"/>
      <c r="J220" s="1307"/>
    </row>
    <row r="221" spans="9:10" ht="15.75" customHeight="1">
      <c r="I221" s="1308"/>
      <c r="J221" s="1307"/>
    </row>
    <row r="222" spans="9:10" ht="15.75" customHeight="1">
      <c r="I222" s="1308"/>
      <c r="J222" s="1307"/>
    </row>
    <row r="223" spans="9:10" ht="15.75" customHeight="1">
      <c r="I223" s="1308"/>
      <c r="J223" s="1307"/>
    </row>
    <row r="224" spans="9:10" ht="15.75" customHeight="1">
      <c r="I224" s="1308"/>
      <c r="J224" s="1307"/>
    </row>
    <row r="225" spans="9:10" ht="15.75" customHeight="1">
      <c r="I225" s="1308"/>
      <c r="J225" s="1307"/>
    </row>
    <row r="226" spans="9:10" ht="15.75" customHeight="1">
      <c r="I226" s="1308"/>
      <c r="J226" s="1307"/>
    </row>
    <row r="227" spans="9:10" ht="15.75" customHeight="1">
      <c r="I227" s="1308"/>
      <c r="J227" s="1307"/>
    </row>
    <row r="228" spans="9:10" ht="15.75" customHeight="1">
      <c r="I228" s="1308"/>
      <c r="J228" s="1307"/>
    </row>
    <row r="229" spans="9:10" ht="15.75" customHeight="1">
      <c r="I229" s="1308"/>
      <c r="J229" s="1307"/>
    </row>
    <row r="230" spans="9:10" ht="15.75" customHeight="1">
      <c r="I230" s="1308"/>
      <c r="J230" s="1307"/>
    </row>
    <row r="231" spans="9:10" ht="15.75" customHeight="1">
      <c r="I231" s="1308"/>
      <c r="J231" s="1307"/>
    </row>
    <row r="232" spans="9:10" ht="15.75" customHeight="1">
      <c r="I232" s="1308"/>
      <c r="J232" s="1307"/>
    </row>
    <row r="233" spans="9:10" ht="15.75" customHeight="1">
      <c r="I233" s="1308"/>
      <c r="J233" s="1307"/>
    </row>
    <row r="234" spans="9:10" ht="15.75" customHeight="1">
      <c r="I234" s="1308"/>
      <c r="J234" s="1307"/>
    </row>
    <row r="235" spans="9:10" ht="15.75" customHeight="1">
      <c r="I235" s="1308"/>
      <c r="J235" s="1307"/>
    </row>
    <row r="236" spans="9:10" ht="15.75" customHeight="1">
      <c r="I236" s="1308"/>
      <c r="J236" s="1307"/>
    </row>
    <row r="237" spans="9:10" ht="15.75" customHeight="1">
      <c r="I237" s="1308"/>
      <c r="J237" s="1307"/>
    </row>
    <row r="238" spans="9:10" ht="15.75" customHeight="1">
      <c r="I238" s="1308"/>
      <c r="J238" s="1307"/>
    </row>
    <row r="239" spans="9:10" ht="15.75" customHeight="1">
      <c r="I239" s="1308"/>
      <c r="J239" s="1307"/>
    </row>
    <row r="240" spans="9:10" ht="15.75" customHeight="1">
      <c r="I240" s="1308"/>
      <c r="J240" s="1307"/>
    </row>
    <row r="241" spans="9:10" ht="15.75" customHeight="1">
      <c r="I241" s="1308"/>
      <c r="J241" s="1307"/>
    </row>
    <row r="242" spans="9:10" ht="15.75" customHeight="1">
      <c r="I242" s="1308"/>
      <c r="J242" s="1307"/>
    </row>
    <row r="243" spans="9:10" ht="15.75" customHeight="1">
      <c r="I243" s="1308"/>
      <c r="J243" s="1307"/>
    </row>
    <row r="244" spans="9:10" ht="15.75" customHeight="1">
      <c r="I244" s="1308"/>
      <c r="J244" s="1307"/>
    </row>
    <row r="245" spans="9:10" ht="15.75" customHeight="1">
      <c r="I245" s="1308"/>
      <c r="J245" s="1307"/>
    </row>
    <row r="246" spans="9:10" ht="15.75" customHeight="1">
      <c r="I246" s="1308"/>
      <c r="J246" s="1307"/>
    </row>
    <row r="247" spans="9:10" ht="15.75" customHeight="1">
      <c r="I247" s="1308"/>
      <c r="J247" s="1307"/>
    </row>
    <row r="248" spans="9:10" ht="15.75" customHeight="1">
      <c r="I248" s="1308"/>
      <c r="J248" s="1307"/>
    </row>
    <row r="249" spans="9:10" ht="15.75" customHeight="1">
      <c r="I249" s="1308"/>
      <c r="J249" s="1307"/>
    </row>
    <row r="250" spans="9:10" ht="15.75" customHeight="1">
      <c r="I250" s="1308"/>
      <c r="J250" s="1307"/>
    </row>
    <row r="251" spans="9:10" ht="15.75" customHeight="1">
      <c r="I251" s="1308"/>
      <c r="J251" s="1307"/>
    </row>
    <row r="252" spans="9:10" ht="15.75" customHeight="1">
      <c r="I252" s="1308"/>
      <c r="J252" s="1307"/>
    </row>
    <row r="253" spans="9:10" ht="15.75" customHeight="1">
      <c r="I253" s="1308"/>
      <c r="J253" s="1307"/>
    </row>
    <row r="254" spans="9:10" ht="15.75" customHeight="1">
      <c r="I254" s="1308"/>
      <c r="J254" s="1307"/>
    </row>
    <row r="255" spans="9:10" ht="15.75" customHeight="1">
      <c r="I255" s="1308"/>
      <c r="J255" s="1307"/>
    </row>
    <row r="256" spans="9:10" ht="15.75" customHeight="1">
      <c r="I256" s="1308"/>
      <c r="J256" s="1307"/>
    </row>
    <row r="257" spans="9:10" ht="15.75" customHeight="1">
      <c r="I257" s="1308"/>
      <c r="J257" s="1307"/>
    </row>
    <row r="258" spans="9:10" ht="15.75" customHeight="1">
      <c r="I258" s="1308"/>
      <c r="J258" s="1307"/>
    </row>
    <row r="259" spans="9:10" ht="15.75" customHeight="1">
      <c r="I259" s="1308"/>
      <c r="J259" s="1307"/>
    </row>
    <row r="260" spans="9:10" ht="15.75" customHeight="1">
      <c r="I260" s="1308"/>
      <c r="J260" s="1307"/>
    </row>
    <row r="261" spans="9:10" ht="15.75" customHeight="1">
      <c r="I261" s="1308"/>
      <c r="J261" s="1307"/>
    </row>
    <row r="262" spans="9:10" ht="15.75" customHeight="1">
      <c r="I262" s="1308"/>
      <c r="J262" s="1307"/>
    </row>
    <row r="263" spans="9:10" ht="15.75" customHeight="1">
      <c r="I263" s="1308"/>
      <c r="J263" s="1307"/>
    </row>
    <row r="264" spans="9:10" ht="15.75" customHeight="1">
      <c r="I264" s="1308"/>
      <c r="J264" s="1307"/>
    </row>
    <row r="265" spans="9:10" ht="15.75" customHeight="1">
      <c r="I265" s="1308"/>
      <c r="J265" s="1307"/>
    </row>
    <row r="266" spans="9:10" ht="15.75" customHeight="1">
      <c r="I266" s="1308"/>
      <c r="J266" s="1307"/>
    </row>
    <row r="267" spans="9:10" ht="15.75" customHeight="1">
      <c r="I267" s="1308"/>
      <c r="J267" s="1307"/>
    </row>
    <row r="268" spans="9:10" ht="15.75" customHeight="1">
      <c r="I268" s="1308"/>
      <c r="J268" s="1307"/>
    </row>
    <row r="269" spans="9:10" ht="15.75" customHeight="1">
      <c r="I269" s="1308"/>
      <c r="J269" s="1307"/>
    </row>
    <row r="270" spans="9:10" ht="15.75" customHeight="1">
      <c r="I270" s="1308"/>
      <c r="J270" s="1307"/>
    </row>
    <row r="271" spans="9:10" ht="15.75" customHeight="1">
      <c r="I271" s="1308"/>
      <c r="J271" s="1307"/>
    </row>
    <row r="272" spans="9:10" ht="15.75" customHeight="1">
      <c r="I272" s="1308"/>
      <c r="J272" s="1307"/>
    </row>
    <row r="273" spans="9:10" ht="15.75" customHeight="1">
      <c r="I273" s="1308"/>
      <c r="J273" s="1307"/>
    </row>
    <row r="274" spans="9:10" ht="15.75" customHeight="1">
      <c r="I274" s="1308"/>
      <c r="J274" s="1307"/>
    </row>
    <row r="275" spans="9:10" ht="15.75" customHeight="1">
      <c r="I275" s="1308"/>
      <c r="J275" s="1307"/>
    </row>
    <row r="276" spans="9:10" ht="15.75" customHeight="1">
      <c r="I276" s="1308"/>
      <c r="J276" s="1307"/>
    </row>
    <row r="277" spans="9:10" ht="15.75" customHeight="1">
      <c r="I277" s="1308"/>
      <c r="J277" s="1307"/>
    </row>
    <row r="278" spans="9:10" ht="15.75" customHeight="1">
      <c r="I278" s="1308"/>
      <c r="J278" s="1307"/>
    </row>
    <row r="279" spans="9:10" ht="15.75" customHeight="1">
      <c r="I279" s="1308"/>
      <c r="J279" s="1307"/>
    </row>
    <row r="280" spans="9:10" ht="15.75" customHeight="1">
      <c r="I280" s="1308"/>
      <c r="J280" s="1307"/>
    </row>
    <row r="281" spans="9:10" ht="15.75" customHeight="1">
      <c r="I281" s="1308"/>
      <c r="J281" s="1307"/>
    </row>
    <row r="282" spans="9:10" ht="15.75" customHeight="1">
      <c r="I282" s="1308"/>
      <c r="J282" s="1307"/>
    </row>
    <row r="283" spans="9:10" ht="15.75" customHeight="1">
      <c r="I283" s="1308"/>
      <c r="J283" s="1307"/>
    </row>
    <row r="284" spans="9:10" ht="15.75" customHeight="1">
      <c r="I284" s="1308"/>
      <c r="J284" s="1307"/>
    </row>
    <row r="285" spans="9:10" ht="15.75" customHeight="1">
      <c r="I285" s="1308"/>
      <c r="J285" s="1307"/>
    </row>
    <row r="286" spans="9:10" ht="15.75" customHeight="1">
      <c r="I286" s="1308"/>
      <c r="J286" s="1307"/>
    </row>
    <row r="287" spans="9:10" ht="15.75" customHeight="1">
      <c r="I287" s="1308"/>
      <c r="J287" s="1307"/>
    </row>
    <row r="288" spans="9:10" ht="15.75" customHeight="1">
      <c r="I288" s="1308"/>
      <c r="J288" s="1307"/>
    </row>
    <row r="289" spans="9:10" ht="15.75" customHeight="1">
      <c r="I289" s="1308"/>
      <c r="J289" s="1307"/>
    </row>
    <row r="290" spans="9:10" ht="15.75" customHeight="1">
      <c r="I290" s="1308"/>
      <c r="J290" s="1307"/>
    </row>
    <row r="291" spans="9:10" ht="15.75" customHeight="1">
      <c r="I291" s="1308"/>
      <c r="J291" s="1307"/>
    </row>
    <row r="292" spans="9:10" ht="15.75" customHeight="1">
      <c r="I292" s="1308"/>
      <c r="J292" s="1307"/>
    </row>
    <row r="293" spans="9:10" ht="15.75" customHeight="1">
      <c r="I293" s="1308"/>
      <c r="J293" s="1307"/>
    </row>
    <row r="294" spans="9:10" ht="15.75" customHeight="1">
      <c r="I294" s="1308"/>
      <c r="J294" s="1307"/>
    </row>
    <row r="295" spans="9:10" ht="15.75" customHeight="1">
      <c r="I295" s="1308"/>
      <c r="J295" s="1307"/>
    </row>
    <row r="296" spans="9:10" ht="15.75" customHeight="1">
      <c r="I296" s="1308"/>
      <c r="J296" s="1307"/>
    </row>
    <row r="297" spans="9:10" ht="15.75" customHeight="1">
      <c r="I297" s="1308"/>
      <c r="J297" s="1307"/>
    </row>
    <row r="298" spans="9:10" ht="15.75" customHeight="1">
      <c r="I298" s="1308"/>
      <c r="J298" s="1307"/>
    </row>
    <row r="299" spans="9:10" ht="15.75" customHeight="1">
      <c r="I299" s="1308"/>
      <c r="J299" s="1307"/>
    </row>
    <row r="300" spans="9:10" ht="15.75" customHeight="1">
      <c r="I300" s="1308"/>
      <c r="J300" s="1307"/>
    </row>
    <row r="301" spans="9:10" ht="15.75" customHeight="1">
      <c r="I301" s="1308"/>
      <c r="J301" s="1307"/>
    </row>
    <row r="302" spans="9:10" ht="15.75" customHeight="1">
      <c r="I302" s="1308"/>
      <c r="J302" s="1307"/>
    </row>
    <row r="303" spans="9:10" ht="15.75" customHeight="1">
      <c r="I303" s="1308"/>
      <c r="J303" s="1307"/>
    </row>
    <row r="304" spans="9:10" ht="15.75" customHeight="1">
      <c r="I304" s="1308"/>
      <c r="J304" s="1307"/>
    </row>
  </sheetData>
  <mergeCells count="20">
    <mergeCell ref="B118:D118"/>
    <mergeCell ref="B152:D152"/>
    <mergeCell ref="B60:D60"/>
    <mergeCell ref="B73:D73"/>
    <mergeCell ref="B86:D86"/>
    <mergeCell ref="B98:D98"/>
    <mergeCell ref="B103:D103"/>
    <mergeCell ref="B16:D16"/>
    <mergeCell ref="B31:D31"/>
    <mergeCell ref="B35:D35"/>
    <mergeCell ref="B50:D50"/>
    <mergeCell ref="B54:D54"/>
    <mergeCell ref="H1:I1"/>
    <mergeCell ref="H2:I2"/>
    <mergeCell ref="B6:B7"/>
    <mergeCell ref="C6:C7"/>
    <mergeCell ref="D6:D7"/>
    <mergeCell ref="E6:G6"/>
    <mergeCell ref="H6:I6"/>
    <mergeCell ref="G3:I3"/>
  </mergeCells>
  <pageMargins left="0.5" right="0.25" top="0.5" bottom="0.5" header="0.25" footer="0.25"/>
  <pageSetup paperSize="9" scale="82" firstPageNumber="120" orientation="portrait" useFirstPageNumber="1" r:id="rId1"/>
  <headerFooter alignWithMargins="0">
    <oddHeader>Page &amp;P of &amp;N</oddHeader>
    <oddFooter>&amp;LContractor: - ______________&amp;CConsultant: - ______________&amp;RClient: - __________________</oddFooter>
  </headerFooter>
  <rowBreaks count="2" manualBreakCount="2">
    <brk id="54" max="9" man="1"/>
    <brk id="103" max="9"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1"/>
  <sheetViews>
    <sheetView view="pageBreakPreview" zoomScaleNormal="115" zoomScaleSheetLayoutView="100" zoomScalePageLayoutView="85" workbookViewId="0">
      <selection activeCell="H1" sqref="H1:I1"/>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331"/>
      <c r="H1" s="821"/>
      <c r="I1" s="1332"/>
      <c r="J1" s="820"/>
    </row>
    <row r="2" spans="1:10">
      <c r="A2" s="834"/>
      <c r="B2" s="2059" t="s">
        <v>1917</v>
      </c>
      <c r="C2" s="2059"/>
      <c r="D2" s="2059"/>
      <c r="E2" s="2059"/>
      <c r="F2" s="819"/>
      <c r="G2" s="1331"/>
      <c r="J2" s="834"/>
    </row>
    <row r="3" spans="1:10">
      <c r="A3" s="834"/>
      <c r="B3" s="2059" t="s">
        <v>1920</v>
      </c>
      <c r="C3" s="2059"/>
      <c r="D3" s="2059"/>
      <c r="E3" s="2059"/>
      <c r="F3" s="2059"/>
      <c r="G3" s="1331"/>
      <c r="H3" s="2060" t="s">
        <v>2944</v>
      </c>
      <c r="I3" s="2060"/>
      <c r="J3" s="834"/>
    </row>
    <row r="4" spans="1:10">
      <c r="A4" s="834"/>
      <c r="B4" s="2059" t="s">
        <v>1921</v>
      </c>
      <c r="C4" s="2059"/>
      <c r="D4" s="2059"/>
      <c r="E4" s="2059"/>
      <c r="F4" s="819"/>
      <c r="G4" s="1331"/>
      <c r="H4" s="2061"/>
      <c r="I4" s="2061"/>
      <c r="J4" s="834"/>
    </row>
    <row r="5" spans="1:10">
      <c r="A5" s="834"/>
      <c r="B5" s="824"/>
      <c r="C5" s="1331"/>
      <c r="D5" s="1331"/>
      <c r="E5" s="825"/>
      <c r="F5" s="819"/>
      <c r="G5" s="1330"/>
      <c r="H5" s="827"/>
      <c r="I5" s="1330"/>
      <c r="J5" s="834"/>
    </row>
    <row r="6" spans="1:10">
      <c r="A6" s="1162"/>
      <c r="B6" s="909" t="s">
        <v>1884</v>
      </c>
      <c r="C6" s="911" t="s">
        <v>526</v>
      </c>
      <c r="D6" s="910" t="s">
        <v>1885</v>
      </c>
      <c r="E6" s="911" t="s">
        <v>1886</v>
      </c>
      <c r="F6" s="909" t="s">
        <v>1884</v>
      </c>
      <c r="G6" s="911" t="s">
        <v>526</v>
      </c>
      <c r="H6" s="910" t="s">
        <v>1885</v>
      </c>
      <c r="I6" s="911" t="s">
        <v>1886</v>
      </c>
      <c r="J6" s="1162"/>
    </row>
    <row r="7" spans="1:10">
      <c r="A7" s="834"/>
      <c r="B7" s="831"/>
      <c r="C7" s="829"/>
      <c r="D7" s="832"/>
      <c r="E7" s="837" t="s">
        <v>1887</v>
      </c>
      <c r="F7" s="831"/>
      <c r="G7" s="829"/>
      <c r="H7" s="832"/>
      <c r="I7" s="837" t="s">
        <v>2960</v>
      </c>
    </row>
    <row r="8" spans="1:10">
      <c r="A8" s="834"/>
      <c r="B8" s="831"/>
      <c r="C8" s="829"/>
      <c r="D8" s="832"/>
      <c r="E8" s="837" t="s">
        <v>1888</v>
      </c>
      <c r="F8" s="831">
        <v>1</v>
      </c>
      <c r="G8" s="829">
        <v>42.15</v>
      </c>
      <c r="H8" s="832"/>
      <c r="I8" s="913" t="s">
        <v>2956</v>
      </c>
    </row>
    <row r="9" spans="1:10">
      <c r="A9" s="834"/>
      <c r="B9" s="831"/>
      <c r="C9" s="829"/>
      <c r="D9" s="832"/>
      <c r="E9" s="837" t="s">
        <v>1889</v>
      </c>
      <c r="F9" s="831"/>
      <c r="G9" s="829">
        <v>15.6</v>
      </c>
      <c r="H9" s="832"/>
      <c r="I9" s="913" t="s">
        <v>2957</v>
      </c>
    </row>
    <row r="10" spans="1:10">
      <c r="A10" s="834"/>
      <c r="B10" s="831"/>
      <c r="C10" s="829"/>
      <c r="D10" s="832"/>
      <c r="E10" s="913" t="s">
        <v>2570</v>
      </c>
      <c r="F10" s="831"/>
      <c r="G10" s="829">
        <v>0.46</v>
      </c>
      <c r="H10" s="832">
        <f>F8*G8*G9*G10</f>
        <v>302.46839999999997</v>
      </c>
      <c r="I10" s="837"/>
    </row>
    <row r="11" spans="1:10">
      <c r="A11" s="834"/>
      <c r="B11" s="831">
        <v>1</v>
      </c>
      <c r="C11" s="829">
        <v>44.95</v>
      </c>
      <c r="D11" s="832"/>
      <c r="E11" s="913" t="s">
        <v>2571</v>
      </c>
      <c r="F11" s="831"/>
      <c r="G11" s="829"/>
      <c r="H11" s="832"/>
      <c r="I11" s="837"/>
    </row>
    <row r="12" spans="1:10">
      <c r="A12" s="834"/>
      <c r="B12" s="831"/>
      <c r="C12" s="829">
        <v>18.399999999999999</v>
      </c>
      <c r="D12" s="832">
        <f>C12*C11*B11</f>
        <v>827.08</v>
      </c>
      <c r="E12" s="837"/>
      <c r="F12" s="831"/>
      <c r="G12" s="829"/>
      <c r="H12" s="832"/>
      <c r="I12" s="837" t="s">
        <v>1915</v>
      </c>
    </row>
    <row r="13" spans="1:10">
      <c r="A13" s="834"/>
      <c r="B13" s="831"/>
      <c r="C13" s="829"/>
      <c r="D13" s="832"/>
      <c r="E13" s="837"/>
      <c r="F13" s="831">
        <v>2</v>
      </c>
      <c r="G13" s="829">
        <v>42.15</v>
      </c>
      <c r="H13" s="832"/>
      <c r="I13" s="913" t="s">
        <v>1916</v>
      </c>
    </row>
    <row r="14" spans="1:10" ht="18">
      <c r="A14" s="834"/>
      <c r="B14" s="839"/>
      <c r="C14" s="839"/>
      <c r="D14" s="838">
        <f>D12</f>
        <v>827.08</v>
      </c>
      <c r="E14" s="845" t="s">
        <v>3185</v>
      </c>
      <c r="F14" s="831"/>
      <c r="G14" s="829">
        <v>0.4</v>
      </c>
      <c r="H14" s="832"/>
      <c r="I14" s="913" t="s">
        <v>2958</v>
      </c>
    </row>
    <row r="15" spans="1:10">
      <c r="A15" s="834"/>
      <c r="B15" s="831"/>
      <c r="C15" s="829"/>
      <c r="D15" s="832"/>
      <c r="E15" s="837"/>
      <c r="F15" s="831"/>
      <c r="G15" s="829">
        <v>0.46</v>
      </c>
      <c r="H15" s="832">
        <f>F13*G13*G14*G15</f>
        <v>15.511200000000001</v>
      </c>
      <c r="I15" s="837"/>
    </row>
    <row r="16" spans="1:10">
      <c r="A16" s="834"/>
      <c r="B16" s="831"/>
      <c r="C16" s="829"/>
      <c r="D16" s="832"/>
      <c r="E16" s="837" t="s">
        <v>1890</v>
      </c>
      <c r="F16" s="831"/>
      <c r="G16" s="829"/>
      <c r="H16" s="832"/>
      <c r="I16" s="837"/>
    </row>
    <row r="17" spans="1:10">
      <c r="A17" s="834"/>
      <c r="B17" s="831">
        <v>1</v>
      </c>
      <c r="C17" s="829">
        <v>41.65</v>
      </c>
      <c r="D17" s="832"/>
      <c r="E17" s="831" t="s">
        <v>2945</v>
      </c>
      <c r="F17" s="831">
        <v>7</v>
      </c>
      <c r="G17" s="829">
        <v>14.8</v>
      </c>
      <c r="H17" s="832"/>
      <c r="I17" s="913" t="s">
        <v>1914</v>
      </c>
    </row>
    <row r="18" spans="1:10">
      <c r="A18" s="834"/>
      <c r="B18" s="831"/>
      <c r="C18" s="829">
        <v>15.1</v>
      </c>
      <c r="D18" s="832"/>
      <c r="E18" s="831" t="s">
        <v>2946</v>
      </c>
      <c r="F18" s="831"/>
      <c r="G18" s="829">
        <v>0.4</v>
      </c>
      <c r="H18" s="832"/>
      <c r="I18" s="913" t="s">
        <v>2959</v>
      </c>
    </row>
    <row r="19" spans="1:10">
      <c r="A19" s="834"/>
      <c r="B19" s="831"/>
      <c r="C19" s="829">
        <v>0.28000000000000003</v>
      </c>
      <c r="D19" s="832">
        <f>B17*C17*C18*C19</f>
        <v>176.09620000000001</v>
      </c>
      <c r="E19" s="837"/>
      <c r="F19" s="831"/>
      <c r="G19" s="829">
        <v>0.46</v>
      </c>
      <c r="H19" s="832">
        <f>F17*G17*G18*G19</f>
        <v>19.062400000000004</v>
      </c>
      <c r="I19" s="837"/>
    </row>
    <row r="20" spans="1:10">
      <c r="A20" s="834"/>
      <c r="B20" s="831"/>
      <c r="C20" s="829"/>
      <c r="D20" s="832"/>
      <c r="E20" s="837" t="s">
        <v>1915</v>
      </c>
      <c r="F20" s="831"/>
      <c r="G20" s="829"/>
      <c r="H20" s="832"/>
      <c r="I20" s="837"/>
    </row>
    <row r="21" spans="1:10" ht="18">
      <c r="A21" s="834"/>
      <c r="B21" s="831"/>
      <c r="C21" s="829"/>
      <c r="D21" s="832"/>
      <c r="E21" s="837"/>
      <c r="F21" s="839"/>
      <c r="G21" s="839"/>
      <c r="H21" s="838">
        <f>D48+D52+D58+D63+H10-H15-H19</f>
        <v>429.22480000000002</v>
      </c>
      <c r="I21" s="845" t="s">
        <v>3160</v>
      </c>
    </row>
    <row r="22" spans="1:10">
      <c r="A22" s="834"/>
      <c r="B22" s="831">
        <v>2</v>
      </c>
      <c r="C22" s="829">
        <v>41.65</v>
      </c>
      <c r="D22" s="832"/>
      <c r="E22" s="837" t="s">
        <v>1916</v>
      </c>
      <c r="F22" s="831"/>
      <c r="G22" s="829"/>
      <c r="H22" s="832"/>
      <c r="I22" s="837"/>
    </row>
    <row r="23" spans="1:10">
      <c r="A23" s="834"/>
      <c r="B23" s="831"/>
      <c r="C23" s="829">
        <v>0.9</v>
      </c>
      <c r="D23" s="832"/>
      <c r="E23" s="837" t="s">
        <v>2945</v>
      </c>
      <c r="F23" s="831"/>
      <c r="G23" s="829"/>
      <c r="H23" s="832"/>
      <c r="I23" s="837" t="s">
        <v>2921</v>
      </c>
      <c r="J23" s="834"/>
    </row>
    <row r="24" spans="1:10">
      <c r="A24" s="834"/>
      <c r="B24" s="831"/>
      <c r="C24" s="829">
        <v>0.28000000000000003</v>
      </c>
      <c r="D24" s="832">
        <f>B22*C22*C23*C24</f>
        <v>20.991600000000002</v>
      </c>
      <c r="E24" s="837"/>
      <c r="F24" s="831">
        <v>1</v>
      </c>
      <c r="G24" s="829">
        <v>44.95</v>
      </c>
      <c r="H24" s="832"/>
      <c r="I24" s="837"/>
      <c r="J24" s="834"/>
    </row>
    <row r="25" spans="1:10">
      <c r="A25" s="834"/>
      <c r="B25" s="831"/>
      <c r="C25" s="829"/>
      <c r="D25" s="832"/>
      <c r="E25" s="837"/>
      <c r="F25" s="831"/>
      <c r="G25" s="829">
        <v>18.399999999999999</v>
      </c>
      <c r="H25" s="832"/>
      <c r="I25" s="913"/>
      <c r="J25" s="834"/>
    </row>
    <row r="26" spans="1:10">
      <c r="A26" s="834"/>
      <c r="B26" s="831">
        <v>7</v>
      </c>
      <c r="C26" s="829">
        <v>13.3</v>
      </c>
      <c r="D26" s="832"/>
      <c r="E26" s="837" t="s">
        <v>1914</v>
      </c>
      <c r="F26" s="831"/>
      <c r="G26" s="829">
        <v>0.3</v>
      </c>
      <c r="H26" s="832">
        <f>F24*G24*G25*G26</f>
        <v>248.124</v>
      </c>
      <c r="I26" s="913" t="s">
        <v>1936</v>
      </c>
      <c r="J26" s="834"/>
    </row>
    <row r="27" spans="1:10" ht="31.5">
      <c r="A27" s="834"/>
      <c r="B27" s="831"/>
      <c r="C27" s="829">
        <v>0.9</v>
      </c>
      <c r="D27" s="832"/>
      <c r="E27" s="837" t="s">
        <v>2947</v>
      </c>
      <c r="F27" s="831"/>
      <c r="G27" s="829"/>
      <c r="H27" s="832"/>
      <c r="I27" s="913"/>
      <c r="J27" s="834"/>
    </row>
    <row r="28" spans="1:10">
      <c r="A28" s="834"/>
      <c r="B28" s="831"/>
      <c r="C28" s="829">
        <v>0.28000000000000003</v>
      </c>
      <c r="D28" s="832">
        <f>B26*C26*C27*C28</f>
        <v>23.461200000000005</v>
      </c>
      <c r="E28" s="837"/>
      <c r="F28" s="831"/>
      <c r="G28" s="829"/>
      <c r="H28" s="832">
        <f>D30</f>
        <v>131.64339999999999</v>
      </c>
      <c r="I28" s="913" t="s">
        <v>1937</v>
      </c>
      <c r="J28" s="834"/>
    </row>
    <row r="29" spans="1:10">
      <c r="A29" s="834"/>
      <c r="B29" s="435"/>
      <c r="C29" s="1335"/>
      <c r="D29" s="1335"/>
      <c r="E29" s="435"/>
      <c r="F29" s="831"/>
      <c r="G29" s="829"/>
      <c r="H29" s="832"/>
      <c r="I29" s="913"/>
      <c r="J29" s="834"/>
    </row>
    <row r="30" spans="1:10" ht="18">
      <c r="A30" s="834"/>
      <c r="B30" s="839"/>
      <c r="C30" s="839"/>
      <c r="D30" s="838">
        <f>D19-D24-D28</f>
        <v>131.64339999999999</v>
      </c>
      <c r="E30" s="845" t="s">
        <v>3162</v>
      </c>
      <c r="F30" s="831"/>
      <c r="G30" s="829"/>
      <c r="H30" s="832">
        <f>D42</f>
        <v>213.96150000000003</v>
      </c>
      <c r="I30" s="913" t="s">
        <v>1938</v>
      </c>
      <c r="J30" s="834"/>
    </row>
    <row r="31" spans="1:10">
      <c r="A31" s="834"/>
      <c r="B31" s="831"/>
      <c r="C31" s="829"/>
      <c r="D31" s="832"/>
      <c r="E31" s="837"/>
      <c r="F31" s="831"/>
      <c r="G31" s="829"/>
      <c r="H31" s="832"/>
      <c r="I31" s="837"/>
      <c r="J31" s="834"/>
    </row>
    <row r="32" spans="1:10">
      <c r="A32" s="834"/>
      <c r="B32" s="831"/>
      <c r="C32" s="829"/>
      <c r="D32" s="832"/>
      <c r="E32" s="837" t="s">
        <v>2903</v>
      </c>
      <c r="F32" s="831"/>
      <c r="G32" s="829"/>
      <c r="H32" s="832">
        <f>H21</f>
        <v>429.22480000000002</v>
      </c>
      <c r="I32" s="913" t="s">
        <v>1915</v>
      </c>
      <c r="J32" s="834"/>
    </row>
    <row r="33" spans="1:10">
      <c r="A33" s="834"/>
      <c r="B33" s="831"/>
      <c r="C33" s="829"/>
      <c r="D33" s="832"/>
      <c r="E33" s="837" t="s">
        <v>2904</v>
      </c>
      <c r="F33" s="831"/>
      <c r="G33" s="829"/>
      <c r="H33" s="832"/>
      <c r="I33" s="837"/>
      <c r="J33" s="834"/>
    </row>
    <row r="34" spans="1:10" ht="18">
      <c r="A34" s="834"/>
      <c r="B34" s="831">
        <v>4</v>
      </c>
      <c r="C34" s="829">
        <v>43.45</v>
      </c>
      <c r="D34" s="832"/>
      <c r="E34" s="913" t="s">
        <v>1916</v>
      </c>
      <c r="F34" s="839"/>
      <c r="G34" s="839"/>
      <c r="H34" s="838">
        <f>H26+H28+H30-H32</f>
        <v>164.50409999999994</v>
      </c>
      <c r="I34" s="845" t="s">
        <v>3161</v>
      </c>
      <c r="J34" s="834"/>
    </row>
    <row r="35" spans="1:10">
      <c r="A35" s="834"/>
      <c r="B35" s="831"/>
      <c r="C35" s="829">
        <v>0.9</v>
      </c>
      <c r="D35" s="832"/>
      <c r="E35" s="913" t="s">
        <v>2948</v>
      </c>
      <c r="F35" s="1335"/>
      <c r="G35" s="848"/>
      <c r="H35" s="843"/>
      <c r="I35" s="435"/>
      <c r="J35" s="834"/>
    </row>
    <row r="36" spans="1:10" ht="18.75" customHeight="1">
      <c r="A36" s="834"/>
      <c r="B36" s="831"/>
      <c r="C36" s="829">
        <v>0.81</v>
      </c>
      <c r="D36" s="832">
        <f>B34*C34*C35*C36</f>
        <v>126.70020000000002</v>
      </c>
      <c r="E36" s="837"/>
      <c r="F36" s="831"/>
      <c r="G36" s="829"/>
      <c r="H36" s="832"/>
      <c r="I36" s="837" t="s">
        <v>2967</v>
      </c>
      <c r="J36" s="834"/>
    </row>
    <row r="37" spans="1:10">
      <c r="A37" s="834"/>
      <c r="B37" s="831"/>
      <c r="C37" s="829"/>
      <c r="D37" s="832"/>
      <c r="E37" s="837"/>
      <c r="F37" s="831">
        <v>1</v>
      </c>
      <c r="G37" s="829">
        <v>42.45</v>
      </c>
      <c r="H37" s="832"/>
      <c r="I37" s="913" t="s">
        <v>2962</v>
      </c>
      <c r="J37" s="834"/>
    </row>
    <row r="38" spans="1:10">
      <c r="A38" s="834"/>
      <c r="B38" s="831">
        <v>9</v>
      </c>
      <c r="C38" s="829">
        <v>13.3</v>
      </c>
      <c r="D38" s="832"/>
      <c r="E38" s="913" t="s">
        <v>1914</v>
      </c>
      <c r="F38" s="831"/>
      <c r="G38" s="829">
        <v>15.9</v>
      </c>
      <c r="H38" s="832">
        <f>F37*G37*G38</f>
        <v>674.95500000000004</v>
      </c>
      <c r="I38" s="913" t="s">
        <v>2963</v>
      </c>
      <c r="J38" s="834"/>
    </row>
    <row r="39" spans="1:10">
      <c r="A39" s="834"/>
      <c r="B39" s="831"/>
      <c r="C39" s="829">
        <v>0.9</v>
      </c>
      <c r="D39" s="832"/>
      <c r="E39" s="913" t="s">
        <v>2949</v>
      </c>
      <c r="F39" s="831"/>
      <c r="G39" s="829"/>
      <c r="H39" s="832"/>
      <c r="I39" s="913"/>
      <c r="J39" s="834"/>
    </row>
    <row r="40" spans="1:10">
      <c r="A40" s="834"/>
      <c r="B40" s="831"/>
      <c r="C40" s="829">
        <v>0.81</v>
      </c>
      <c r="D40" s="832">
        <f>B38*C38*C39*C40</f>
        <v>87.261300000000006</v>
      </c>
      <c r="E40" s="913" t="s">
        <v>2195</v>
      </c>
      <c r="F40" s="831"/>
      <c r="G40" s="829"/>
      <c r="H40" s="832"/>
      <c r="I40" s="837" t="s">
        <v>1915</v>
      </c>
      <c r="J40" s="834"/>
    </row>
    <row r="41" spans="1:10">
      <c r="A41" s="834"/>
      <c r="B41" s="435"/>
      <c r="C41" s="1335"/>
      <c r="D41" s="1335"/>
      <c r="E41" s="435"/>
      <c r="F41" s="831">
        <v>2</v>
      </c>
      <c r="G41" s="829">
        <v>42.45</v>
      </c>
      <c r="H41" s="832"/>
      <c r="I41" s="913" t="s">
        <v>2964</v>
      </c>
      <c r="J41" s="834"/>
    </row>
    <row r="42" spans="1:10" ht="18">
      <c r="A42" s="834"/>
      <c r="B42" s="839"/>
      <c r="C42" s="839"/>
      <c r="D42" s="838">
        <f>D36+D40</f>
        <v>213.96150000000003</v>
      </c>
      <c r="E42" s="845" t="s">
        <v>3164</v>
      </c>
      <c r="F42" s="831"/>
      <c r="G42" s="829">
        <v>0.25</v>
      </c>
      <c r="H42" s="832">
        <f>F41*G41*G42</f>
        <v>21.225000000000001</v>
      </c>
      <c r="I42" s="913"/>
      <c r="J42" s="834"/>
    </row>
    <row r="43" spans="1:10">
      <c r="A43" s="834"/>
      <c r="B43" s="831"/>
      <c r="C43" s="829"/>
      <c r="D43" s="832"/>
      <c r="E43" s="837"/>
      <c r="F43" s="831"/>
      <c r="G43" s="829"/>
      <c r="H43" s="832"/>
      <c r="I43" s="913"/>
      <c r="J43" s="834"/>
    </row>
    <row r="44" spans="1:10">
      <c r="A44" s="834"/>
      <c r="B44" s="831"/>
      <c r="C44" s="829"/>
      <c r="D44" s="832"/>
      <c r="E44" s="837" t="s">
        <v>2951</v>
      </c>
      <c r="F44" s="831">
        <v>7</v>
      </c>
      <c r="G44" s="829">
        <v>15.4</v>
      </c>
      <c r="H44" s="832"/>
      <c r="I44" s="913" t="s">
        <v>2965</v>
      </c>
      <c r="J44" s="834"/>
    </row>
    <row r="45" spans="1:10">
      <c r="A45" s="834"/>
      <c r="B45" s="831"/>
      <c r="C45" s="829"/>
      <c r="D45" s="832"/>
      <c r="E45" s="837" t="s">
        <v>2907</v>
      </c>
      <c r="F45" s="831"/>
      <c r="G45" s="829">
        <v>0.25</v>
      </c>
      <c r="H45" s="832">
        <f>F44*G44*G45</f>
        <v>26.95</v>
      </c>
      <c r="I45" s="913" t="s">
        <v>2966</v>
      </c>
      <c r="J45" s="834"/>
    </row>
    <row r="46" spans="1:10">
      <c r="A46" s="834"/>
      <c r="B46" s="831">
        <v>4</v>
      </c>
      <c r="C46" s="829">
        <v>43.45</v>
      </c>
      <c r="D46" s="832"/>
      <c r="E46" s="913" t="s">
        <v>1929</v>
      </c>
      <c r="F46" s="1335"/>
      <c r="G46" s="848"/>
      <c r="H46" s="843"/>
      <c r="I46" s="435"/>
      <c r="J46" s="834"/>
    </row>
    <row r="47" spans="1:10" ht="18">
      <c r="A47" s="834"/>
      <c r="B47" s="831"/>
      <c r="C47" s="829">
        <v>0.9</v>
      </c>
      <c r="D47" s="832"/>
      <c r="E47" s="913" t="s">
        <v>2950</v>
      </c>
      <c r="F47" s="839"/>
      <c r="G47" s="839"/>
      <c r="H47" s="838">
        <f>H38-H42-H45</f>
        <v>626.78</v>
      </c>
      <c r="I47" s="845" t="s">
        <v>3182</v>
      </c>
      <c r="J47" s="834"/>
    </row>
    <row r="48" spans="1:10">
      <c r="A48" s="834"/>
      <c r="B48" s="831"/>
      <c r="C48" s="829">
        <v>0.55000000000000004</v>
      </c>
      <c r="D48" s="832">
        <f>B46*C46*C47*C48</f>
        <v>86.03100000000002</v>
      </c>
      <c r="E48" s="837"/>
      <c r="F48" s="831"/>
      <c r="G48" s="829"/>
      <c r="H48" s="832"/>
      <c r="I48" s="837"/>
      <c r="J48" s="834"/>
    </row>
    <row r="49" spans="1:10">
      <c r="A49" s="834"/>
      <c r="B49" s="831"/>
      <c r="C49" s="829"/>
      <c r="D49" s="832"/>
      <c r="E49" s="837"/>
      <c r="F49" s="831"/>
      <c r="G49" s="829"/>
      <c r="H49" s="832"/>
      <c r="I49" s="837" t="s">
        <v>1894</v>
      </c>
      <c r="J49" s="834"/>
    </row>
    <row r="50" spans="1:10">
      <c r="A50" s="834"/>
      <c r="B50" s="831">
        <v>9</v>
      </c>
      <c r="C50" s="829">
        <v>13.3</v>
      </c>
      <c r="D50" s="832"/>
      <c r="E50" s="913" t="s">
        <v>2952</v>
      </c>
      <c r="F50" s="831"/>
      <c r="G50" s="829"/>
      <c r="H50" s="832"/>
      <c r="I50" s="837" t="s">
        <v>1939</v>
      </c>
      <c r="J50" s="834"/>
    </row>
    <row r="51" spans="1:10">
      <c r="A51" s="834"/>
      <c r="B51" s="831"/>
      <c r="C51" s="829">
        <v>0.9</v>
      </c>
      <c r="D51" s="832"/>
      <c r="E51" s="913" t="s">
        <v>2961</v>
      </c>
      <c r="F51" s="831">
        <v>4</v>
      </c>
      <c r="G51" s="829">
        <v>42.95</v>
      </c>
      <c r="H51" s="832"/>
      <c r="I51" s="913" t="s">
        <v>2968</v>
      </c>
      <c r="J51" s="834"/>
    </row>
    <row r="52" spans="1:10">
      <c r="A52" s="834"/>
      <c r="B52" s="831"/>
      <c r="C52" s="829">
        <v>0.55000000000000004</v>
      </c>
      <c r="D52" s="832">
        <f>B50*C50*C51*C52</f>
        <v>59.251500000000007</v>
      </c>
      <c r="E52" s="837"/>
      <c r="F52" s="831"/>
      <c r="G52" s="829">
        <v>0.4</v>
      </c>
      <c r="H52" s="832">
        <f>G52*G51*F51</f>
        <v>68.720000000000013</v>
      </c>
      <c r="I52" s="913"/>
      <c r="J52" s="834"/>
    </row>
    <row r="53" spans="1:10">
      <c r="A53" s="834"/>
      <c r="B53" s="831"/>
      <c r="C53" s="829"/>
      <c r="D53" s="832"/>
      <c r="E53" s="837"/>
      <c r="F53" s="831"/>
      <c r="G53" s="829"/>
      <c r="H53" s="832"/>
      <c r="I53" s="913"/>
      <c r="J53" s="834"/>
    </row>
    <row r="54" spans="1:10">
      <c r="A54" s="834"/>
      <c r="B54" s="831"/>
      <c r="C54" s="829"/>
      <c r="D54" s="832"/>
      <c r="E54" s="837" t="s">
        <v>2910</v>
      </c>
      <c r="F54" s="831">
        <v>9</v>
      </c>
      <c r="G54" s="829">
        <v>14.8</v>
      </c>
      <c r="H54" s="832"/>
      <c r="I54" s="913" t="s">
        <v>2969</v>
      </c>
      <c r="J54" s="834"/>
    </row>
    <row r="55" spans="1:10">
      <c r="A55" s="834"/>
      <c r="B55" s="831"/>
      <c r="C55" s="829"/>
      <c r="D55" s="832"/>
      <c r="E55" s="837" t="s">
        <v>2953</v>
      </c>
      <c r="F55" s="831"/>
      <c r="G55" s="829">
        <v>0.4</v>
      </c>
      <c r="H55" s="832">
        <f>G55*G54*F54</f>
        <v>53.280000000000008</v>
      </c>
      <c r="I55" s="913"/>
      <c r="J55" s="834"/>
    </row>
    <row r="56" spans="1:10">
      <c r="A56" s="834"/>
      <c r="B56" s="831">
        <v>6</v>
      </c>
      <c r="C56" s="829">
        <v>40.950000000000003</v>
      </c>
      <c r="D56" s="832"/>
      <c r="E56" s="913" t="s">
        <v>2954</v>
      </c>
      <c r="F56" s="1335"/>
      <c r="G56" s="848"/>
      <c r="H56" s="843"/>
      <c r="I56" s="435"/>
      <c r="J56" s="834"/>
    </row>
    <row r="57" spans="1:10" ht="18">
      <c r="A57" s="834"/>
      <c r="B57" s="831"/>
      <c r="C57" s="829">
        <v>0.25</v>
      </c>
      <c r="D57" s="832"/>
      <c r="E57" s="913" t="s">
        <v>2913</v>
      </c>
      <c r="F57" s="839"/>
      <c r="G57" s="839"/>
      <c r="H57" s="838">
        <f>H55+H52</f>
        <v>122.00000000000003</v>
      </c>
      <c r="I57" s="845" t="s">
        <v>3189</v>
      </c>
      <c r="J57" s="834"/>
    </row>
    <row r="58" spans="1:10">
      <c r="A58" s="834"/>
      <c r="B58" s="831"/>
      <c r="C58" s="829">
        <v>0.14000000000000001</v>
      </c>
      <c r="D58" s="832">
        <f>B56*C56*C57*C58</f>
        <v>8.5995000000000008</v>
      </c>
      <c r="E58" s="837"/>
      <c r="F58" s="1335"/>
      <c r="G58" s="848"/>
      <c r="H58" s="843"/>
      <c r="I58" s="435"/>
      <c r="J58" s="834"/>
    </row>
    <row r="59" spans="1:10">
      <c r="A59" s="834"/>
      <c r="B59" s="831"/>
      <c r="C59" s="829"/>
      <c r="D59" s="832"/>
      <c r="E59" s="837"/>
      <c r="F59" s="831"/>
      <c r="G59" s="829"/>
      <c r="H59" s="832"/>
      <c r="I59" s="913"/>
      <c r="J59" s="834"/>
    </row>
    <row r="60" spans="1:10">
      <c r="A60" s="834"/>
      <c r="B60" s="831"/>
      <c r="C60" s="829"/>
      <c r="D60" s="832"/>
      <c r="E60" s="913" t="s">
        <v>1914</v>
      </c>
      <c r="F60" s="831"/>
      <c r="G60" s="829"/>
      <c r="H60" s="832"/>
      <c r="I60" s="837"/>
      <c r="J60" s="834"/>
    </row>
    <row r="61" spans="1:10" ht="31.5">
      <c r="A61" s="834"/>
      <c r="B61" s="831">
        <v>16</v>
      </c>
      <c r="C61" s="829">
        <v>13.3</v>
      </c>
      <c r="D61" s="832"/>
      <c r="E61" s="913" t="s">
        <v>2955</v>
      </c>
      <c r="F61" s="831"/>
      <c r="G61" s="829"/>
      <c r="H61" s="832"/>
      <c r="I61" s="837"/>
      <c r="J61" s="834"/>
    </row>
    <row r="62" spans="1:10">
      <c r="A62" s="834"/>
      <c r="B62" s="831"/>
      <c r="C62" s="829">
        <v>0.25</v>
      </c>
      <c r="D62" s="832"/>
      <c r="E62" s="913" t="s">
        <v>2915</v>
      </c>
      <c r="F62" s="831"/>
      <c r="G62" s="829"/>
      <c r="H62" s="832"/>
      <c r="I62" s="837"/>
      <c r="J62" s="834"/>
    </row>
    <row r="63" spans="1:10">
      <c r="A63" s="834"/>
      <c r="B63" s="831"/>
      <c r="C63" s="829">
        <v>0.14000000000000001</v>
      </c>
      <c r="D63" s="832">
        <f>B61*C61*C62*C63</f>
        <v>7.4480000000000013</v>
      </c>
      <c r="E63" s="913"/>
      <c r="F63" s="831"/>
      <c r="G63" s="829"/>
      <c r="H63" s="832"/>
      <c r="I63" s="837"/>
      <c r="J63" s="834"/>
    </row>
    <row r="64" spans="1:10">
      <c r="A64" s="834"/>
      <c r="B64" s="849"/>
      <c r="C64" s="850"/>
      <c r="D64" s="851"/>
      <c r="E64" s="1163"/>
      <c r="F64" s="849"/>
      <c r="G64" s="850"/>
      <c r="H64" s="851"/>
      <c r="I64" s="1163"/>
      <c r="J64" s="834"/>
    </row>
    <row r="65" spans="1:10">
      <c r="A65" s="1162"/>
      <c r="B65" s="909" t="s">
        <v>1884</v>
      </c>
      <c r="C65" s="911" t="s">
        <v>526</v>
      </c>
      <c r="D65" s="910" t="s">
        <v>1885</v>
      </c>
      <c r="E65" s="911" t="s">
        <v>1886</v>
      </c>
      <c r="F65" s="909" t="s">
        <v>1884</v>
      </c>
      <c r="G65" s="911" t="s">
        <v>526</v>
      </c>
      <c r="H65" s="910" t="s">
        <v>1885</v>
      </c>
      <c r="I65" s="911" t="s">
        <v>1886</v>
      </c>
      <c r="J65" s="1162"/>
    </row>
    <row r="66" spans="1:10">
      <c r="A66" s="834"/>
      <c r="B66" s="831"/>
      <c r="C66" s="829"/>
      <c r="D66" s="832"/>
      <c r="E66" s="837" t="s">
        <v>2973</v>
      </c>
      <c r="F66" s="831"/>
      <c r="G66" s="829"/>
      <c r="H66" s="832"/>
      <c r="I66" s="837" t="s">
        <v>1843</v>
      </c>
    </row>
    <row r="67" spans="1:10">
      <c r="A67" s="834"/>
      <c r="B67" s="831">
        <v>1</v>
      </c>
      <c r="C67" s="829">
        <v>42.45</v>
      </c>
      <c r="D67" s="832"/>
      <c r="E67" s="913" t="s">
        <v>2970</v>
      </c>
      <c r="F67" s="831"/>
      <c r="G67" s="829"/>
      <c r="H67" s="832"/>
      <c r="I67" s="837" t="s">
        <v>1957</v>
      </c>
    </row>
    <row r="68" spans="1:10">
      <c r="A68" s="834"/>
      <c r="B68" s="831"/>
      <c r="C68" s="829">
        <v>15.9</v>
      </c>
      <c r="D68" s="832">
        <f>B67*C67*C68</f>
        <v>674.95500000000004</v>
      </c>
      <c r="E68" s="913" t="s">
        <v>2971</v>
      </c>
      <c r="F68" s="831">
        <v>4</v>
      </c>
      <c r="G68" s="829">
        <v>42.95</v>
      </c>
      <c r="H68" s="832"/>
      <c r="I68" s="913" t="s">
        <v>1951</v>
      </c>
    </row>
    <row r="69" spans="1:10">
      <c r="A69" s="834"/>
      <c r="B69" s="435"/>
      <c r="C69" s="1335"/>
      <c r="D69" s="1335"/>
      <c r="E69" s="435"/>
      <c r="F69" s="831"/>
      <c r="G69" s="829">
        <v>0.4</v>
      </c>
      <c r="H69" s="832"/>
      <c r="I69" s="913" t="s">
        <v>2968</v>
      </c>
    </row>
    <row r="70" spans="1:10">
      <c r="A70" s="834"/>
      <c r="B70" s="831"/>
      <c r="C70" s="829"/>
      <c r="D70" s="832"/>
      <c r="E70" s="837" t="s">
        <v>1915</v>
      </c>
      <c r="F70" s="831"/>
      <c r="G70" s="829">
        <v>0.61</v>
      </c>
      <c r="H70" s="832">
        <f>G70*G69*G68*F68</f>
        <v>41.919200000000004</v>
      </c>
      <c r="I70" s="837"/>
    </row>
    <row r="71" spans="1:10">
      <c r="A71" s="834"/>
      <c r="B71" s="831">
        <v>2</v>
      </c>
      <c r="C71" s="829">
        <v>42.45</v>
      </c>
      <c r="D71" s="832"/>
      <c r="E71" s="913" t="s">
        <v>1916</v>
      </c>
      <c r="F71" s="831"/>
      <c r="G71" s="829"/>
      <c r="H71" s="832"/>
      <c r="I71" s="837"/>
    </row>
    <row r="72" spans="1:10">
      <c r="A72" s="834"/>
      <c r="B72" s="831"/>
      <c r="C72" s="829">
        <v>0.25</v>
      </c>
      <c r="D72" s="832">
        <f>B71*C71*C72</f>
        <v>21.225000000000001</v>
      </c>
      <c r="E72" s="913" t="s">
        <v>2970</v>
      </c>
      <c r="F72" s="831">
        <v>9</v>
      </c>
      <c r="G72" s="829">
        <v>14.8</v>
      </c>
      <c r="H72" s="832"/>
      <c r="I72" s="913" t="s">
        <v>1952</v>
      </c>
    </row>
    <row r="73" spans="1:10">
      <c r="A73" s="834"/>
      <c r="B73" s="831"/>
      <c r="C73" s="829"/>
      <c r="D73" s="832"/>
      <c r="E73" s="435"/>
      <c r="F73" s="831"/>
      <c r="G73" s="829">
        <v>0.4</v>
      </c>
      <c r="H73" s="832"/>
      <c r="I73" s="913" t="s">
        <v>2969</v>
      </c>
    </row>
    <row r="74" spans="1:10">
      <c r="A74" s="834"/>
      <c r="B74" s="831">
        <v>7</v>
      </c>
      <c r="C74" s="829">
        <v>15.4</v>
      </c>
      <c r="D74" s="832"/>
      <c r="E74" s="913" t="s">
        <v>1914</v>
      </c>
      <c r="F74" s="831"/>
      <c r="G74" s="829">
        <v>0.61</v>
      </c>
      <c r="H74" s="832">
        <f>G74*G73*G72*F72</f>
        <v>32.500799999999998</v>
      </c>
      <c r="I74" s="837"/>
    </row>
    <row r="75" spans="1:10">
      <c r="A75" s="834"/>
      <c r="B75" s="831"/>
      <c r="C75" s="829">
        <v>0.25</v>
      </c>
      <c r="D75" s="832">
        <f>B74*C74*C75</f>
        <v>26.95</v>
      </c>
      <c r="E75" s="913" t="s">
        <v>2972</v>
      </c>
      <c r="F75" s="435"/>
      <c r="G75" s="435"/>
      <c r="H75" s="435"/>
      <c r="I75" s="435"/>
    </row>
    <row r="76" spans="1:10">
      <c r="A76" s="834"/>
      <c r="B76" s="435"/>
      <c r="C76" s="1335"/>
      <c r="D76" s="1335"/>
      <c r="E76" s="435"/>
      <c r="F76" s="831"/>
      <c r="G76" s="829"/>
      <c r="H76" s="832">
        <f>H70+H74</f>
        <v>74.42</v>
      </c>
      <c r="I76" s="913" t="s">
        <v>2988</v>
      </c>
    </row>
    <row r="77" spans="1:10" ht="18">
      <c r="A77" s="834"/>
      <c r="B77" s="839"/>
      <c r="C77" s="839"/>
      <c r="D77" s="838">
        <f>D68-D72-D75</f>
        <v>626.78</v>
      </c>
      <c r="E77" s="845" t="s">
        <v>3188</v>
      </c>
      <c r="F77" s="435"/>
      <c r="G77" s="435"/>
      <c r="H77" s="435"/>
      <c r="I77" s="435"/>
    </row>
    <row r="78" spans="1:10">
      <c r="A78" s="834"/>
      <c r="B78" s="831"/>
      <c r="C78" s="829"/>
      <c r="D78" s="832"/>
      <c r="E78" s="913"/>
      <c r="F78" s="831"/>
      <c r="G78" s="829"/>
      <c r="H78" s="832"/>
      <c r="I78" s="837" t="s">
        <v>1953</v>
      </c>
    </row>
    <row r="79" spans="1:10">
      <c r="A79" s="834"/>
      <c r="B79" s="831"/>
      <c r="C79" s="829"/>
      <c r="D79" s="832"/>
      <c r="E79" s="837" t="s">
        <v>2978</v>
      </c>
      <c r="F79" s="831">
        <v>1</v>
      </c>
      <c r="G79" s="829">
        <v>33.200000000000003</v>
      </c>
      <c r="H79" s="832"/>
      <c r="I79" s="913" t="s">
        <v>2985</v>
      </c>
    </row>
    <row r="80" spans="1:10">
      <c r="A80" s="834"/>
      <c r="B80" s="831">
        <v>4</v>
      </c>
      <c r="C80" s="829">
        <v>42.95</v>
      </c>
      <c r="D80" s="832"/>
      <c r="E80" s="913" t="s">
        <v>2974</v>
      </c>
      <c r="F80" s="831"/>
      <c r="G80" s="829">
        <v>0.4</v>
      </c>
      <c r="H80" s="832"/>
      <c r="I80" s="913"/>
    </row>
    <row r="81" spans="1:10">
      <c r="A81" s="834"/>
      <c r="B81" s="831"/>
      <c r="C81" s="829">
        <v>0.25</v>
      </c>
      <c r="D81" s="832"/>
      <c r="E81" s="913"/>
      <c r="F81" s="831"/>
      <c r="G81" s="829">
        <v>0.39</v>
      </c>
      <c r="H81" s="832">
        <f>F79*G79*G80*G81</f>
        <v>5.1792000000000007</v>
      </c>
      <c r="I81" s="913"/>
    </row>
    <row r="82" spans="1:10">
      <c r="A82" s="834"/>
      <c r="B82" s="831"/>
      <c r="C82" s="829">
        <v>0.4</v>
      </c>
      <c r="D82" s="832">
        <f>B80*C80*C81*C82</f>
        <v>17.180000000000003</v>
      </c>
      <c r="E82" s="913"/>
      <c r="F82" s="831"/>
      <c r="G82" s="829"/>
      <c r="H82" s="832"/>
      <c r="I82" s="913"/>
      <c r="J82" s="834"/>
    </row>
    <row r="83" spans="1:10">
      <c r="A83" s="834"/>
      <c r="B83" s="831"/>
      <c r="C83" s="829"/>
      <c r="D83" s="832"/>
      <c r="E83" s="913"/>
      <c r="F83" s="831">
        <v>1</v>
      </c>
      <c r="G83" s="829">
        <v>15.9</v>
      </c>
      <c r="H83" s="832"/>
      <c r="I83" s="913" t="s">
        <v>2986</v>
      </c>
      <c r="J83" s="834"/>
    </row>
    <row r="84" spans="1:10">
      <c r="A84" s="834"/>
      <c r="B84" s="831">
        <v>9</v>
      </c>
      <c r="C84" s="829">
        <v>15.4</v>
      </c>
      <c r="D84" s="832"/>
      <c r="E84" s="913" t="s">
        <v>2975</v>
      </c>
      <c r="F84" s="831"/>
      <c r="G84" s="829">
        <v>0.4</v>
      </c>
      <c r="H84" s="832"/>
      <c r="I84" s="913"/>
      <c r="J84" s="834"/>
    </row>
    <row r="85" spans="1:10">
      <c r="A85" s="834"/>
      <c r="B85" s="831"/>
      <c r="C85" s="829">
        <v>0.25</v>
      </c>
      <c r="D85" s="832"/>
      <c r="E85" s="913"/>
      <c r="F85" s="831"/>
      <c r="G85" s="829">
        <v>0.42</v>
      </c>
      <c r="H85" s="832">
        <f>F83*G83*G84*G85</f>
        <v>2.6712000000000002</v>
      </c>
      <c r="I85" s="837"/>
      <c r="J85" s="834"/>
    </row>
    <row r="86" spans="1:10">
      <c r="A86" s="834"/>
      <c r="B86" s="831"/>
      <c r="C86" s="829">
        <v>0.4</v>
      </c>
      <c r="D86" s="832">
        <f>B84*C84*C85*C86</f>
        <v>13.86</v>
      </c>
      <c r="E86" s="913"/>
      <c r="F86" s="435"/>
      <c r="G86" s="435"/>
      <c r="H86" s="435"/>
      <c r="I86" s="837"/>
      <c r="J86" s="834"/>
    </row>
    <row r="87" spans="1:10" ht="19.5" customHeight="1">
      <c r="A87" s="834"/>
      <c r="B87" s="831"/>
      <c r="C87" s="829"/>
      <c r="D87" s="832"/>
      <c r="E87" s="913"/>
      <c r="F87" s="839"/>
      <c r="G87" s="839"/>
      <c r="H87" s="838">
        <f>H81+H85</f>
        <v>7.8504000000000005</v>
      </c>
      <c r="I87" s="845" t="s">
        <v>3176</v>
      </c>
      <c r="J87" s="834"/>
    </row>
    <row r="88" spans="1:10" ht="18">
      <c r="A88" s="834"/>
      <c r="B88" s="839"/>
      <c r="C88" s="839"/>
      <c r="D88" s="838">
        <f>D82+D86</f>
        <v>31.040000000000003</v>
      </c>
      <c r="E88" s="845" t="s">
        <v>3393</v>
      </c>
      <c r="F88" s="831"/>
      <c r="G88" s="829"/>
      <c r="H88" s="832"/>
      <c r="I88" s="837"/>
      <c r="J88" s="834"/>
    </row>
    <row r="89" spans="1:10">
      <c r="A89" s="834"/>
      <c r="B89" s="831"/>
      <c r="C89" s="829"/>
      <c r="D89" s="832"/>
      <c r="E89" s="913"/>
      <c r="F89" s="831"/>
      <c r="G89" s="829"/>
      <c r="H89" s="832"/>
      <c r="I89" s="837" t="s">
        <v>2987</v>
      </c>
      <c r="J89" s="834"/>
    </row>
    <row r="90" spans="1:10">
      <c r="A90" s="834"/>
      <c r="B90" s="831"/>
      <c r="C90" s="829"/>
      <c r="D90" s="832"/>
      <c r="E90" s="837" t="s">
        <v>2977</v>
      </c>
      <c r="F90" s="435"/>
      <c r="G90" s="435"/>
      <c r="H90" s="435"/>
      <c r="I90" s="435"/>
      <c r="J90" s="834"/>
    </row>
    <row r="91" spans="1:10" ht="18">
      <c r="A91" s="834"/>
      <c r="B91" s="831"/>
      <c r="C91" s="829"/>
      <c r="D91" s="832"/>
      <c r="E91" s="837" t="s">
        <v>2979</v>
      </c>
      <c r="F91" s="839"/>
      <c r="G91" s="839"/>
      <c r="H91" s="838">
        <f>H76-H87</f>
        <v>66.569600000000008</v>
      </c>
      <c r="I91" s="845" t="s">
        <v>3172</v>
      </c>
      <c r="J91" s="834"/>
    </row>
    <row r="92" spans="1:10">
      <c r="A92" s="834"/>
      <c r="B92" s="831">
        <v>8</v>
      </c>
      <c r="C92" s="829">
        <v>42.95</v>
      </c>
      <c r="D92" s="832"/>
      <c r="E92" s="913" t="s">
        <v>2974</v>
      </c>
      <c r="F92" s="831"/>
      <c r="G92" s="829"/>
      <c r="H92" s="832"/>
      <c r="I92" s="837"/>
      <c r="J92" s="834"/>
    </row>
    <row r="93" spans="1:10">
      <c r="A93" s="834"/>
      <c r="B93" s="831"/>
      <c r="C93" s="829">
        <v>0.4</v>
      </c>
      <c r="D93" s="832">
        <f>B92*C92*C93</f>
        <v>137.44000000000003</v>
      </c>
      <c r="E93" s="913"/>
      <c r="F93" s="831"/>
      <c r="G93" s="829"/>
      <c r="H93" s="832"/>
      <c r="I93" s="837"/>
      <c r="J93" s="834"/>
    </row>
    <row r="94" spans="1:10">
      <c r="A94" s="834"/>
      <c r="B94" s="831"/>
      <c r="C94" s="829"/>
      <c r="D94" s="832"/>
      <c r="E94" s="913"/>
      <c r="F94" s="831"/>
      <c r="G94" s="829"/>
      <c r="H94" s="832"/>
      <c r="I94" s="837"/>
      <c r="J94" s="834"/>
    </row>
    <row r="95" spans="1:10">
      <c r="A95" s="834"/>
      <c r="B95" s="831">
        <v>18</v>
      </c>
      <c r="C95" s="829">
        <v>15.9</v>
      </c>
      <c r="D95" s="832"/>
      <c r="E95" s="913" t="s">
        <v>2976</v>
      </c>
      <c r="F95" s="831"/>
      <c r="G95" s="829"/>
      <c r="H95" s="832"/>
      <c r="I95" s="837"/>
      <c r="J95" s="834"/>
    </row>
    <row r="96" spans="1:10">
      <c r="A96" s="834"/>
      <c r="B96" s="831"/>
      <c r="C96" s="829">
        <v>0.4</v>
      </c>
      <c r="D96" s="832">
        <f>B95*C95*C96</f>
        <v>114.48</v>
      </c>
      <c r="E96" s="913"/>
      <c r="F96" s="831"/>
      <c r="G96" s="829"/>
      <c r="H96" s="832"/>
      <c r="I96" s="837"/>
      <c r="J96" s="834"/>
    </row>
    <row r="97" spans="1:10">
      <c r="A97" s="834"/>
      <c r="B97" s="831"/>
      <c r="C97" s="829"/>
      <c r="D97" s="832"/>
      <c r="E97" s="913"/>
      <c r="F97" s="831"/>
      <c r="G97" s="829"/>
      <c r="H97" s="832"/>
      <c r="I97" s="837"/>
      <c r="J97" s="834"/>
    </row>
    <row r="98" spans="1:10">
      <c r="A98" s="834"/>
      <c r="B98" s="831"/>
      <c r="C98" s="829"/>
      <c r="D98" s="832"/>
      <c r="E98" s="913" t="s">
        <v>1915</v>
      </c>
      <c r="F98" s="831"/>
      <c r="G98" s="829"/>
      <c r="H98" s="832"/>
      <c r="I98" s="837"/>
      <c r="J98" s="834"/>
    </row>
    <row r="99" spans="1:10">
      <c r="A99" s="834"/>
      <c r="B99" s="831">
        <v>86</v>
      </c>
      <c r="C99" s="829">
        <v>0.4</v>
      </c>
      <c r="D99" s="832"/>
      <c r="E99" s="913"/>
      <c r="F99" s="831"/>
      <c r="G99" s="829"/>
      <c r="H99" s="832"/>
      <c r="I99" s="837"/>
      <c r="J99" s="834"/>
    </row>
    <row r="100" spans="1:10">
      <c r="A100" s="834"/>
      <c r="B100" s="831"/>
      <c r="C100" s="829">
        <v>0.25</v>
      </c>
      <c r="D100" s="832">
        <f>B99*C99*C100</f>
        <v>8.6</v>
      </c>
      <c r="E100" s="913"/>
      <c r="F100" s="831"/>
      <c r="G100" s="829"/>
      <c r="H100" s="832"/>
      <c r="I100" s="837"/>
      <c r="J100" s="834"/>
    </row>
    <row r="101" spans="1:10">
      <c r="A101" s="834"/>
      <c r="B101" s="831"/>
      <c r="C101" s="829"/>
      <c r="D101" s="832"/>
      <c r="E101" s="913"/>
      <c r="F101" s="831"/>
      <c r="G101" s="829"/>
      <c r="H101" s="832"/>
      <c r="I101" s="837"/>
      <c r="J101" s="834"/>
    </row>
    <row r="102" spans="1:10" ht="18">
      <c r="A102" s="834"/>
      <c r="B102" s="839"/>
      <c r="C102" s="839"/>
      <c r="D102" s="838">
        <f>D93+D96-D100</f>
        <v>243.32000000000002</v>
      </c>
      <c r="E102" s="845" t="s">
        <v>3394</v>
      </c>
      <c r="F102" s="831"/>
      <c r="G102" s="829"/>
      <c r="H102" s="832"/>
      <c r="I102" s="837"/>
      <c r="J102" s="834"/>
    </row>
    <row r="103" spans="1:10">
      <c r="A103" s="834"/>
      <c r="B103" s="831"/>
      <c r="C103" s="829"/>
      <c r="D103" s="832"/>
      <c r="E103" s="913"/>
      <c r="F103" s="831"/>
      <c r="G103" s="829"/>
      <c r="H103" s="832"/>
      <c r="I103" s="837"/>
      <c r="J103" s="834"/>
    </row>
    <row r="104" spans="1:10">
      <c r="A104" s="834"/>
      <c r="B104" s="831"/>
      <c r="C104" s="829"/>
      <c r="D104" s="832"/>
      <c r="E104" s="837" t="s">
        <v>1899</v>
      </c>
      <c r="F104" s="831"/>
      <c r="G104" s="829"/>
      <c r="H104" s="832"/>
      <c r="I104" s="837"/>
      <c r="J104" s="834"/>
    </row>
    <row r="105" spans="1:10">
      <c r="A105" s="834"/>
      <c r="B105" s="831"/>
      <c r="C105" s="829"/>
      <c r="D105" s="832"/>
      <c r="E105" s="844" t="s">
        <v>3395</v>
      </c>
      <c r="F105" s="831"/>
      <c r="G105" s="829"/>
      <c r="H105" s="832"/>
      <c r="I105" s="837"/>
      <c r="J105" s="834"/>
    </row>
    <row r="106" spans="1:10">
      <c r="A106" s="834"/>
      <c r="B106" s="839"/>
      <c r="C106" s="839"/>
      <c r="D106" s="838">
        <f>'[23]OR-Reinf'!N35</f>
        <v>2494.8263999999999</v>
      </c>
      <c r="E106" s="845" t="s">
        <v>2980</v>
      </c>
      <c r="F106" s="831"/>
      <c r="G106" s="829"/>
      <c r="H106" s="832"/>
      <c r="I106" s="837"/>
      <c r="J106" s="834" t="e">
        <f>#REF!*#REF!</f>
        <v>#REF!</v>
      </c>
    </row>
    <row r="107" spans="1:10">
      <c r="A107" s="834"/>
      <c r="B107" s="831"/>
      <c r="C107" s="829"/>
      <c r="D107" s="832"/>
      <c r="E107" s="833"/>
      <c r="F107" s="435"/>
      <c r="G107" s="435"/>
      <c r="H107" s="435"/>
      <c r="I107" s="435"/>
      <c r="J107" s="834"/>
    </row>
    <row r="108" spans="1:10">
      <c r="A108" s="834"/>
      <c r="B108" s="831"/>
      <c r="C108" s="829"/>
      <c r="D108" s="832"/>
      <c r="E108" s="844" t="s">
        <v>3396</v>
      </c>
      <c r="F108" s="435"/>
      <c r="G108" s="435"/>
      <c r="H108" s="435"/>
      <c r="I108" s="435"/>
      <c r="J108" s="834"/>
    </row>
    <row r="109" spans="1:10">
      <c r="A109" s="834"/>
      <c r="B109" s="839"/>
      <c r="C109" s="839"/>
      <c r="D109" s="838">
        <f>'[23]OR-Reinf'!K35</f>
        <v>3252.9780625000003</v>
      </c>
      <c r="E109" s="845" t="s">
        <v>2981</v>
      </c>
      <c r="F109" s="435"/>
      <c r="G109" s="435"/>
      <c r="H109" s="435"/>
      <c r="I109" s="435"/>
      <c r="J109" s="834"/>
    </row>
    <row r="110" spans="1:10">
      <c r="A110" s="834"/>
      <c r="B110" s="831"/>
      <c r="C110" s="829"/>
      <c r="D110" s="832"/>
      <c r="E110" s="837"/>
      <c r="F110" s="435"/>
      <c r="G110" s="435"/>
      <c r="H110" s="435"/>
      <c r="I110" s="435"/>
      <c r="J110" s="834"/>
    </row>
    <row r="111" spans="1:10">
      <c r="A111" s="834"/>
      <c r="B111" s="831"/>
      <c r="C111" s="829"/>
      <c r="D111" s="832"/>
      <c r="E111" s="913" t="s">
        <v>2983</v>
      </c>
      <c r="F111" s="435"/>
      <c r="G111" s="435"/>
      <c r="H111" s="435"/>
      <c r="I111" s="435"/>
      <c r="J111" s="834"/>
    </row>
    <row r="112" spans="1:10">
      <c r="A112" s="834"/>
      <c r="B112" s="831"/>
      <c r="C112" s="829"/>
      <c r="D112" s="832"/>
      <c r="E112" s="913" t="s">
        <v>1916</v>
      </c>
      <c r="F112" s="435"/>
      <c r="G112" s="435"/>
      <c r="H112" s="435"/>
      <c r="I112" s="435"/>
      <c r="J112" s="834"/>
    </row>
    <row r="113" spans="1:11" ht="31.5">
      <c r="A113" s="834"/>
      <c r="B113" s="831">
        <v>6</v>
      </c>
      <c r="C113" s="829">
        <v>40.700000000000003</v>
      </c>
      <c r="D113" s="832"/>
      <c r="E113" s="913" t="s">
        <v>2982</v>
      </c>
      <c r="F113" s="435"/>
      <c r="G113" s="435"/>
      <c r="H113" s="435"/>
      <c r="I113" s="435"/>
      <c r="J113" s="834"/>
    </row>
    <row r="114" spans="1:11">
      <c r="A114" s="834"/>
      <c r="B114" s="831"/>
      <c r="C114" s="829"/>
      <c r="D114" s="832">
        <f>B113*C113</f>
        <v>244.20000000000002</v>
      </c>
      <c r="E114" s="913"/>
      <c r="F114" s="435"/>
      <c r="G114" s="435"/>
      <c r="H114" s="435"/>
      <c r="I114" s="435"/>
      <c r="J114" s="834"/>
    </row>
    <row r="115" spans="1:11">
      <c r="A115" s="834"/>
      <c r="B115" s="831"/>
      <c r="C115" s="829"/>
      <c r="D115" s="832"/>
      <c r="E115" s="913" t="s">
        <v>1914</v>
      </c>
      <c r="F115" s="435"/>
      <c r="G115" s="435"/>
      <c r="H115" s="435"/>
      <c r="I115" s="435"/>
      <c r="J115" s="834"/>
    </row>
    <row r="116" spans="1:11">
      <c r="A116" s="834"/>
      <c r="B116" s="831">
        <v>16</v>
      </c>
      <c r="C116" s="829">
        <v>15.4</v>
      </c>
      <c r="D116" s="832"/>
      <c r="E116" s="913" t="s">
        <v>2972</v>
      </c>
      <c r="F116" s="435"/>
      <c r="G116" s="435"/>
      <c r="H116" s="435"/>
      <c r="I116" s="435"/>
      <c r="J116" s="834"/>
      <c r="K116" s="834"/>
    </row>
    <row r="117" spans="1:11">
      <c r="A117" s="834"/>
      <c r="B117" s="831"/>
      <c r="C117" s="829"/>
      <c r="D117" s="832">
        <f>B116*C116</f>
        <v>246.4</v>
      </c>
      <c r="E117" s="913"/>
      <c r="F117" s="435"/>
      <c r="G117" s="435"/>
      <c r="H117" s="435"/>
      <c r="I117" s="435"/>
      <c r="J117" s="834" t="e">
        <f>SUM(J106:J116)</f>
        <v>#REF!</v>
      </c>
      <c r="K117" s="834"/>
    </row>
    <row r="118" spans="1:11" s="998" customFormat="1">
      <c r="A118" s="834"/>
      <c r="B118" s="831"/>
      <c r="C118" s="829"/>
      <c r="D118" s="832"/>
      <c r="E118" s="913"/>
      <c r="F118" s="435"/>
      <c r="G118" s="435"/>
      <c r="H118" s="435"/>
      <c r="I118" s="435"/>
      <c r="J118" s="834"/>
      <c r="K118" s="834"/>
    </row>
    <row r="119" spans="1:11" s="998" customFormat="1">
      <c r="A119" s="834"/>
      <c r="B119" s="839"/>
      <c r="C119" s="839"/>
      <c r="D119" s="838">
        <f>D117+D114</f>
        <v>490.6</v>
      </c>
      <c r="E119" s="845" t="s">
        <v>2984</v>
      </c>
      <c r="F119" s="831"/>
      <c r="G119" s="829"/>
      <c r="H119" s="832"/>
      <c r="I119" s="837"/>
      <c r="J119" s="834"/>
    </row>
    <row r="120" spans="1:11" s="998" customFormat="1">
      <c r="A120" s="834"/>
      <c r="B120" s="849"/>
      <c r="C120" s="850"/>
      <c r="D120" s="851"/>
      <c r="E120" s="1278"/>
      <c r="F120" s="849"/>
      <c r="G120" s="850"/>
      <c r="H120" s="851"/>
      <c r="I120" s="1163"/>
      <c r="J120" s="834"/>
    </row>
    <row r="121" spans="1:11">
      <c r="C121" s="103"/>
      <c r="D121" s="103"/>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4" max="9"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1"/>
  <sheetViews>
    <sheetView view="pageBreakPreview" zoomScale="85" zoomScaleNormal="115" zoomScaleSheetLayoutView="85" zoomScalePageLayoutView="85" workbookViewId="0">
      <selection activeCell="H3" sqref="H3:I3"/>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07"/>
      <c r="H1" s="907"/>
      <c r="I1" s="908"/>
      <c r="J1" s="820"/>
    </row>
    <row r="2" spans="1:10">
      <c r="A2" s="818"/>
      <c r="B2" s="2059" t="s">
        <v>1917</v>
      </c>
      <c r="C2" s="2059"/>
      <c r="D2" s="2059"/>
      <c r="E2" s="2059"/>
      <c r="F2" s="819"/>
      <c r="G2" s="907"/>
      <c r="J2" s="818"/>
    </row>
    <row r="3" spans="1:10">
      <c r="A3" s="818"/>
      <c r="B3" s="2059" t="s">
        <v>1920</v>
      </c>
      <c r="C3" s="2059"/>
      <c r="D3" s="2059"/>
      <c r="E3" s="2059"/>
      <c r="F3" s="2059"/>
      <c r="G3" s="907"/>
      <c r="H3" s="2060" t="s">
        <v>2232</v>
      </c>
      <c r="I3" s="2060"/>
      <c r="J3" s="818"/>
    </row>
    <row r="4" spans="1:10">
      <c r="A4" s="818"/>
      <c r="B4" s="2059" t="s">
        <v>1921</v>
      </c>
      <c r="C4" s="2059"/>
      <c r="D4" s="2059"/>
      <c r="E4" s="2059"/>
      <c r="F4" s="819"/>
      <c r="G4" s="907"/>
      <c r="H4" s="2089"/>
      <c r="I4" s="2089"/>
      <c r="J4" s="818"/>
    </row>
    <row r="5" spans="1:10">
      <c r="A5" s="818"/>
      <c r="B5" s="824"/>
      <c r="C5" s="907"/>
      <c r="D5" s="907"/>
      <c r="E5" s="825"/>
      <c r="F5" s="819"/>
      <c r="G5" s="907"/>
      <c r="H5" s="827"/>
      <c r="I5" s="906"/>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v>8</v>
      </c>
      <c r="G7" s="829">
        <v>1.2</v>
      </c>
      <c r="H7" s="832"/>
      <c r="I7" s="833"/>
    </row>
    <row r="8" spans="1:10">
      <c r="A8" s="818"/>
      <c r="B8" s="831"/>
      <c r="C8" s="829"/>
      <c r="D8" s="832"/>
      <c r="E8" s="844" t="s">
        <v>25</v>
      </c>
      <c r="F8" s="831"/>
      <c r="G8" s="829">
        <v>0.15</v>
      </c>
      <c r="H8" s="832"/>
      <c r="I8" s="833" t="s">
        <v>493</v>
      </c>
    </row>
    <row r="9" spans="1:10">
      <c r="A9" s="818"/>
      <c r="B9" s="831"/>
      <c r="C9" s="829"/>
      <c r="D9" s="832"/>
      <c r="E9" s="844" t="s">
        <v>27</v>
      </c>
      <c r="F9" s="831"/>
      <c r="G9" s="829">
        <v>0.2</v>
      </c>
      <c r="H9" s="832"/>
      <c r="I9" s="833"/>
    </row>
    <row r="10" spans="1:10">
      <c r="A10" s="818"/>
      <c r="B10" s="831">
        <v>36</v>
      </c>
      <c r="C10" s="829">
        <v>0.2</v>
      </c>
      <c r="D10" s="832"/>
      <c r="E10" s="833" t="s">
        <v>492</v>
      </c>
      <c r="F10" s="831"/>
      <c r="G10" s="829"/>
      <c r="H10" s="832">
        <f>F7*G7*G8*G9</f>
        <v>0.28799999999999998</v>
      </c>
      <c r="I10" s="833"/>
    </row>
    <row r="11" spans="1:10">
      <c r="A11" s="818"/>
      <c r="B11" s="831"/>
      <c r="C11" s="829">
        <v>0.2</v>
      </c>
      <c r="D11" s="832"/>
      <c r="E11" s="833"/>
      <c r="F11" s="831">
        <v>12</v>
      </c>
      <c r="G11" s="829">
        <v>1.1000000000000001</v>
      </c>
      <c r="H11" s="832"/>
      <c r="I11" s="833"/>
    </row>
    <row r="12" spans="1:10">
      <c r="A12" s="818"/>
      <c r="B12" s="831"/>
      <c r="C12" s="829">
        <v>2.73</v>
      </c>
      <c r="D12" s="832"/>
      <c r="E12" s="833"/>
      <c r="F12" s="847"/>
      <c r="G12" s="829">
        <v>0.1</v>
      </c>
      <c r="H12" s="832"/>
      <c r="I12" s="833" t="s">
        <v>494</v>
      </c>
    </row>
    <row r="13" spans="1:10">
      <c r="A13" s="818"/>
      <c r="B13" s="839"/>
      <c r="C13" s="935"/>
      <c r="D13" s="838">
        <f>B10*C10*C11*C12</f>
        <v>3.9312000000000005</v>
      </c>
      <c r="E13" s="839" t="s">
        <v>2116</v>
      </c>
      <c r="F13" s="831"/>
      <c r="G13" s="829">
        <v>0.2</v>
      </c>
      <c r="H13" s="832"/>
      <c r="I13" s="833"/>
    </row>
    <row r="14" spans="1:10">
      <c r="A14" s="818"/>
      <c r="B14" s="831"/>
      <c r="C14" s="829"/>
      <c r="D14" s="832"/>
      <c r="E14" s="833"/>
      <c r="F14" s="831"/>
      <c r="G14" s="829"/>
      <c r="H14" s="832">
        <f>F11*G11*G12*G13</f>
        <v>0.26400000000000007</v>
      </c>
      <c r="I14" s="833"/>
    </row>
    <row r="15" spans="1:10">
      <c r="A15" s="818"/>
      <c r="B15" s="831"/>
      <c r="C15" s="829"/>
      <c r="D15" s="832"/>
      <c r="E15" s="844" t="s">
        <v>29</v>
      </c>
      <c r="F15" s="831"/>
      <c r="G15" s="829"/>
      <c r="H15" s="832"/>
      <c r="I15" s="833"/>
    </row>
    <row r="16" spans="1:10">
      <c r="A16" s="818"/>
      <c r="B16" s="831">
        <v>2</v>
      </c>
      <c r="C16" s="829">
        <v>42.9</v>
      </c>
      <c r="D16" s="832"/>
      <c r="E16" s="833" t="s">
        <v>30</v>
      </c>
      <c r="F16" s="839"/>
      <c r="G16" s="935"/>
      <c r="H16" s="838">
        <f>SUM(H7:H14)+SUM(D41:D62)</f>
        <v>1.395</v>
      </c>
      <c r="I16" s="839" t="s">
        <v>2236</v>
      </c>
    </row>
    <row r="17" spans="1:9">
      <c r="A17" s="818"/>
      <c r="B17" s="831"/>
      <c r="C17" s="829">
        <v>0.3</v>
      </c>
      <c r="D17" s="832"/>
      <c r="E17" s="833" t="s">
        <v>495</v>
      </c>
      <c r="F17" s="831"/>
      <c r="G17" s="829"/>
      <c r="H17" s="832"/>
      <c r="I17" s="833"/>
    </row>
    <row r="18" spans="1:9">
      <c r="A18" s="818"/>
      <c r="B18" s="831"/>
      <c r="C18" s="829">
        <v>0.2</v>
      </c>
      <c r="D18" s="832"/>
      <c r="E18" s="833"/>
      <c r="F18" s="1"/>
      <c r="G18" s="937"/>
      <c r="H18" s="937"/>
      <c r="I18" s="844" t="s">
        <v>32</v>
      </c>
    </row>
    <row r="19" spans="1:9">
      <c r="A19" s="818"/>
      <c r="B19" s="831"/>
      <c r="C19" s="829"/>
      <c r="D19" s="832">
        <f>B16*C16*C17*C18</f>
        <v>5.1479999999999997</v>
      </c>
      <c r="E19" s="833"/>
      <c r="F19" s="831"/>
      <c r="G19" s="829"/>
      <c r="H19" s="832"/>
      <c r="I19" s="844" t="s">
        <v>33</v>
      </c>
    </row>
    <row r="20" spans="1:9">
      <c r="A20" s="818"/>
      <c r="B20" s="831"/>
      <c r="C20" s="829"/>
      <c r="D20" s="832"/>
      <c r="E20" s="833"/>
      <c r="F20" s="831">
        <v>36</v>
      </c>
      <c r="G20" s="829">
        <v>0.8</v>
      </c>
      <c r="H20" s="832"/>
      <c r="I20" s="833" t="s">
        <v>492</v>
      </c>
    </row>
    <row r="21" spans="1:9">
      <c r="A21" s="818"/>
      <c r="B21" s="831">
        <v>2</v>
      </c>
      <c r="C21" s="829">
        <v>42.9</v>
      </c>
      <c r="D21" s="832"/>
      <c r="E21" s="833" t="s">
        <v>496</v>
      </c>
      <c r="F21" s="831"/>
      <c r="G21" s="829">
        <v>2.73</v>
      </c>
      <c r="H21" s="832"/>
      <c r="I21" s="435"/>
    </row>
    <row r="22" spans="1:9">
      <c r="A22" s="818"/>
      <c r="B22" s="831"/>
      <c r="C22" s="829">
        <v>0.3</v>
      </c>
      <c r="D22" s="832"/>
      <c r="E22" s="833" t="s">
        <v>35</v>
      </c>
      <c r="F22" s="839"/>
      <c r="G22" s="935"/>
      <c r="H22" s="838">
        <f>G20*G21*F20</f>
        <v>78.624000000000009</v>
      </c>
      <c r="I22" s="845" t="s">
        <v>2117</v>
      </c>
    </row>
    <row r="23" spans="1:9">
      <c r="A23" s="818"/>
      <c r="B23" s="831"/>
      <c r="C23" s="829">
        <v>0.2</v>
      </c>
      <c r="D23" s="832"/>
      <c r="E23" s="833" t="s">
        <v>497</v>
      </c>
      <c r="F23" s="831"/>
      <c r="G23" s="829"/>
      <c r="H23" s="832"/>
      <c r="I23" s="833"/>
    </row>
    <row r="24" spans="1:9">
      <c r="A24" s="818"/>
      <c r="B24" s="831"/>
      <c r="C24" s="829"/>
      <c r="D24" s="832">
        <f>B21*C21*C22*C23</f>
        <v>5.1479999999999997</v>
      </c>
      <c r="E24" s="833"/>
      <c r="F24" s="831"/>
      <c r="G24" s="829"/>
      <c r="H24" s="832"/>
      <c r="I24" s="844" t="s">
        <v>38</v>
      </c>
    </row>
    <row r="25" spans="1:9">
      <c r="A25" s="818"/>
      <c r="B25" s="831"/>
      <c r="C25" s="829"/>
      <c r="D25" s="832"/>
      <c r="E25" s="833"/>
      <c r="F25" s="831"/>
      <c r="G25" s="829"/>
      <c r="H25" s="832"/>
      <c r="I25" s="833"/>
    </row>
    <row r="26" spans="1:9">
      <c r="A26" s="818"/>
      <c r="B26" s="831">
        <v>2</v>
      </c>
      <c r="C26" s="829">
        <v>15.55</v>
      </c>
      <c r="D26" s="832"/>
      <c r="E26" s="833" t="s">
        <v>37</v>
      </c>
      <c r="F26" s="831">
        <v>2</v>
      </c>
      <c r="G26" s="829">
        <v>41.1</v>
      </c>
      <c r="H26" s="832"/>
      <c r="I26" s="833" t="s">
        <v>30</v>
      </c>
    </row>
    <row r="27" spans="1:9">
      <c r="A27" s="818"/>
      <c r="B27" s="831"/>
      <c r="C27" s="829">
        <v>0.3</v>
      </c>
      <c r="D27" s="832"/>
      <c r="E27" s="833" t="s">
        <v>498</v>
      </c>
      <c r="F27" s="831"/>
      <c r="G27" s="829">
        <v>0.8</v>
      </c>
      <c r="H27" s="832"/>
      <c r="I27" s="833" t="s">
        <v>495</v>
      </c>
    </row>
    <row r="28" spans="1:9">
      <c r="A28" s="818"/>
      <c r="B28" s="831"/>
      <c r="C28" s="829">
        <v>0.2</v>
      </c>
      <c r="D28" s="832"/>
      <c r="E28" s="833"/>
      <c r="F28" s="831"/>
      <c r="G28" s="829"/>
      <c r="H28" s="832">
        <f>F26*G27*G26</f>
        <v>65.760000000000005</v>
      </c>
      <c r="I28" s="833" t="s">
        <v>40</v>
      </c>
    </row>
    <row r="29" spans="1:9">
      <c r="A29" s="818"/>
      <c r="B29" s="831"/>
      <c r="C29" s="829"/>
      <c r="D29" s="832">
        <f>B26*C26*C27*C28</f>
        <v>1.8660000000000001</v>
      </c>
      <c r="E29" s="833"/>
      <c r="F29" s="831"/>
      <c r="G29" s="829"/>
      <c r="H29" s="832"/>
      <c r="I29" s="833"/>
    </row>
    <row r="30" spans="1:9">
      <c r="A30" s="818"/>
      <c r="B30" s="831"/>
      <c r="C30" s="829"/>
      <c r="D30" s="832"/>
      <c r="E30" s="833"/>
      <c r="F30" s="831">
        <v>18</v>
      </c>
      <c r="G30" s="829">
        <v>0.3</v>
      </c>
      <c r="H30" s="832"/>
      <c r="I30" s="833"/>
    </row>
    <row r="31" spans="1:9">
      <c r="A31" s="818"/>
      <c r="B31" s="831">
        <v>7</v>
      </c>
      <c r="C31" s="829">
        <v>15.55</v>
      </c>
      <c r="D31" s="832"/>
      <c r="E31" s="833" t="s">
        <v>345</v>
      </c>
      <c r="F31" s="831"/>
      <c r="G31" s="829">
        <v>0.2</v>
      </c>
      <c r="H31" s="832"/>
      <c r="I31" s="833"/>
    </row>
    <row r="32" spans="1:9">
      <c r="A32" s="818"/>
      <c r="B32" s="831"/>
      <c r="C32" s="829">
        <v>0.3</v>
      </c>
      <c r="D32" s="832"/>
      <c r="E32" s="833" t="s">
        <v>42</v>
      </c>
      <c r="F32" s="831"/>
      <c r="G32" s="829"/>
      <c r="H32" s="832">
        <f>G30*G31*20</f>
        <v>1.2</v>
      </c>
      <c r="I32" s="833"/>
    </row>
    <row r="33" spans="1:9">
      <c r="A33" s="818"/>
      <c r="B33" s="831"/>
      <c r="C33" s="829">
        <v>0.2</v>
      </c>
      <c r="D33" s="832"/>
      <c r="E33" s="833"/>
      <c r="F33" s="831"/>
      <c r="G33" s="829"/>
      <c r="H33" s="832"/>
      <c r="I33" s="833"/>
    </row>
    <row r="34" spans="1:9">
      <c r="A34" s="818"/>
      <c r="B34" s="831"/>
      <c r="C34" s="829"/>
      <c r="D34" s="832">
        <f>B31*C31*C32*C33</f>
        <v>6.5310000000000006</v>
      </c>
      <c r="E34" s="833"/>
      <c r="F34" s="831">
        <v>2</v>
      </c>
      <c r="G34" s="829">
        <v>41.1</v>
      </c>
      <c r="H34" s="832"/>
      <c r="I34" s="833" t="s">
        <v>34</v>
      </c>
    </row>
    <row r="35" spans="1:9">
      <c r="A35" s="818"/>
      <c r="B35" s="831"/>
      <c r="C35" s="829"/>
      <c r="D35" s="832"/>
      <c r="E35" s="833"/>
      <c r="F35" s="831"/>
      <c r="G35" s="829">
        <v>0.8</v>
      </c>
      <c r="H35" s="832"/>
      <c r="I35" s="833" t="s">
        <v>500</v>
      </c>
    </row>
    <row r="36" spans="1:9">
      <c r="A36" s="818"/>
      <c r="B36" s="839"/>
      <c r="C36" s="935"/>
      <c r="D36" s="838">
        <f>SUM(D18:D34)</f>
        <v>18.692999999999998</v>
      </c>
      <c r="E36" s="839" t="s">
        <v>2142</v>
      </c>
      <c r="F36" s="831"/>
      <c r="G36" s="829"/>
      <c r="H36" s="832">
        <f>F34*G35*G34</f>
        <v>65.760000000000005</v>
      </c>
      <c r="I36" s="833" t="s">
        <v>40</v>
      </c>
    </row>
    <row r="37" spans="1:9">
      <c r="A37" s="818"/>
      <c r="B37" s="1"/>
      <c r="C37" s="847"/>
      <c r="D37" s="847"/>
      <c r="E37" s="435"/>
      <c r="F37" s="831"/>
      <c r="G37" s="829"/>
      <c r="H37" s="832"/>
      <c r="I37" s="833"/>
    </row>
    <row r="38" spans="1:9">
      <c r="A38" s="818"/>
      <c r="B38" s="831"/>
      <c r="C38" s="829"/>
      <c r="D38" s="832"/>
      <c r="E38" s="844" t="s">
        <v>44</v>
      </c>
      <c r="F38" s="831">
        <v>8</v>
      </c>
      <c r="G38" s="829">
        <v>0.3</v>
      </c>
      <c r="H38" s="832"/>
      <c r="I38" s="833"/>
    </row>
    <row r="39" spans="1:9">
      <c r="A39" s="818"/>
      <c r="B39" s="831">
        <v>2</v>
      </c>
      <c r="C39" s="829">
        <v>1.6</v>
      </c>
      <c r="D39" s="832"/>
      <c r="E39" s="833"/>
      <c r="F39" s="831"/>
      <c r="G39" s="829">
        <v>0.2</v>
      </c>
      <c r="H39" s="832"/>
      <c r="I39" s="833"/>
    </row>
    <row r="40" spans="1:9">
      <c r="A40" s="818"/>
      <c r="B40" s="831"/>
      <c r="C40" s="829">
        <v>0.15</v>
      </c>
      <c r="D40" s="832"/>
      <c r="E40" s="833" t="s">
        <v>499</v>
      </c>
      <c r="F40" s="831"/>
      <c r="G40" s="829"/>
      <c r="H40" s="832">
        <f>G38*G39*6</f>
        <v>0.36</v>
      </c>
      <c r="I40" s="833"/>
    </row>
    <row r="41" spans="1:9">
      <c r="A41" s="818"/>
      <c r="B41" s="831"/>
      <c r="C41" s="829">
        <v>0.2</v>
      </c>
      <c r="D41" s="832"/>
      <c r="E41" s="833"/>
      <c r="F41" s="831"/>
      <c r="G41" s="829"/>
      <c r="H41" s="832"/>
      <c r="I41" s="833"/>
    </row>
    <row r="42" spans="1:9">
      <c r="A42" s="818"/>
      <c r="B42" s="831"/>
      <c r="C42" s="829"/>
      <c r="D42" s="832">
        <f>B39*C39*C40*C41</f>
        <v>9.6000000000000002E-2</v>
      </c>
      <c r="E42" s="833"/>
      <c r="F42" s="831">
        <v>2</v>
      </c>
      <c r="G42" s="829">
        <v>15.55</v>
      </c>
      <c r="H42" s="832"/>
      <c r="I42" s="833" t="s">
        <v>37</v>
      </c>
    </row>
    <row r="43" spans="1:9">
      <c r="A43" s="818"/>
      <c r="B43" s="831"/>
      <c r="C43" s="829"/>
      <c r="D43" s="832"/>
      <c r="E43" s="833"/>
      <c r="F43" s="831"/>
      <c r="G43" s="829">
        <v>0.8</v>
      </c>
      <c r="H43" s="832"/>
      <c r="I43" s="833" t="s">
        <v>498</v>
      </c>
    </row>
    <row r="44" spans="1:9">
      <c r="A44" s="818"/>
      <c r="B44" s="831">
        <v>5</v>
      </c>
      <c r="C44" s="829">
        <v>1.3</v>
      </c>
      <c r="D44" s="832"/>
      <c r="E44" s="833"/>
      <c r="F44" s="831"/>
      <c r="G44" s="829"/>
      <c r="H44" s="832">
        <f>F42*G43*G42</f>
        <v>24.880000000000003</v>
      </c>
      <c r="I44" s="833" t="s">
        <v>40</v>
      </c>
    </row>
    <row r="45" spans="1:9">
      <c r="A45" s="818"/>
      <c r="B45" s="831"/>
      <c r="C45" s="829">
        <v>0.15</v>
      </c>
      <c r="D45" s="832"/>
      <c r="E45" s="833" t="s">
        <v>349</v>
      </c>
      <c r="F45" s="831"/>
      <c r="G45" s="829"/>
      <c r="H45" s="832"/>
      <c r="I45" s="833"/>
    </row>
    <row r="46" spans="1:9">
      <c r="A46" s="818"/>
      <c r="B46" s="831"/>
      <c r="C46" s="829">
        <v>0.2</v>
      </c>
      <c r="D46" s="832"/>
      <c r="E46" s="833"/>
      <c r="F46" s="831">
        <v>7</v>
      </c>
      <c r="G46" s="829">
        <v>15.55</v>
      </c>
      <c r="H46" s="832"/>
      <c r="I46" s="833"/>
    </row>
    <row r="47" spans="1:9">
      <c r="A47" s="818"/>
      <c r="B47" s="831"/>
      <c r="C47" s="829"/>
      <c r="D47" s="832">
        <f>B44*C44*C45*C46</f>
        <v>0.19500000000000001</v>
      </c>
      <c r="E47" s="833"/>
      <c r="F47" s="831"/>
      <c r="G47" s="829">
        <v>0.8</v>
      </c>
      <c r="H47" s="832"/>
      <c r="I47" s="833" t="s">
        <v>345</v>
      </c>
    </row>
    <row r="48" spans="1:9">
      <c r="A48" s="818"/>
      <c r="B48" s="831"/>
      <c r="C48" s="829"/>
      <c r="D48" s="832"/>
      <c r="E48" s="833"/>
      <c r="F48" s="831"/>
      <c r="G48" s="829"/>
      <c r="H48" s="832">
        <f>F46*G47*G46</f>
        <v>87.080000000000013</v>
      </c>
      <c r="I48" s="833" t="s">
        <v>502</v>
      </c>
    </row>
    <row r="49" spans="1:10">
      <c r="A49" s="818"/>
      <c r="B49" s="831">
        <v>1</v>
      </c>
      <c r="C49" s="829">
        <v>1.4</v>
      </c>
      <c r="D49" s="832"/>
      <c r="E49" s="833"/>
      <c r="F49" s="831"/>
      <c r="G49" s="829"/>
      <c r="H49" s="832"/>
      <c r="I49" s="833" t="s">
        <v>40</v>
      </c>
    </row>
    <row r="50" spans="1:10">
      <c r="A50" s="818"/>
      <c r="B50" s="831"/>
      <c r="C50" s="829">
        <v>0.15</v>
      </c>
      <c r="D50" s="832"/>
      <c r="E50" s="833" t="s">
        <v>366</v>
      </c>
      <c r="F50" s="831"/>
      <c r="G50" s="829"/>
      <c r="H50" s="832"/>
      <c r="I50" s="833"/>
    </row>
    <row r="51" spans="1:10">
      <c r="A51" s="818"/>
      <c r="B51" s="831"/>
      <c r="C51" s="829">
        <v>0.2</v>
      </c>
      <c r="D51" s="832"/>
      <c r="E51" s="833"/>
      <c r="F51" s="839"/>
      <c r="G51" s="935"/>
      <c r="H51" s="838">
        <f>SUM(H26:H48)</f>
        <v>245.04000000000005</v>
      </c>
      <c r="I51" s="845" t="s">
        <v>2118</v>
      </c>
    </row>
    <row r="52" spans="1:10">
      <c r="A52" s="818"/>
      <c r="B52" s="831"/>
      <c r="C52" s="829"/>
      <c r="D52" s="832">
        <f>B49*C49*C50*C51</f>
        <v>4.2000000000000003E-2</v>
      </c>
      <c r="E52" s="833"/>
      <c r="F52" s="847"/>
      <c r="G52" s="848"/>
      <c r="H52" s="843"/>
      <c r="I52" s="435"/>
    </row>
    <row r="53" spans="1:10">
      <c r="A53" s="818"/>
      <c r="B53" s="831"/>
      <c r="C53" s="829"/>
      <c r="D53" s="832"/>
      <c r="E53" s="833"/>
      <c r="F53" s="831"/>
      <c r="G53" s="829"/>
      <c r="H53" s="832"/>
      <c r="I53" s="844" t="s">
        <v>48</v>
      </c>
    </row>
    <row r="54" spans="1:10">
      <c r="A54" s="818"/>
      <c r="B54" s="831">
        <v>5</v>
      </c>
      <c r="C54" s="829">
        <v>1.8</v>
      </c>
      <c r="D54" s="832"/>
      <c r="E54" s="833"/>
      <c r="F54" s="831">
        <v>1</v>
      </c>
      <c r="G54" s="829">
        <v>1.6</v>
      </c>
      <c r="H54" s="832"/>
      <c r="I54" s="833"/>
    </row>
    <row r="55" spans="1:10">
      <c r="A55" s="818"/>
      <c r="B55" s="831"/>
      <c r="C55" s="829">
        <v>0.15</v>
      </c>
      <c r="D55" s="832"/>
      <c r="E55" s="833" t="s">
        <v>501</v>
      </c>
      <c r="F55" s="831"/>
      <c r="G55" s="829">
        <v>0.55000000000000004</v>
      </c>
      <c r="H55" s="832"/>
      <c r="I55" s="833" t="s">
        <v>499</v>
      </c>
    </row>
    <row r="56" spans="1:10">
      <c r="A56" s="818"/>
      <c r="B56" s="831"/>
      <c r="C56" s="829">
        <v>0.2</v>
      </c>
      <c r="D56" s="832"/>
      <c r="E56" s="833"/>
      <c r="F56" s="831"/>
      <c r="G56" s="829"/>
      <c r="H56" s="832">
        <f>G54*F54*G55</f>
        <v>0.88000000000000012</v>
      </c>
      <c r="I56" s="833"/>
    </row>
    <row r="57" spans="1:10">
      <c r="A57" s="818"/>
      <c r="B57" s="831"/>
      <c r="C57" s="829"/>
      <c r="D57" s="832">
        <f>B54*C54*C55*C56</f>
        <v>0.26999999999999996</v>
      </c>
      <c r="E57" s="833"/>
      <c r="F57" s="831">
        <v>5</v>
      </c>
      <c r="G57" s="829">
        <v>1.3</v>
      </c>
      <c r="H57" s="832"/>
      <c r="I57" s="833"/>
    </row>
    <row r="58" spans="1:10">
      <c r="A58" s="818"/>
      <c r="B58" s="831"/>
      <c r="C58" s="829"/>
      <c r="D58" s="832"/>
      <c r="E58" s="833"/>
      <c r="F58" s="831"/>
      <c r="G58" s="829">
        <v>0.55000000000000004</v>
      </c>
      <c r="H58" s="832"/>
      <c r="I58" s="833" t="s">
        <v>349</v>
      </c>
    </row>
    <row r="59" spans="1:10">
      <c r="A59" s="818"/>
      <c r="B59" s="831">
        <v>5</v>
      </c>
      <c r="C59" s="829">
        <v>1.6</v>
      </c>
      <c r="D59" s="832"/>
      <c r="E59" s="833"/>
      <c r="F59" s="831"/>
      <c r="G59" s="829"/>
      <c r="H59" s="832">
        <f>G57*F57*G58</f>
        <v>3.5750000000000002</v>
      </c>
      <c r="I59" s="833"/>
    </row>
    <row r="60" spans="1:10">
      <c r="A60" s="818"/>
      <c r="B60" s="831"/>
      <c r="C60" s="829">
        <v>0.15</v>
      </c>
      <c r="D60" s="832"/>
      <c r="E60" s="833" t="s">
        <v>491</v>
      </c>
      <c r="F60" s="831">
        <v>1</v>
      </c>
      <c r="G60" s="829">
        <v>1.4</v>
      </c>
      <c r="H60" s="832"/>
      <c r="I60" s="833"/>
    </row>
    <row r="61" spans="1:10">
      <c r="A61" s="818"/>
      <c r="B61" s="831"/>
      <c r="C61" s="829">
        <v>0.2</v>
      </c>
      <c r="D61" s="832"/>
      <c r="E61" s="833"/>
      <c r="F61" s="831"/>
      <c r="G61" s="829">
        <v>0.55000000000000004</v>
      </c>
      <c r="H61" s="832"/>
      <c r="I61" s="833" t="s">
        <v>366</v>
      </c>
    </row>
    <row r="62" spans="1:10">
      <c r="A62" s="818"/>
      <c r="B62" s="849"/>
      <c r="C62" s="850"/>
      <c r="D62" s="851">
        <f>B59*C59*C60*C61</f>
        <v>0.24</v>
      </c>
      <c r="E62" s="852"/>
      <c r="F62" s="849"/>
      <c r="G62" s="850"/>
      <c r="H62" s="851">
        <f>G60*F60*G61</f>
        <v>0.77</v>
      </c>
      <c r="I62" s="852"/>
    </row>
    <row r="63" spans="1:10">
      <c r="A63" s="828"/>
      <c r="B63" s="853" t="s">
        <v>1884</v>
      </c>
      <c r="C63" s="854" t="s">
        <v>526</v>
      </c>
      <c r="D63" s="855" t="s">
        <v>1885</v>
      </c>
      <c r="E63" s="854" t="s">
        <v>1886</v>
      </c>
      <c r="F63" s="853" t="s">
        <v>1884</v>
      </c>
      <c r="G63" s="855" t="s">
        <v>526</v>
      </c>
      <c r="H63" s="856" t="s">
        <v>1885</v>
      </c>
      <c r="I63" s="854" t="s">
        <v>1886</v>
      </c>
      <c r="J63" s="828"/>
    </row>
    <row r="64" spans="1:10">
      <c r="A64" s="818"/>
      <c r="B64" s="831">
        <v>5</v>
      </c>
      <c r="C64" s="829">
        <v>1.6</v>
      </c>
      <c r="D64" s="832"/>
      <c r="E64" s="833"/>
      <c r="F64" s="435"/>
      <c r="G64" s="938">
        <v>1.1000000000000001</v>
      </c>
      <c r="H64" s="847"/>
      <c r="I64" s="435"/>
    </row>
    <row r="65" spans="1:9">
      <c r="A65" s="818"/>
      <c r="B65" s="831"/>
      <c r="C65" s="829">
        <v>0.55000000000000004</v>
      </c>
      <c r="D65" s="832"/>
      <c r="E65" s="833" t="s">
        <v>491</v>
      </c>
      <c r="F65" s="435">
        <v>2</v>
      </c>
      <c r="G65" s="938">
        <v>1.73</v>
      </c>
      <c r="H65" s="847"/>
      <c r="I65" s="435" t="s">
        <v>505</v>
      </c>
    </row>
    <row r="66" spans="1:9">
      <c r="A66" s="818"/>
      <c r="B66" s="831"/>
      <c r="C66" s="829"/>
      <c r="D66" s="832">
        <f>C64*B64*C65</f>
        <v>4.4000000000000004</v>
      </c>
      <c r="E66" s="833"/>
      <c r="F66" s="435"/>
      <c r="G66" s="938"/>
      <c r="H66" s="843">
        <f>-G64*G65*F65</f>
        <v>-3.806</v>
      </c>
      <c r="I66" s="435"/>
    </row>
    <row r="67" spans="1:9">
      <c r="A67" s="818"/>
      <c r="B67" s="831">
        <v>8</v>
      </c>
      <c r="C67" s="829">
        <v>1.2</v>
      </c>
      <c r="D67" s="832"/>
      <c r="E67" s="833"/>
      <c r="F67" s="435"/>
      <c r="G67" s="938">
        <v>1</v>
      </c>
      <c r="H67" s="843"/>
      <c r="I67" s="435"/>
    </row>
    <row r="68" spans="1:9">
      <c r="A68" s="818"/>
      <c r="B68" s="831"/>
      <c r="C68" s="829">
        <v>0.55000000000000004</v>
      </c>
      <c r="D68" s="832"/>
      <c r="E68" s="833" t="s">
        <v>493</v>
      </c>
      <c r="F68" s="435">
        <v>2</v>
      </c>
      <c r="G68" s="938">
        <v>1.73</v>
      </c>
      <c r="H68" s="843"/>
      <c r="I68" s="435" t="s">
        <v>513</v>
      </c>
    </row>
    <row r="69" spans="1:9">
      <c r="A69" s="818"/>
      <c r="B69" s="831"/>
      <c r="C69" s="829"/>
      <c r="D69" s="832">
        <f>C67*B67*C68</f>
        <v>5.28</v>
      </c>
      <c r="E69" s="833"/>
      <c r="F69" s="435"/>
      <c r="G69" s="938"/>
      <c r="H69" s="843">
        <f>-G67*G68*F68</f>
        <v>-3.46</v>
      </c>
      <c r="I69" s="435"/>
    </row>
    <row r="70" spans="1:9">
      <c r="A70" s="818"/>
      <c r="B70" s="831">
        <v>12</v>
      </c>
      <c r="C70" s="829">
        <v>1.2</v>
      </c>
      <c r="D70" s="832"/>
      <c r="E70" s="833"/>
      <c r="F70" s="435"/>
      <c r="G70" s="938">
        <v>15.55</v>
      </c>
      <c r="H70" s="843"/>
      <c r="I70" s="435"/>
    </row>
    <row r="71" spans="1:9">
      <c r="A71" s="818"/>
      <c r="B71" s="831"/>
      <c r="C71" s="829">
        <v>0.55000000000000004</v>
      </c>
      <c r="D71" s="832"/>
      <c r="E71" s="833" t="s">
        <v>494</v>
      </c>
      <c r="F71" s="435">
        <v>2</v>
      </c>
      <c r="G71" s="938">
        <v>2.73</v>
      </c>
      <c r="H71" s="843"/>
      <c r="I71" s="435" t="s">
        <v>514</v>
      </c>
    </row>
    <row r="72" spans="1:9">
      <c r="A72" s="818"/>
      <c r="B72" s="831"/>
      <c r="C72" s="829"/>
      <c r="D72" s="832">
        <f>C70*B70*C71</f>
        <v>7.92</v>
      </c>
      <c r="E72" s="833"/>
      <c r="F72" s="435"/>
      <c r="G72" s="938"/>
      <c r="H72" s="843">
        <f>G70*G71*F71</f>
        <v>84.903000000000006</v>
      </c>
      <c r="I72" s="435"/>
    </row>
    <row r="73" spans="1:9">
      <c r="A73" s="818"/>
      <c r="B73" s="831">
        <v>5</v>
      </c>
      <c r="C73" s="829">
        <v>1.8</v>
      </c>
      <c r="D73" s="832"/>
      <c r="E73" s="833"/>
      <c r="F73" s="435"/>
      <c r="G73" s="938">
        <v>1.1499999999999999</v>
      </c>
      <c r="H73" s="843"/>
      <c r="I73" s="435"/>
    </row>
    <row r="74" spans="1:9">
      <c r="A74" s="818"/>
      <c r="B74" s="435"/>
      <c r="C74" s="829">
        <v>0.55000000000000004</v>
      </c>
      <c r="D74" s="832"/>
      <c r="E74" s="833" t="s">
        <v>501</v>
      </c>
      <c r="F74" s="435">
        <v>2</v>
      </c>
      <c r="G74" s="938">
        <v>16.350000000000001</v>
      </c>
      <c r="H74" s="843"/>
      <c r="I74" s="435" t="s">
        <v>515</v>
      </c>
    </row>
    <row r="75" spans="1:9">
      <c r="A75" s="818"/>
      <c r="B75" s="831"/>
      <c r="C75" s="829"/>
      <c r="D75" s="832">
        <f>B73*C73*C74</f>
        <v>4.95</v>
      </c>
      <c r="E75" s="833"/>
      <c r="F75" s="435"/>
      <c r="G75" s="938"/>
      <c r="H75" s="843">
        <f>G73*G74*F74</f>
        <v>37.604999999999997</v>
      </c>
      <c r="I75" s="435"/>
    </row>
    <row r="76" spans="1:9">
      <c r="A76" s="818"/>
      <c r="B76" s="831"/>
      <c r="C76" s="829"/>
      <c r="D76" s="832"/>
      <c r="E76" s="831"/>
      <c r="F76" s="435"/>
      <c r="G76" s="938">
        <v>42.9</v>
      </c>
      <c r="H76" s="843"/>
      <c r="I76" s="435"/>
    </row>
    <row r="77" spans="1:9">
      <c r="A77" s="818"/>
      <c r="B77" s="839"/>
      <c r="C77" s="935"/>
      <c r="D77" s="838">
        <f>SUM(D64:D76)</f>
        <v>22.55</v>
      </c>
      <c r="E77" s="845" t="s">
        <v>2119</v>
      </c>
      <c r="F77" s="435">
        <v>2</v>
      </c>
      <c r="G77" s="938">
        <v>0.2</v>
      </c>
      <c r="H77" s="843"/>
      <c r="I77" s="435" t="s">
        <v>121</v>
      </c>
    </row>
    <row r="78" spans="1:9">
      <c r="A78" s="818"/>
      <c r="B78" s="831"/>
      <c r="C78" s="829"/>
      <c r="D78" s="832"/>
      <c r="E78" s="833"/>
      <c r="F78" s="435"/>
      <c r="G78" s="938"/>
      <c r="H78" s="843">
        <f>G76*G77*F77</f>
        <v>17.16</v>
      </c>
      <c r="I78" s="435"/>
    </row>
    <row r="79" spans="1:9">
      <c r="A79" s="818"/>
      <c r="B79" s="831"/>
      <c r="C79" s="829"/>
      <c r="D79" s="832"/>
      <c r="E79" s="833" t="s">
        <v>510</v>
      </c>
      <c r="F79" s="435"/>
      <c r="G79" s="938">
        <v>1.5</v>
      </c>
      <c r="H79" s="843"/>
      <c r="I79" s="435"/>
    </row>
    <row r="80" spans="1:9">
      <c r="A80" s="818"/>
      <c r="B80" s="831">
        <v>1</v>
      </c>
      <c r="C80" s="829">
        <f>'OR-Reinf'!N68</f>
        <v>320.60160000000002</v>
      </c>
      <c r="D80" s="832"/>
      <c r="E80" s="833"/>
      <c r="F80" s="435">
        <v>2</v>
      </c>
      <c r="G80" s="938">
        <v>1.73</v>
      </c>
      <c r="H80" s="843"/>
      <c r="I80" s="435" t="s">
        <v>212</v>
      </c>
    </row>
    <row r="81" spans="1:9">
      <c r="A81" s="818"/>
      <c r="B81" s="839"/>
      <c r="C81" s="935"/>
      <c r="D81" s="838">
        <f>C80</f>
        <v>320.60160000000002</v>
      </c>
      <c r="E81" s="845" t="s">
        <v>2120</v>
      </c>
      <c r="F81" s="435"/>
      <c r="G81" s="938"/>
      <c r="H81" s="843">
        <f>-G79*G80*F80</f>
        <v>-5.1899999999999995</v>
      </c>
      <c r="I81" s="435"/>
    </row>
    <row r="82" spans="1:9">
      <c r="A82" s="818"/>
      <c r="B82" s="435"/>
      <c r="C82" s="938"/>
      <c r="D82" s="847"/>
      <c r="E82" s="847"/>
      <c r="F82" s="435"/>
      <c r="G82" s="938">
        <v>1.5</v>
      </c>
      <c r="H82" s="843"/>
      <c r="I82" s="435"/>
    </row>
    <row r="83" spans="1:9">
      <c r="A83" s="818"/>
      <c r="B83" s="1"/>
      <c r="C83" s="936"/>
      <c r="D83" s="937"/>
      <c r="E83" s="14" t="s">
        <v>511</v>
      </c>
      <c r="F83" s="435">
        <v>2</v>
      </c>
      <c r="G83" s="938">
        <v>0.6</v>
      </c>
      <c r="H83" s="843"/>
      <c r="I83" s="435" t="s">
        <v>212</v>
      </c>
    </row>
    <row r="84" spans="1:9">
      <c r="A84" s="818"/>
      <c r="B84" s="435">
        <v>1</v>
      </c>
      <c r="C84" s="829">
        <f>'OR-Reinf'!M68+'OR-Reinf'!M100</f>
        <v>2389.2794400000002</v>
      </c>
      <c r="D84" s="847"/>
      <c r="E84" s="435"/>
      <c r="F84" s="435"/>
      <c r="G84" s="938"/>
      <c r="H84" s="843">
        <f>-G82*G83*F83</f>
        <v>-1.7999999999999998</v>
      </c>
      <c r="I84" s="435"/>
    </row>
    <row r="85" spans="1:9">
      <c r="A85" s="818"/>
      <c r="B85" s="839"/>
      <c r="C85" s="935"/>
      <c r="D85" s="838">
        <f>C84</f>
        <v>2389.2794400000002</v>
      </c>
      <c r="E85" s="845" t="s">
        <v>2339</v>
      </c>
      <c r="F85" s="435"/>
      <c r="G85" s="938">
        <v>1.1000000000000001</v>
      </c>
      <c r="H85" s="843"/>
      <c r="I85" s="435"/>
    </row>
    <row r="86" spans="1:9">
      <c r="A86" s="818"/>
      <c r="B86" s="435"/>
      <c r="C86" s="938"/>
      <c r="D86" s="847"/>
      <c r="E86" s="847"/>
      <c r="F86" s="435">
        <v>1</v>
      </c>
      <c r="G86" s="938">
        <v>1.73</v>
      </c>
      <c r="H86" s="843"/>
      <c r="I86" s="435" t="s">
        <v>517</v>
      </c>
    </row>
    <row r="87" spans="1:9">
      <c r="A87" s="818"/>
      <c r="B87" s="1"/>
      <c r="C87" s="936"/>
      <c r="D87" s="937"/>
      <c r="E87" s="14" t="s">
        <v>512</v>
      </c>
      <c r="F87" s="435"/>
      <c r="G87" s="938"/>
      <c r="H87" s="843">
        <f>-G85*G86*F86</f>
        <v>-1.903</v>
      </c>
      <c r="I87" s="435"/>
    </row>
    <row r="88" spans="1:9">
      <c r="A88" s="818"/>
      <c r="B88" s="435">
        <v>1</v>
      </c>
      <c r="C88" s="829">
        <f>'OR-Reinf'!K68+'OR-Reinf'!K100</f>
        <v>783.87750000000005</v>
      </c>
      <c r="D88" s="847"/>
      <c r="E88" s="435"/>
      <c r="F88" s="435"/>
      <c r="G88" s="938">
        <v>1.4</v>
      </c>
      <c r="H88" s="843"/>
      <c r="I88" s="435"/>
    </row>
    <row r="89" spans="1:9">
      <c r="A89" s="818"/>
      <c r="B89" s="839"/>
      <c r="C89" s="935"/>
      <c r="D89" s="838">
        <f>C88</f>
        <v>783.87750000000005</v>
      </c>
      <c r="E89" s="845" t="s">
        <v>2121</v>
      </c>
      <c r="F89" s="435">
        <v>1</v>
      </c>
      <c r="G89" s="938">
        <v>2.73</v>
      </c>
      <c r="H89" s="843"/>
      <c r="I89" s="435" t="s">
        <v>519</v>
      </c>
    </row>
    <row r="90" spans="1:9">
      <c r="A90" s="818"/>
      <c r="B90" s="435"/>
      <c r="C90" s="847"/>
      <c r="D90" s="847"/>
      <c r="E90" s="435"/>
      <c r="F90" s="435"/>
      <c r="G90" s="938"/>
      <c r="H90" s="843">
        <f>-G88*G89*F89</f>
        <v>-3.8219999999999996</v>
      </c>
      <c r="I90" s="435"/>
    </row>
    <row r="91" spans="1:9">
      <c r="A91" s="818"/>
      <c r="B91" s="435"/>
      <c r="C91" s="938"/>
      <c r="D91" s="847"/>
      <c r="E91" s="847" t="s">
        <v>350</v>
      </c>
      <c r="F91" s="435"/>
      <c r="G91" s="938">
        <v>0.9</v>
      </c>
      <c r="H91" s="843"/>
      <c r="I91" s="435"/>
    </row>
    <row r="92" spans="1:9">
      <c r="A92" s="818"/>
      <c r="B92" s="435"/>
      <c r="C92" s="847"/>
      <c r="D92" s="847"/>
      <c r="E92" s="847" t="s">
        <v>65</v>
      </c>
      <c r="F92" s="435">
        <v>2</v>
      </c>
      <c r="G92" s="938">
        <v>2.73</v>
      </c>
      <c r="H92" s="843"/>
      <c r="I92" s="435" t="s">
        <v>520</v>
      </c>
    </row>
    <row r="93" spans="1:9">
      <c r="A93" s="818"/>
      <c r="B93" s="435">
        <v>1</v>
      </c>
      <c r="C93" s="938">
        <v>41.1</v>
      </c>
      <c r="D93" s="847"/>
      <c r="E93" s="435" t="s">
        <v>503</v>
      </c>
      <c r="F93" s="435"/>
      <c r="G93" s="938"/>
      <c r="H93" s="843">
        <f>-G91*G92*F92</f>
        <v>-4.9139999999999997</v>
      </c>
      <c r="I93" s="435"/>
    </row>
    <row r="94" spans="1:9">
      <c r="A94" s="818"/>
      <c r="B94" s="435"/>
      <c r="C94" s="938">
        <v>2.73</v>
      </c>
      <c r="D94" s="847"/>
      <c r="E94" s="435"/>
      <c r="F94" s="435"/>
      <c r="G94" s="938">
        <v>8.4</v>
      </c>
      <c r="H94" s="843"/>
      <c r="I94" s="435"/>
    </row>
    <row r="95" spans="1:9">
      <c r="A95" s="818"/>
      <c r="B95" s="435"/>
      <c r="C95" s="938"/>
      <c r="D95" s="843">
        <f>C93*C94*B93</f>
        <v>112.203</v>
      </c>
      <c r="E95" s="435"/>
      <c r="F95" s="435">
        <v>1</v>
      </c>
      <c r="G95" s="938">
        <v>2.73</v>
      </c>
      <c r="H95" s="843"/>
      <c r="I95" s="435" t="s">
        <v>522</v>
      </c>
    </row>
    <row r="96" spans="1:9">
      <c r="A96" s="818"/>
      <c r="B96" s="435">
        <v>10</v>
      </c>
      <c r="C96" s="938">
        <v>1.5</v>
      </c>
      <c r="D96" s="847"/>
      <c r="E96" s="435" t="s">
        <v>504</v>
      </c>
      <c r="F96" s="435"/>
      <c r="G96" s="938"/>
      <c r="H96" s="843">
        <f>G94*G95*F95</f>
        <v>22.932000000000002</v>
      </c>
      <c r="I96" s="435"/>
    </row>
    <row r="97" spans="1:9">
      <c r="A97" s="818"/>
      <c r="B97" s="435"/>
      <c r="C97" s="938">
        <v>1.73</v>
      </c>
      <c r="D97" s="847"/>
      <c r="E97" s="435"/>
      <c r="F97" s="435"/>
      <c r="G97" s="938">
        <v>5.85</v>
      </c>
      <c r="H97" s="843"/>
      <c r="I97" s="435"/>
    </row>
    <row r="98" spans="1:9">
      <c r="A98" s="818"/>
      <c r="B98" s="435"/>
      <c r="C98" s="938"/>
      <c r="D98" s="843">
        <f>-C96*C97*B96</f>
        <v>-25.949999999999996</v>
      </c>
      <c r="E98" s="435"/>
      <c r="F98" s="435">
        <v>4</v>
      </c>
      <c r="G98" s="938">
        <v>3.06</v>
      </c>
      <c r="H98" s="843"/>
      <c r="I98" s="435" t="s">
        <v>524</v>
      </c>
    </row>
    <row r="99" spans="1:9">
      <c r="A99" s="818"/>
      <c r="B99" s="435">
        <v>2</v>
      </c>
      <c r="C99" s="938">
        <v>1.1000000000000001</v>
      </c>
      <c r="D99" s="843"/>
      <c r="E99" s="435" t="s">
        <v>505</v>
      </c>
      <c r="F99" s="435"/>
      <c r="G99" s="938"/>
      <c r="H99" s="843">
        <f>G97*G98*F98</f>
        <v>71.603999999999999</v>
      </c>
      <c r="I99" s="435" t="s">
        <v>525</v>
      </c>
    </row>
    <row r="100" spans="1:9">
      <c r="A100" s="818"/>
      <c r="B100" s="435"/>
      <c r="C100" s="938">
        <v>1.73</v>
      </c>
      <c r="D100" s="843"/>
      <c r="E100" s="435"/>
      <c r="F100" s="435"/>
      <c r="G100" s="938">
        <v>1.3</v>
      </c>
      <c r="H100" s="843"/>
      <c r="I100" s="435"/>
    </row>
    <row r="101" spans="1:9">
      <c r="A101" s="818"/>
      <c r="B101" s="435"/>
      <c r="C101" s="938"/>
      <c r="D101" s="843">
        <f>-C99*C100*B99</f>
        <v>-3.806</v>
      </c>
      <c r="E101" s="435"/>
      <c r="F101" s="435">
        <v>2</v>
      </c>
      <c r="G101" s="938">
        <v>2.73</v>
      </c>
      <c r="H101" s="843"/>
      <c r="I101" s="435" t="s">
        <v>526</v>
      </c>
    </row>
    <row r="102" spans="1:9">
      <c r="A102" s="818"/>
      <c r="B102" s="435">
        <v>1</v>
      </c>
      <c r="C102" s="938">
        <v>1.5</v>
      </c>
      <c r="D102" s="843"/>
      <c r="E102" s="435" t="s">
        <v>506</v>
      </c>
      <c r="F102" s="435"/>
      <c r="G102" s="938"/>
      <c r="H102" s="843">
        <f>-G100*G101*F101</f>
        <v>-7.0979999999999999</v>
      </c>
      <c r="I102" s="435"/>
    </row>
    <row r="103" spans="1:9">
      <c r="A103" s="818"/>
      <c r="B103" s="435"/>
      <c r="C103" s="938">
        <v>0.6</v>
      </c>
      <c r="D103" s="843"/>
      <c r="E103" s="435"/>
      <c r="F103" s="435"/>
      <c r="G103" s="938">
        <v>2.2000000000000002</v>
      </c>
      <c r="H103" s="843"/>
      <c r="I103" s="435"/>
    </row>
    <row r="104" spans="1:9">
      <c r="A104" s="818"/>
      <c r="B104" s="435"/>
      <c r="C104" s="938"/>
      <c r="D104" s="843">
        <f>-C102*C103*B102</f>
        <v>-0.89999999999999991</v>
      </c>
      <c r="E104" s="435"/>
      <c r="F104" s="435">
        <v>1</v>
      </c>
      <c r="G104" s="938">
        <v>3.06</v>
      </c>
      <c r="H104" s="843"/>
      <c r="I104" s="435" t="s">
        <v>528</v>
      </c>
    </row>
    <row r="105" spans="1:9">
      <c r="A105" s="818"/>
      <c r="B105" s="435">
        <v>1</v>
      </c>
      <c r="C105" s="938">
        <v>0.9</v>
      </c>
      <c r="D105" s="843"/>
      <c r="E105" s="435" t="s">
        <v>507</v>
      </c>
      <c r="F105" s="435"/>
      <c r="G105" s="938"/>
      <c r="H105" s="843">
        <f>G103*G104*F104</f>
        <v>6.7320000000000011</v>
      </c>
      <c r="I105" s="435"/>
    </row>
    <row r="106" spans="1:9">
      <c r="A106" s="818"/>
      <c r="B106" s="435"/>
      <c r="C106" s="938">
        <v>2.73</v>
      </c>
      <c r="D106" s="843"/>
      <c r="E106" s="435"/>
      <c r="F106" s="435"/>
      <c r="G106" s="938">
        <v>0.8</v>
      </c>
      <c r="H106" s="843"/>
      <c r="I106" s="435"/>
    </row>
    <row r="107" spans="1:9">
      <c r="A107" s="818"/>
      <c r="B107" s="435"/>
      <c r="C107" s="938"/>
      <c r="D107" s="843">
        <f>-C105*C106*B105</f>
        <v>-2.4569999999999999</v>
      </c>
      <c r="E107" s="435"/>
      <c r="F107" s="435">
        <v>1</v>
      </c>
      <c r="G107" s="938">
        <v>2.73</v>
      </c>
      <c r="H107" s="843"/>
      <c r="I107" s="435" t="s">
        <v>182</v>
      </c>
    </row>
    <row r="108" spans="1:9">
      <c r="A108" s="818"/>
      <c r="B108" s="435">
        <v>2</v>
      </c>
      <c r="C108" s="938">
        <v>0.8</v>
      </c>
      <c r="D108" s="843"/>
      <c r="E108" s="435" t="s">
        <v>508</v>
      </c>
      <c r="F108" s="435"/>
      <c r="G108" s="938"/>
      <c r="H108" s="843">
        <f>-G106*G107*F107</f>
        <v>-2.1840000000000002</v>
      </c>
      <c r="I108" s="435"/>
    </row>
    <row r="109" spans="1:9">
      <c r="A109" s="818"/>
      <c r="B109" s="435"/>
      <c r="C109" s="938">
        <v>2.73</v>
      </c>
      <c r="D109" s="843"/>
      <c r="E109" s="435"/>
      <c r="F109" s="435"/>
      <c r="G109" s="938">
        <v>19.8</v>
      </c>
      <c r="H109" s="843"/>
      <c r="I109" s="435"/>
    </row>
    <row r="110" spans="1:9">
      <c r="A110" s="818"/>
      <c r="B110" s="435"/>
      <c r="C110" s="938"/>
      <c r="D110" s="843">
        <f>-C108*C109*B108</f>
        <v>-4.3680000000000003</v>
      </c>
      <c r="E110" s="435"/>
      <c r="F110" s="435">
        <v>1</v>
      </c>
      <c r="G110" s="938">
        <v>2.73</v>
      </c>
      <c r="H110" s="843"/>
      <c r="I110" s="435" t="s">
        <v>530</v>
      </c>
    </row>
    <row r="111" spans="1:9">
      <c r="A111" s="818"/>
      <c r="B111" s="435">
        <v>1</v>
      </c>
      <c r="C111" s="938">
        <v>41.1</v>
      </c>
      <c r="D111" s="843"/>
      <c r="E111" s="435" t="s">
        <v>509</v>
      </c>
      <c r="F111" s="435"/>
      <c r="G111" s="938"/>
      <c r="H111" s="843">
        <f>G109*G110*F110</f>
        <v>54.054000000000002</v>
      </c>
      <c r="I111" s="435"/>
    </row>
    <row r="112" spans="1:9">
      <c r="A112" s="818"/>
      <c r="B112" s="435"/>
      <c r="C112" s="938">
        <v>2.73</v>
      </c>
      <c r="D112" s="843"/>
      <c r="E112" s="435"/>
      <c r="F112" s="435"/>
      <c r="G112" s="938">
        <v>0.9</v>
      </c>
      <c r="H112" s="843"/>
      <c r="I112" s="435"/>
    </row>
    <row r="113" spans="1:10">
      <c r="A113" s="818"/>
      <c r="B113" s="435"/>
      <c r="C113" s="938"/>
      <c r="D113" s="843">
        <f>C111*C112*B111</f>
        <v>112.203</v>
      </c>
      <c r="E113" s="435"/>
      <c r="F113" s="435">
        <v>4</v>
      </c>
      <c r="G113" s="938">
        <v>2.73</v>
      </c>
      <c r="H113" s="843"/>
      <c r="I113" s="435" t="s">
        <v>98</v>
      </c>
    </row>
    <row r="114" spans="1:10">
      <c r="A114" s="818"/>
      <c r="B114" s="435">
        <v>10</v>
      </c>
      <c r="C114" s="938">
        <v>1.5</v>
      </c>
      <c r="D114" s="843"/>
      <c r="E114" s="435" t="s">
        <v>504</v>
      </c>
      <c r="F114" s="435"/>
      <c r="G114" s="938"/>
      <c r="H114" s="843">
        <f>-G112*G113*F113</f>
        <v>-9.8279999999999994</v>
      </c>
      <c r="I114" s="435"/>
    </row>
    <row r="115" spans="1:10">
      <c r="A115" s="818"/>
      <c r="B115" s="435"/>
      <c r="C115" s="938">
        <v>1.73</v>
      </c>
      <c r="D115" s="843"/>
      <c r="E115" s="435"/>
      <c r="F115" s="435"/>
      <c r="G115" s="938">
        <v>0.9</v>
      </c>
      <c r="H115" s="843"/>
      <c r="I115" s="435"/>
    </row>
    <row r="116" spans="1:10">
      <c r="A116" s="818"/>
      <c r="B116" s="435"/>
      <c r="C116" s="938"/>
      <c r="D116" s="843">
        <f>-C114*C115*B114</f>
        <v>-25.949999999999996</v>
      </c>
      <c r="E116" s="435"/>
      <c r="F116" s="435">
        <v>1</v>
      </c>
      <c r="G116" s="938">
        <v>2.73</v>
      </c>
      <c r="H116" s="843"/>
      <c r="I116" s="435" t="s">
        <v>533</v>
      </c>
    </row>
    <row r="117" spans="1:10">
      <c r="A117" s="818"/>
      <c r="B117" s="435">
        <v>1</v>
      </c>
      <c r="C117" s="938">
        <v>1.3</v>
      </c>
      <c r="D117" s="843"/>
      <c r="E117" s="435" t="s">
        <v>157</v>
      </c>
      <c r="F117" s="435"/>
      <c r="G117" s="938"/>
      <c r="H117" s="843">
        <f>-G115*G116*F116</f>
        <v>-2.4569999999999999</v>
      </c>
      <c r="I117" s="435"/>
    </row>
    <row r="118" spans="1:10">
      <c r="A118" s="818"/>
      <c r="B118" s="435"/>
      <c r="C118" s="938">
        <v>1.73</v>
      </c>
      <c r="D118" s="843"/>
      <c r="E118" s="435"/>
      <c r="F118" s="435"/>
      <c r="G118" s="938">
        <v>7</v>
      </c>
      <c r="H118" s="843"/>
      <c r="I118" s="435"/>
    </row>
    <row r="119" spans="1:10">
      <c r="A119" s="818"/>
      <c r="B119" s="435"/>
      <c r="C119" s="938"/>
      <c r="D119" s="843">
        <f>-C117*C118*B117</f>
        <v>-2.2490000000000001</v>
      </c>
      <c r="E119" s="435"/>
      <c r="F119" s="435">
        <v>1</v>
      </c>
      <c r="G119" s="938">
        <v>2.93</v>
      </c>
      <c r="H119" s="843"/>
      <c r="I119" s="435" t="s">
        <v>534</v>
      </c>
    </row>
    <row r="120" spans="1:10">
      <c r="A120" s="818"/>
      <c r="B120" s="435"/>
      <c r="C120" s="847"/>
      <c r="D120" s="847"/>
      <c r="E120" s="435"/>
      <c r="F120" s="435"/>
      <c r="G120" s="938"/>
      <c r="H120" s="843">
        <f>G118*G119*F119</f>
        <v>20.51</v>
      </c>
      <c r="I120" s="435"/>
    </row>
    <row r="121" spans="1:10">
      <c r="A121" s="818"/>
      <c r="B121" s="109"/>
      <c r="C121" s="860"/>
      <c r="D121" s="860"/>
      <c r="E121" s="109"/>
      <c r="F121" s="109"/>
      <c r="G121" s="939"/>
      <c r="H121" s="860"/>
      <c r="I121" s="109"/>
    </row>
    <row r="122" spans="1:10">
      <c r="A122" s="828"/>
      <c r="B122" s="853" t="s">
        <v>1884</v>
      </c>
      <c r="C122" s="854" t="s">
        <v>526</v>
      </c>
      <c r="D122" s="855" t="s">
        <v>1885</v>
      </c>
      <c r="E122" s="854" t="s">
        <v>1886</v>
      </c>
      <c r="F122" s="853" t="s">
        <v>1884</v>
      </c>
      <c r="G122" s="855" t="s">
        <v>526</v>
      </c>
      <c r="H122" s="856" t="s">
        <v>1885</v>
      </c>
      <c r="I122" s="854" t="s">
        <v>1886</v>
      </c>
      <c r="J122" s="828"/>
    </row>
    <row r="123" spans="1:10">
      <c r="A123" s="818"/>
      <c r="B123" s="435"/>
      <c r="C123" s="938">
        <v>2.5</v>
      </c>
      <c r="D123" s="847"/>
      <c r="E123" s="435"/>
      <c r="F123" s="435">
        <v>1</v>
      </c>
      <c r="G123" s="938">
        <v>0.8</v>
      </c>
      <c r="H123" s="847"/>
      <c r="I123" s="435"/>
    </row>
    <row r="124" spans="1:10">
      <c r="A124" s="818"/>
      <c r="B124" s="435">
        <v>1</v>
      </c>
      <c r="C124" s="938">
        <v>3.06</v>
      </c>
      <c r="D124" s="847"/>
      <c r="E124" s="435" t="s">
        <v>536</v>
      </c>
      <c r="F124" s="435"/>
      <c r="G124" s="938">
        <v>2.73</v>
      </c>
      <c r="H124" s="847">
        <f>-G124*G123*F123</f>
        <v>-2.1840000000000002</v>
      </c>
      <c r="I124" s="435" t="s">
        <v>182</v>
      </c>
    </row>
    <row r="125" spans="1:10">
      <c r="A125" s="818"/>
      <c r="B125" s="435"/>
      <c r="C125" s="938"/>
      <c r="D125" s="847">
        <f>C123*C124*B124</f>
        <v>7.65</v>
      </c>
      <c r="E125" s="435"/>
      <c r="F125" s="435"/>
      <c r="G125" s="938"/>
      <c r="H125" s="847"/>
      <c r="I125" s="435"/>
    </row>
    <row r="126" spans="1:10">
      <c r="A126" s="818"/>
      <c r="B126" s="435"/>
      <c r="C126" s="938">
        <v>1.4</v>
      </c>
      <c r="D126" s="847"/>
      <c r="E126" s="435"/>
      <c r="F126" s="435">
        <v>1</v>
      </c>
      <c r="G126" s="938">
        <v>5.85</v>
      </c>
      <c r="H126" s="847"/>
      <c r="I126" s="435"/>
    </row>
    <row r="127" spans="1:10">
      <c r="A127" s="818"/>
      <c r="B127" s="435">
        <v>1</v>
      </c>
      <c r="C127" s="938">
        <v>2.73</v>
      </c>
      <c r="D127" s="847"/>
      <c r="E127" s="435" t="s">
        <v>519</v>
      </c>
      <c r="F127" s="435"/>
      <c r="G127" s="938">
        <v>3.06</v>
      </c>
      <c r="H127" s="847">
        <f>G127*G126*F126</f>
        <v>17.901</v>
      </c>
      <c r="I127" s="435" t="s">
        <v>540</v>
      </c>
    </row>
    <row r="128" spans="1:10">
      <c r="A128" s="818"/>
      <c r="B128" s="435"/>
      <c r="C128" s="938"/>
      <c r="D128" s="843">
        <f>-C126*C127*B127</f>
        <v>-3.8219999999999996</v>
      </c>
      <c r="E128" s="435"/>
      <c r="F128" s="435"/>
      <c r="G128" s="938"/>
      <c r="H128" s="847"/>
      <c r="I128" s="435"/>
    </row>
    <row r="129" spans="1:9">
      <c r="A129" s="818"/>
      <c r="B129" s="435"/>
      <c r="C129" s="938"/>
      <c r="D129" s="847"/>
      <c r="E129" s="435"/>
      <c r="F129" s="435">
        <v>1</v>
      </c>
      <c r="G129" s="938">
        <v>0.8</v>
      </c>
      <c r="H129" s="847"/>
      <c r="I129" s="435"/>
    </row>
    <row r="130" spans="1:9">
      <c r="A130" s="818"/>
      <c r="B130" s="839"/>
      <c r="C130" s="935"/>
      <c r="D130" s="838">
        <f>SUM(D95:D119)+SUM(H65:H120)+SUM(D125:D129)</f>
        <v>431.59199999999998</v>
      </c>
      <c r="E130" s="845" t="s">
        <v>2340</v>
      </c>
      <c r="F130" s="435"/>
      <c r="G130" s="938">
        <v>2.73</v>
      </c>
      <c r="H130" s="847">
        <f>-G130*G129*F129</f>
        <v>-2.1840000000000002</v>
      </c>
      <c r="I130" s="435" t="s">
        <v>182</v>
      </c>
    </row>
    <row r="131" spans="1:9">
      <c r="A131" s="818"/>
      <c r="B131" s="435"/>
      <c r="C131" s="938"/>
      <c r="D131" s="847"/>
      <c r="E131" s="435"/>
      <c r="F131" s="435"/>
      <c r="G131" s="938"/>
      <c r="H131" s="847"/>
      <c r="I131" s="435"/>
    </row>
    <row r="132" spans="1:9">
      <c r="A132" s="818"/>
      <c r="B132" s="435"/>
      <c r="C132" s="829"/>
      <c r="D132" s="847"/>
      <c r="E132" s="435" t="s">
        <v>86</v>
      </c>
      <c r="F132" s="435">
        <v>1</v>
      </c>
      <c r="G132" s="938">
        <v>7.25</v>
      </c>
      <c r="H132" s="847"/>
      <c r="I132" s="435"/>
    </row>
    <row r="133" spans="1:9">
      <c r="A133" s="818"/>
      <c r="B133" s="435">
        <v>1</v>
      </c>
      <c r="C133" s="829">
        <v>5.9</v>
      </c>
      <c r="D133" s="847"/>
      <c r="E133" s="435" t="s">
        <v>516</v>
      </c>
      <c r="F133" s="435"/>
      <c r="G133" s="938">
        <v>2.73</v>
      </c>
      <c r="H133" s="847">
        <f>G133*G132*F132</f>
        <v>19.7925</v>
      </c>
      <c r="I133" s="435" t="s">
        <v>541</v>
      </c>
    </row>
    <row r="134" spans="1:9">
      <c r="A134" s="818"/>
      <c r="B134" s="435"/>
      <c r="C134" s="829">
        <v>2.73</v>
      </c>
      <c r="D134" s="843">
        <f>C134*C133*B133</f>
        <v>16.106999999999999</v>
      </c>
      <c r="E134" s="435"/>
      <c r="F134" s="435"/>
      <c r="G134" s="938"/>
      <c r="H134" s="847"/>
      <c r="I134" s="435"/>
    </row>
    <row r="135" spans="1:9">
      <c r="A135" s="818"/>
      <c r="B135" s="435"/>
      <c r="C135" s="829"/>
      <c r="D135" s="843"/>
      <c r="E135" s="435"/>
      <c r="F135" s="435">
        <v>1</v>
      </c>
      <c r="G135" s="938">
        <v>2.15</v>
      </c>
      <c r="H135" s="847"/>
      <c r="I135" s="435"/>
    </row>
    <row r="136" spans="1:9">
      <c r="A136" s="818"/>
      <c r="B136" s="435">
        <v>1</v>
      </c>
      <c r="C136" s="829">
        <v>7.25</v>
      </c>
      <c r="D136" s="843"/>
      <c r="E136" s="435" t="s">
        <v>518</v>
      </c>
      <c r="F136" s="435"/>
      <c r="G136" s="938">
        <v>3.06</v>
      </c>
      <c r="H136" s="847">
        <f>G136*G135*F135</f>
        <v>6.5789999999999997</v>
      </c>
      <c r="I136" s="435" t="s">
        <v>543</v>
      </c>
    </row>
    <row r="137" spans="1:9">
      <c r="A137" s="818"/>
      <c r="B137" s="435"/>
      <c r="C137" s="829">
        <v>3.06</v>
      </c>
      <c r="D137" s="843">
        <f>C137*C136*B136</f>
        <v>22.184999999999999</v>
      </c>
      <c r="E137" s="435"/>
      <c r="F137" s="435"/>
      <c r="G137" s="938"/>
      <c r="H137" s="847"/>
      <c r="I137" s="435"/>
    </row>
    <row r="138" spans="1:9">
      <c r="A138" s="818"/>
      <c r="B138" s="435"/>
      <c r="C138" s="829"/>
      <c r="D138" s="843"/>
      <c r="E138" s="435"/>
      <c r="F138" s="435">
        <v>1</v>
      </c>
      <c r="G138" s="938">
        <v>7.25</v>
      </c>
      <c r="H138" s="847"/>
      <c r="I138" s="435"/>
    </row>
    <row r="139" spans="1:9">
      <c r="A139" s="818"/>
      <c r="B139" s="435">
        <v>2</v>
      </c>
      <c r="C139" s="829">
        <v>0.9</v>
      </c>
      <c r="D139" s="843"/>
      <c r="E139" s="435" t="s">
        <v>93</v>
      </c>
      <c r="F139" s="435"/>
      <c r="G139" s="938">
        <v>2.73</v>
      </c>
      <c r="H139" s="847">
        <f>G139*G138*F138</f>
        <v>19.7925</v>
      </c>
      <c r="I139" s="435" t="s">
        <v>544</v>
      </c>
    </row>
    <row r="140" spans="1:9">
      <c r="A140" s="818"/>
      <c r="B140" s="435"/>
      <c r="C140" s="829">
        <v>2.73</v>
      </c>
      <c r="D140" s="843">
        <f>-C140*C139*B139</f>
        <v>-4.9139999999999997</v>
      </c>
      <c r="E140" s="435"/>
      <c r="F140" s="435"/>
      <c r="G140" s="938"/>
      <c r="H140" s="847"/>
      <c r="I140" s="435"/>
    </row>
    <row r="141" spans="1:9">
      <c r="A141" s="818"/>
      <c r="B141" s="435"/>
      <c r="C141" s="829"/>
      <c r="D141" s="843"/>
      <c r="E141" s="435"/>
      <c r="F141" s="435">
        <v>1</v>
      </c>
      <c r="G141" s="938">
        <v>7.25</v>
      </c>
      <c r="H141" s="847"/>
      <c r="I141" s="435"/>
    </row>
    <row r="142" spans="1:9">
      <c r="A142" s="818"/>
      <c r="B142" s="435">
        <v>1</v>
      </c>
      <c r="C142" s="829">
        <v>7.25</v>
      </c>
      <c r="D142" s="843"/>
      <c r="E142" s="435" t="s">
        <v>521</v>
      </c>
      <c r="F142" s="435"/>
      <c r="G142" s="938">
        <v>2.73</v>
      </c>
      <c r="H142" s="847">
        <f>G142*G141*F141</f>
        <v>19.7925</v>
      </c>
      <c r="I142" s="435" t="s">
        <v>546</v>
      </c>
    </row>
    <row r="143" spans="1:9">
      <c r="A143" s="818"/>
      <c r="B143" s="435"/>
      <c r="C143" s="829">
        <v>3.06</v>
      </c>
      <c r="D143" s="843">
        <f>C143*C142*B142</f>
        <v>22.184999999999999</v>
      </c>
      <c r="E143" s="435"/>
      <c r="F143" s="435"/>
      <c r="G143" s="938"/>
      <c r="H143" s="847"/>
      <c r="I143" s="435"/>
    </row>
    <row r="144" spans="1:9">
      <c r="A144" s="818"/>
      <c r="B144" s="435"/>
      <c r="C144" s="829"/>
      <c r="D144" s="843"/>
      <c r="E144" s="435"/>
      <c r="F144" s="435">
        <v>1</v>
      </c>
      <c r="G144" s="938">
        <v>0.9</v>
      </c>
      <c r="H144" s="847"/>
      <c r="I144" s="435"/>
    </row>
    <row r="145" spans="1:9">
      <c r="A145" s="818"/>
      <c r="B145" s="435">
        <v>1</v>
      </c>
      <c r="C145" s="829">
        <v>5.9</v>
      </c>
      <c r="D145" s="843"/>
      <c r="E145" s="435" t="s">
        <v>523</v>
      </c>
      <c r="F145" s="435"/>
      <c r="G145" s="938">
        <v>2.73</v>
      </c>
      <c r="H145" s="847">
        <f>-G145*G144*F144</f>
        <v>-2.4569999999999999</v>
      </c>
      <c r="I145" s="435" t="s">
        <v>72</v>
      </c>
    </row>
    <row r="146" spans="1:9">
      <c r="A146" s="818"/>
      <c r="B146" s="435"/>
      <c r="C146" s="829">
        <v>2.73</v>
      </c>
      <c r="D146" s="843">
        <f>C146*C145*B145</f>
        <v>16.106999999999999</v>
      </c>
      <c r="E146" s="435"/>
      <c r="F146" s="435"/>
      <c r="G146" s="938"/>
      <c r="H146" s="847"/>
      <c r="I146" s="435"/>
    </row>
    <row r="147" spans="1:9">
      <c r="A147" s="818"/>
      <c r="B147" s="435"/>
      <c r="C147" s="829"/>
      <c r="D147" s="843"/>
      <c r="E147" s="435"/>
      <c r="F147" s="435">
        <v>2</v>
      </c>
      <c r="G147" s="938">
        <v>0.8</v>
      </c>
      <c r="H147" s="847"/>
      <c r="I147" s="435"/>
    </row>
    <row r="148" spans="1:9">
      <c r="A148" s="818"/>
      <c r="B148" s="435">
        <v>1</v>
      </c>
      <c r="C148" s="829">
        <v>0.9</v>
      </c>
      <c r="D148" s="843"/>
      <c r="E148" s="435" t="s">
        <v>72</v>
      </c>
      <c r="F148" s="435"/>
      <c r="G148" s="938">
        <v>2.73</v>
      </c>
      <c r="H148" s="847">
        <f>-G148*G147*F147</f>
        <v>-4.3680000000000003</v>
      </c>
      <c r="I148" s="435" t="s">
        <v>99</v>
      </c>
    </row>
    <row r="149" spans="1:9">
      <c r="A149" s="818"/>
      <c r="B149" s="435"/>
      <c r="C149" s="829">
        <v>2.73</v>
      </c>
      <c r="D149" s="843">
        <f>-C149*C148*B148</f>
        <v>-2.4569999999999999</v>
      </c>
      <c r="E149" s="435"/>
      <c r="F149" s="435"/>
      <c r="G149" s="938"/>
      <c r="H149" s="847"/>
      <c r="I149" s="435"/>
    </row>
    <row r="150" spans="1:9">
      <c r="A150" s="818"/>
      <c r="B150" s="435"/>
      <c r="C150" s="829"/>
      <c r="D150" s="843"/>
      <c r="E150" s="435"/>
      <c r="F150" s="435">
        <v>1</v>
      </c>
      <c r="G150" s="938">
        <v>3.05</v>
      </c>
      <c r="H150" s="847"/>
      <c r="I150" s="435"/>
    </row>
    <row r="151" spans="1:9">
      <c r="A151" s="818"/>
      <c r="B151" s="435">
        <v>2</v>
      </c>
      <c r="C151" s="829">
        <v>7.25</v>
      </c>
      <c r="D151" s="843"/>
      <c r="E151" s="435" t="s">
        <v>527</v>
      </c>
      <c r="F151" s="435"/>
      <c r="G151" s="938">
        <v>3.06</v>
      </c>
      <c r="H151" s="847">
        <f>G151*G150*F150</f>
        <v>9.3330000000000002</v>
      </c>
      <c r="I151" s="435" t="s">
        <v>548</v>
      </c>
    </row>
    <row r="152" spans="1:9">
      <c r="A152" s="818"/>
      <c r="B152" s="435"/>
      <c r="C152" s="829">
        <v>3.06</v>
      </c>
      <c r="D152" s="843">
        <f>C152*C151*B151</f>
        <v>44.37</v>
      </c>
      <c r="E152" s="435"/>
      <c r="F152" s="435"/>
      <c r="G152" s="938"/>
      <c r="H152" s="847"/>
      <c r="I152" s="435"/>
    </row>
    <row r="153" spans="1:9">
      <c r="A153" s="818"/>
      <c r="B153" s="435"/>
      <c r="C153" s="829"/>
      <c r="D153" s="843"/>
      <c r="E153" s="435"/>
      <c r="F153" s="435">
        <v>1</v>
      </c>
      <c r="G153" s="938">
        <v>0.9</v>
      </c>
      <c r="H153" s="847"/>
      <c r="I153" s="435"/>
    </row>
    <row r="154" spans="1:9">
      <c r="A154" s="818"/>
      <c r="B154" s="435">
        <v>1</v>
      </c>
      <c r="C154" s="829">
        <v>0.9</v>
      </c>
      <c r="D154" s="843"/>
      <c r="E154" s="435" t="s">
        <v>72</v>
      </c>
      <c r="F154" s="435"/>
      <c r="G154" s="938">
        <v>2.73</v>
      </c>
      <c r="H154" s="847">
        <f>-G154*G153*F153</f>
        <v>-2.4569999999999999</v>
      </c>
      <c r="I154" s="435" t="s">
        <v>72</v>
      </c>
    </row>
    <row r="155" spans="1:9">
      <c r="A155" s="818"/>
      <c r="B155" s="435"/>
      <c r="C155" s="829">
        <v>2.73</v>
      </c>
      <c r="D155" s="843">
        <f>-C155*C154*B154</f>
        <v>-2.4569999999999999</v>
      </c>
      <c r="E155" s="435"/>
      <c r="F155" s="435"/>
      <c r="G155" s="938"/>
      <c r="H155" s="847"/>
      <c r="I155" s="435"/>
    </row>
    <row r="156" spans="1:9">
      <c r="A156" s="818"/>
      <c r="B156" s="435"/>
      <c r="C156" s="829"/>
      <c r="D156" s="843"/>
      <c r="E156" s="435"/>
      <c r="F156" s="435">
        <v>1</v>
      </c>
      <c r="G156" s="938">
        <v>18.600000000000001</v>
      </c>
      <c r="H156" s="847"/>
      <c r="I156" s="435"/>
    </row>
    <row r="157" spans="1:9">
      <c r="A157" s="818"/>
      <c r="B157" s="435">
        <v>1</v>
      </c>
      <c r="C157" s="829">
        <v>5.9</v>
      </c>
      <c r="D157" s="843"/>
      <c r="E157" s="435" t="s">
        <v>529</v>
      </c>
      <c r="F157" s="435"/>
      <c r="G157" s="938">
        <v>2.73</v>
      </c>
      <c r="H157" s="847">
        <f>G157*G156*F156</f>
        <v>50.778000000000006</v>
      </c>
      <c r="I157" s="435" t="s">
        <v>550</v>
      </c>
    </row>
    <row r="158" spans="1:9">
      <c r="A158" s="818"/>
      <c r="B158" s="435"/>
      <c r="C158" s="829">
        <v>3.06</v>
      </c>
      <c r="D158" s="843">
        <f>C158*C157*B157</f>
        <v>18.054000000000002</v>
      </c>
      <c r="E158" s="435"/>
      <c r="F158" s="435"/>
      <c r="G158" s="938"/>
      <c r="H158" s="847"/>
      <c r="I158" s="435"/>
    </row>
    <row r="159" spans="1:9">
      <c r="A159" s="818"/>
      <c r="B159" s="435"/>
      <c r="C159" s="829"/>
      <c r="D159" s="843"/>
      <c r="E159" s="435"/>
      <c r="F159" s="435">
        <v>1</v>
      </c>
      <c r="G159" s="938">
        <v>3.35</v>
      </c>
      <c r="H159" s="847"/>
      <c r="I159" s="435"/>
    </row>
    <row r="160" spans="1:9">
      <c r="A160" s="818"/>
      <c r="B160" s="435">
        <v>1</v>
      </c>
      <c r="C160" s="829">
        <v>5.9</v>
      </c>
      <c r="D160" s="843"/>
      <c r="E160" s="435" t="s">
        <v>531</v>
      </c>
      <c r="F160" s="435"/>
      <c r="G160" s="938">
        <v>2.73</v>
      </c>
      <c r="H160" s="847">
        <f>-G160*G159*F159</f>
        <v>-9.1455000000000002</v>
      </c>
      <c r="I160" s="435"/>
    </row>
    <row r="161" spans="1:9">
      <c r="A161" s="818"/>
      <c r="B161" s="435"/>
      <c r="C161" s="829">
        <v>2.73</v>
      </c>
      <c r="D161" s="843">
        <f>C161*C160*B160</f>
        <v>16.106999999999999</v>
      </c>
      <c r="E161" s="435"/>
      <c r="F161" s="435"/>
      <c r="G161" s="938"/>
      <c r="H161" s="847"/>
      <c r="I161" s="435"/>
    </row>
    <row r="162" spans="1:9">
      <c r="A162" s="818"/>
      <c r="B162" s="435"/>
      <c r="C162" s="829"/>
      <c r="D162" s="843"/>
      <c r="E162" s="435"/>
      <c r="F162" s="435">
        <v>3</v>
      </c>
      <c r="G162" s="938">
        <v>0.9</v>
      </c>
      <c r="H162" s="847"/>
      <c r="I162" s="435"/>
    </row>
    <row r="163" spans="1:9">
      <c r="A163" s="818"/>
      <c r="B163" s="435">
        <v>2</v>
      </c>
      <c r="C163" s="829">
        <v>7.25</v>
      </c>
      <c r="D163" s="843"/>
      <c r="E163" s="435" t="s">
        <v>532</v>
      </c>
      <c r="F163" s="435"/>
      <c r="G163" s="938">
        <v>2.73</v>
      </c>
      <c r="H163" s="847">
        <f>-G163*G162*F162</f>
        <v>-7.3709999999999996</v>
      </c>
      <c r="I163" s="435" t="s">
        <v>59</v>
      </c>
    </row>
    <row r="164" spans="1:9">
      <c r="A164" s="818"/>
      <c r="B164" s="435"/>
      <c r="C164" s="829">
        <v>3.06</v>
      </c>
      <c r="D164" s="843">
        <f>C164*C163*B163</f>
        <v>44.37</v>
      </c>
      <c r="E164" s="435"/>
      <c r="F164" s="435"/>
      <c r="G164" s="938"/>
      <c r="H164" s="847"/>
      <c r="I164" s="435"/>
    </row>
    <row r="165" spans="1:9">
      <c r="A165" s="818"/>
      <c r="B165" s="435"/>
      <c r="C165" s="829"/>
      <c r="D165" s="843"/>
      <c r="E165" s="435"/>
      <c r="F165" s="435">
        <v>1</v>
      </c>
      <c r="G165" s="938">
        <v>1.4</v>
      </c>
      <c r="H165" s="847"/>
      <c r="I165" s="435"/>
    </row>
    <row r="166" spans="1:9">
      <c r="A166" s="818"/>
      <c r="B166" s="435">
        <v>2</v>
      </c>
      <c r="C166" s="829">
        <v>1.4</v>
      </c>
      <c r="D166" s="843"/>
      <c r="E166" s="435" t="s">
        <v>519</v>
      </c>
      <c r="F166" s="435"/>
      <c r="G166" s="938">
        <v>2.73</v>
      </c>
      <c r="H166" s="847">
        <f>-G166*G165*F165</f>
        <v>-3.8219999999999996</v>
      </c>
      <c r="I166" s="435" t="s">
        <v>519</v>
      </c>
    </row>
    <row r="167" spans="1:9">
      <c r="A167" s="818"/>
      <c r="B167" s="435"/>
      <c r="C167" s="829">
        <v>2.73</v>
      </c>
      <c r="D167" s="843">
        <f>-C167*C166*B166</f>
        <v>-7.6439999999999992</v>
      </c>
      <c r="E167" s="435"/>
      <c r="F167" s="435"/>
      <c r="G167" s="938"/>
      <c r="H167" s="847"/>
      <c r="I167" s="435"/>
    </row>
    <row r="168" spans="1:9">
      <c r="A168" s="818"/>
      <c r="B168" s="435"/>
      <c r="C168" s="829"/>
      <c r="D168" s="843"/>
      <c r="E168" s="435"/>
      <c r="F168" s="435">
        <v>1</v>
      </c>
      <c r="G168" s="938">
        <v>29.9</v>
      </c>
      <c r="H168" s="847"/>
      <c r="I168" s="435"/>
    </row>
    <row r="169" spans="1:9">
      <c r="A169" s="818"/>
      <c r="B169" s="435">
        <v>1</v>
      </c>
      <c r="C169" s="829">
        <v>7.25</v>
      </c>
      <c r="D169" s="843"/>
      <c r="E169" s="435" t="s">
        <v>535</v>
      </c>
      <c r="F169" s="435"/>
      <c r="G169" s="938">
        <v>2.73</v>
      </c>
      <c r="H169" s="847">
        <f>G169*G168*F168</f>
        <v>81.626999999999995</v>
      </c>
      <c r="I169" s="435" t="s">
        <v>539</v>
      </c>
    </row>
    <row r="170" spans="1:9">
      <c r="A170" s="818"/>
      <c r="B170" s="435"/>
      <c r="C170" s="829">
        <v>3.06</v>
      </c>
      <c r="D170" s="843">
        <f>C170*C169*B169</f>
        <v>22.184999999999999</v>
      </c>
      <c r="E170" s="435"/>
      <c r="F170" s="435"/>
      <c r="G170" s="938"/>
      <c r="H170" s="847"/>
      <c r="I170" s="435"/>
    </row>
    <row r="171" spans="1:9">
      <c r="A171" s="818"/>
      <c r="B171" s="435"/>
      <c r="C171" s="829"/>
      <c r="D171" s="843"/>
      <c r="E171" s="435"/>
      <c r="F171" s="435">
        <v>3</v>
      </c>
      <c r="G171" s="938">
        <v>0.9</v>
      </c>
      <c r="H171" s="847"/>
      <c r="I171" s="435"/>
    </row>
    <row r="172" spans="1:9">
      <c r="A172" s="818"/>
      <c r="B172" s="435">
        <v>1</v>
      </c>
      <c r="C172" s="829">
        <v>0.8</v>
      </c>
      <c r="D172" s="843"/>
      <c r="E172" s="435" t="s">
        <v>182</v>
      </c>
      <c r="F172" s="435"/>
      <c r="G172" s="938">
        <v>2.73</v>
      </c>
      <c r="H172" s="847">
        <f>-G172*G171*F171</f>
        <v>-7.3709999999999996</v>
      </c>
      <c r="I172" s="435" t="s">
        <v>59</v>
      </c>
    </row>
    <row r="173" spans="1:9">
      <c r="A173" s="818"/>
      <c r="B173" s="435"/>
      <c r="C173" s="829">
        <v>2.73</v>
      </c>
      <c r="D173" s="843">
        <f>-C173*C172*B172</f>
        <v>-2.1840000000000002</v>
      </c>
      <c r="E173" s="435"/>
      <c r="F173" s="435"/>
      <c r="G173" s="938"/>
      <c r="H173" s="847"/>
      <c r="I173" s="435"/>
    </row>
    <row r="174" spans="1:9">
      <c r="A174" s="818"/>
      <c r="B174" s="435"/>
      <c r="C174" s="829"/>
      <c r="D174" s="843"/>
      <c r="E174" s="435"/>
      <c r="F174" s="435">
        <v>1</v>
      </c>
      <c r="G174" s="938">
        <v>1.4</v>
      </c>
      <c r="H174" s="847"/>
      <c r="I174" s="435"/>
    </row>
    <row r="175" spans="1:9">
      <c r="A175" s="818"/>
      <c r="B175" s="435">
        <v>1</v>
      </c>
      <c r="C175" s="829">
        <v>7.25</v>
      </c>
      <c r="D175" s="843"/>
      <c r="E175" s="435" t="s">
        <v>537</v>
      </c>
      <c r="F175" s="435"/>
      <c r="G175" s="938">
        <v>2.73</v>
      </c>
      <c r="H175" s="847">
        <f>-G175*G174*F174</f>
        <v>-3.8219999999999996</v>
      </c>
      <c r="I175" s="435" t="s">
        <v>519</v>
      </c>
    </row>
    <row r="176" spans="1:9">
      <c r="A176" s="818"/>
      <c r="B176" s="435"/>
      <c r="C176" s="829">
        <v>2.73</v>
      </c>
      <c r="D176" s="843">
        <f>C176*C175*B175</f>
        <v>19.7925</v>
      </c>
      <c r="E176" s="435"/>
      <c r="F176" s="435"/>
      <c r="G176" s="938"/>
      <c r="H176" s="847"/>
      <c r="I176" s="435"/>
    </row>
    <row r="177" spans="1:10">
      <c r="A177" s="818"/>
      <c r="B177" s="435"/>
      <c r="C177" s="829"/>
      <c r="D177" s="843"/>
      <c r="E177" s="435"/>
      <c r="F177" s="435">
        <v>1</v>
      </c>
      <c r="G177" s="938">
        <v>8.1</v>
      </c>
      <c r="H177" s="847"/>
      <c r="I177" s="435"/>
    </row>
    <row r="178" spans="1:10">
      <c r="A178" s="818"/>
      <c r="B178" s="435">
        <v>1</v>
      </c>
      <c r="C178" s="829">
        <v>1.25</v>
      </c>
      <c r="D178" s="843"/>
      <c r="E178" s="435"/>
      <c r="F178" s="847"/>
      <c r="G178" s="938">
        <v>3.06</v>
      </c>
      <c r="H178" s="847">
        <f>G178*G177*F177</f>
        <v>24.785999999999998</v>
      </c>
      <c r="I178" s="435" t="s">
        <v>542</v>
      </c>
    </row>
    <row r="179" spans="1:10">
      <c r="A179" s="818"/>
      <c r="B179" s="435"/>
      <c r="C179" s="829">
        <v>1.73</v>
      </c>
      <c r="D179" s="843">
        <f>-C179*C178*B178</f>
        <v>-2.1625000000000001</v>
      </c>
      <c r="E179" s="435" t="s">
        <v>538</v>
      </c>
      <c r="F179" s="435"/>
      <c r="G179" s="938"/>
      <c r="H179" s="847"/>
      <c r="I179" s="435"/>
    </row>
    <row r="180" spans="1:10">
      <c r="A180" s="818"/>
      <c r="B180" s="109"/>
      <c r="C180" s="939"/>
      <c r="D180" s="860"/>
      <c r="E180" s="109"/>
      <c r="F180" s="109"/>
      <c r="G180" s="939"/>
      <c r="H180" s="860"/>
      <c r="I180" s="109"/>
    </row>
    <row r="181" spans="1:10">
      <c r="A181" s="828"/>
      <c r="B181" s="853" t="s">
        <v>1884</v>
      </c>
      <c r="C181" s="854" t="s">
        <v>526</v>
      </c>
      <c r="D181" s="855" t="s">
        <v>1885</v>
      </c>
      <c r="E181" s="854" t="s">
        <v>1886</v>
      </c>
      <c r="F181" s="853" t="s">
        <v>1884</v>
      </c>
      <c r="G181" s="855" t="s">
        <v>526</v>
      </c>
      <c r="H181" s="856" t="s">
        <v>1885</v>
      </c>
      <c r="I181" s="854" t="s">
        <v>1886</v>
      </c>
      <c r="J181" s="828"/>
    </row>
    <row r="182" spans="1:10">
      <c r="A182" s="818"/>
      <c r="B182" s="435">
        <v>1</v>
      </c>
      <c r="C182" s="829">
        <v>1.3</v>
      </c>
      <c r="D182" s="847"/>
      <c r="E182" s="435"/>
      <c r="F182" s="435"/>
      <c r="G182" s="829"/>
      <c r="H182" s="843"/>
      <c r="I182" s="847" t="s">
        <v>105</v>
      </c>
    </row>
    <row r="183" spans="1:10">
      <c r="A183" s="818"/>
      <c r="B183" s="435"/>
      <c r="C183" s="829">
        <v>2.73</v>
      </c>
      <c r="D183" s="843">
        <f>-C183*C182*B182</f>
        <v>-3.5489999999999999</v>
      </c>
      <c r="E183" s="435" t="s">
        <v>499</v>
      </c>
      <c r="F183" s="435"/>
      <c r="G183" s="829"/>
      <c r="H183" s="843"/>
      <c r="I183" s="435" t="s">
        <v>107</v>
      </c>
    </row>
    <row r="184" spans="1:10">
      <c r="A184" s="818"/>
      <c r="B184" s="435"/>
      <c r="C184" s="829"/>
      <c r="D184" s="843"/>
      <c r="E184" s="435"/>
      <c r="F184" s="435">
        <v>2</v>
      </c>
      <c r="G184" s="829">
        <v>44.1</v>
      </c>
      <c r="H184" s="843"/>
      <c r="I184" s="435"/>
    </row>
    <row r="185" spans="1:10">
      <c r="A185" s="818"/>
      <c r="B185" s="435">
        <v>1</v>
      </c>
      <c r="C185" s="829">
        <v>1.8</v>
      </c>
      <c r="D185" s="843"/>
      <c r="E185" s="435"/>
      <c r="F185" s="839"/>
      <c r="G185" s="935"/>
      <c r="H185" s="838">
        <f>G184*F184</f>
        <v>88.2</v>
      </c>
      <c r="I185" s="845" t="s">
        <v>2347</v>
      </c>
    </row>
    <row r="186" spans="1:10">
      <c r="A186" s="818"/>
      <c r="B186" s="435"/>
      <c r="C186" s="829">
        <v>3.06</v>
      </c>
      <c r="D186" s="843">
        <f>C186*C185*B185</f>
        <v>5.508</v>
      </c>
      <c r="E186" s="435" t="s">
        <v>545</v>
      </c>
      <c r="F186" s="435"/>
      <c r="G186" s="829"/>
      <c r="H186" s="843"/>
      <c r="I186" s="435"/>
    </row>
    <row r="187" spans="1:10">
      <c r="A187" s="818"/>
      <c r="B187" s="435"/>
      <c r="C187" s="829"/>
      <c r="D187" s="843"/>
      <c r="E187" s="435"/>
      <c r="F187" s="435"/>
      <c r="G187" s="829"/>
      <c r="H187" s="843"/>
      <c r="I187" s="847" t="s">
        <v>109</v>
      </c>
    </row>
    <row r="188" spans="1:10">
      <c r="A188" s="818"/>
      <c r="B188" s="435">
        <v>1</v>
      </c>
      <c r="C188" s="829">
        <v>0.8</v>
      </c>
      <c r="D188" s="843"/>
      <c r="E188" s="435"/>
      <c r="F188" s="435">
        <v>33</v>
      </c>
      <c r="G188" s="829">
        <v>17.86</v>
      </c>
      <c r="H188" s="843"/>
      <c r="I188" s="847" t="s">
        <v>110</v>
      </c>
    </row>
    <row r="189" spans="1:10">
      <c r="A189" s="818"/>
      <c r="B189" s="435"/>
      <c r="C189" s="829">
        <v>2.73</v>
      </c>
      <c r="D189" s="843">
        <f>-C189*C188*B188</f>
        <v>-2.1840000000000002</v>
      </c>
      <c r="E189" s="435" t="s">
        <v>182</v>
      </c>
      <c r="F189" s="435"/>
      <c r="G189" s="829"/>
      <c r="H189" s="843">
        <f t="shared" ref="H189" si="0">F188*G188</f>
        <v>589.38</v>
      </c>
      <c r="I189" s="442" t="s">
        <v>2348</v>
      </c>
    </row>
    <row r="190" spans="1:10">
      <c r="A190" s="818"/>
      <c r="B190" s="435"/>
      <c r="C190" s="829"/>
      <c r="D190" s="843"/>
      <c r="E190" s="435"/>
      <c r="F190" s="847"/>
      <c r="G190" s="848"/>
      <c r="H190" s="843"/>
      <c r="I190" s="435"/>
    </row>
    <row r="191" spans="1:10">
      <c r="A191" s="818"/>
      <c r="B191" s="435">
        <v>1</v>
      </c>
      <c r="C191" s="829">
        <v>2.5</v>
      </c>
      <c r="D191" s="843"/>
      <c r="E191" s="435"/>
      <c r="F191" s="435">
        <v>33</v>
      </c>
      <c r="G191" s="829">
        <v>17.149999999999999</v>
      </c>
      <c r="H191" s="843"/>
      <c r="I191" s="442" t="s">
        <v>554</v>
      </c>
    </row>
    <row r="192" spans="1:10">
      <c r="A192" s="818"/>
      <c r="B192" s="435"/>
      <c r="C192" s="829">
        <v>3.06</v>
      </c>
      <c r="D192" s="843">
        <f>C192*C191*B191</f>
        <v>7.65</v>
      </c>
      <c r="E192" s="435" t="s">
        <v>547</v>
      </c>
      <c r="F192" s="435"/>
      <c r="G192" s="829"/>
      <c r="H192" s="843">
        <f>F191*G191</f>
        <v>565.94999999999993</v>
      </c>
      <c r="I192" s="847"/>
    </row>
    <row r="193" spans="1:9">
      <c r="A193" s="818"/>
      <c r="B193" s="435"/>
      <c r="C193" s="829"/>
      <c r="D193" s="843"/>
      <c r="E193" s="435"/>
      <c r="F193" s="435"/>
      <c r="G193" s="829"/>
      <c r="H193" s="843"/>
      <c r="I193" s="847"/>
    </row>
    <row r="194" spans="1:9">
      <c r="A194" s="818"/>
      <c r="B194" s="435">
        <v>1</v>
      </c>
      <c r="C194" s="829">
        <v>0.8</v>
      </c>
      <c r="D194" s="843"/>
      <c r="E194" s="435"/>
      <c r="F194" s="839"/>
      <c r="G194" s="935"/>
      <c r="H194" s="838">
        <f>SUM(H189:H192)</f>
        <v>1155.33</v>
      </c>
      <c r="I194" s="845" t="s">
        <v>2127</v>
      </c>
    </row>
    <row r="195" spans="1:9">
      <c r="A195" s="818"/>
      <c r="B195" s="435"/>
      <c r="C195" s="829">
        <v>2.73</v>
      </c>
      <c r="D195" s="843">
        <f>-C195*C194*B194</f>
        <v>-2.1840000000000002</v>
      </c>
      <c r="E195" s="435" t="s">
        <v>182</v>
      </c>
      <c r="F195" s="847"/>
      <c r="G195" s="848"/>
      <c r="H195" s="843"/>
      <c r="I195" s="435"/>
    </row>
    <row r="196" spans="1:9">
      <c r="A196" s="818"/>
      <c r="B196" s="435"/>
      <c r="C196" s="829"/>
      <c r="D196" s="843"/>
      <c r="E196" s="435"/>
      <c r="F196" s="435"/>
      <c r="G196" s="829"/>
      <c r="H196" s="843"/>
      <c r="I196" s="847" t="s">
        <v>114</v>
      </c>
    </row>
    <row r="197" spans="1:9">
      <c r="A197" s="818"/>
      <c r="B197" s="435">
        <v>2</v>
      </c>
      <c r="C197" s="829">
        <v>2.5</v>
      </c>
      <c r="D197" s="843"/>
      <c r="E197" s="435"/>
      <c r="F197" s="435">
        <v>33</v>
      </c>
      <c r="G197" s="829">
        <v>20.100000000000001</v>
      </c>
      <c r="H197" s="843"/>
      <c r="I197" s="442" t="s">
        <v>555</v>
      </c>
    </row>
    <row r="198" spans="1:9">
      <c r="A198" s="818"/>
      <c r="B198" s="435"/>
      <c r="C198" s="829">
        <v>3.06</v>
      </c>
      <c r="D198" s="843">
        <f>C198*C197*B197</f>
        <v>15.3</v>
      </c>
      <c r="E198" s="435" t="s">
        <v>549</v>
      </c>
      <c r="F198" s="435"/>
      <c r="G198" s="829"/>
      <c r="H198" s="843">
        <f>F197*G197</f>
        <v>663.30000000000007</v>
      </c>
      <c r="I198" s="442" t="s">
        <v>556</v>
      </c>
    </row>
    <row r="199" spans="1:9">
      <c r="A199" s="818"/>
      <c r="B199" s="435"/>
      <c r="C199" s="829"/>
      <c r="D199" s="843"/>
      <c r="E199" s="435"/>
      <c r="F199" s="435">
        <v>33</v>
      </c>
      <c r="G199" s="829">
        <v>25.32</v>
      </c>
      <c r="H199" s="843"/>
      <c r="I199" s="847"/>
    </row>
    <row r="200" spans="1:9">
      <c r="A200" s="818"/>
      <c r="B200" s="435">
        <v>1</v>
      </c>
      <c r="C200" s="829">
        <v>0.8</v>
      </c>
      <c r="D200" s="843"/>
      <c r="E200" s="435"/>
      <c r="F200" s="435"/>
      <c r="G200" s="829"/>
      <c r="H200" s="843">
        <f>F199*G199</f>
        <v>835.56000000000006</v>
      </c>
      <c r="I200" s="847"/>
    </row>
    <row r="201" spans="1:9">
      <c r="A201" s="818"/>
      <c r="B201" s="435"/>
      <c r="C201" s="829">
        <v>2.73</v>
      </c>
      <c r="D201" s="843">
        <f>-C201*C200*B200</f>
        <v>-2.1840000000000002</v>
      </c>
      <c r="E201" s="435" t="s">
        <v>182</v>
      </c>
      <c r="F201" s="847"/>
      <c r="G201" s="848"/>
      <c r="H201" s="843"/>
      <c r="I201" s="435"/>
    </row>
    <row r="202" spans="1:9">
      <c r="A202" s="818"/>
      <c r="B202" s="435"/>
      <c r="C202" s="829"/>
      <c r="D202" s="843"/>
      <c r="E202" s="435"/>
      <c r="F202" s="839"/>
      <c r="G202" s="935"/>
      <c r="H202" s="838">
        <f>SUM(H198:H200)</f>
        <v>1498.8600000000001</v>
      </c>
      <c r="I202" s="845" t="s">
        <v>2128</v>
      </c>
    </row>
    <row r="203" spans="1:9">
      <c r="A203" s="818"/>
      <c r="B203" s="435">
        <v>1</v>
      </c>
      <c r="C203" s="829">
        <v>4.95</v>
      </c>
      <c r="D203" s="843"/>
      <c r="E203" s="435"/>
      <c r="F203" s="847"/>
      <c r="G203" s="848"/>
      <c r="H203" s="843"/>
      <c r="I203" s="435"/>
    </row>
    <row r="204" spans="1:9">
      <c r="A204" s="818"/>
      <c r="B204" s="435"/>
      <c r="C204" s="829">
        <v>3.06</v>
      </c>
      <c r="D204" s="843">
        <f>C204*C203*B203</f>
        <v>15.147</v>
      </c>
      <c r="E204" s="435" t="s">
        <v>551</v>
      </c>
      <c r="F204" s="435"/>
      <c r="G204" s="829"/>
      <c r="H204" s="843"/>
      <c r="I204" s="847" t="s">
        <v>117</v>
      </c>
    </row>
    <row r="205" spans="1:9">
      <c r="A205" s="818"/>
      <c r="B205" s="435"/>
      <c r="C205" s="829"/>
      <c r="D205" s="843"/>
      <c r="E205" s="435"/>
      <c r="F205" s="435"/>
      <c r="G205" s="829"/>
      <c r="H205" s="843"/>
      <c r="I205" s="442" t="s">
        <v>557</v>
      </c>
    </row>
    <row r="206" spans="1:9">
      <c r="A206" s="818"/>
      <c r="B206" s="435">
        <v>1</v>
      </c>
      <c r="C206" s="829">
        <v>1.4</v>
      </c>
      <c r="D206" s="843"/>
      <c r="E206" s="435"/>
      <c r="F206" s="435">
        <v>22</v>
      </c>
      <c r="G206" s="829">
        <v>44.1</v>
      </c>
      <c r="H206" s="843"/>
      <c r="I206" s="442" t="s">
        <v>558</v>
      </c>
    </row>
    <row r="207" spans="1:9">
      <c r="A207" s="818"/>
      <c r="B207" s="435"/>
      <c r="C207" s="829">
        <v>2.73</v>
      </c>
      <c r="D207" s="843">
        <f>-C207*C206*B206</f>
        <v>-3.8219999999999996</v>
      </c>
      <c r="E207" s="435" t="s">
        <v>519</v>
      </c>
      <c r="F207" s="847"/>
      <c r="G207" s="848"/>
      <c r="H207" s="843"/>
      <c r="I207" s="435"/>
    </row>
    <row r="208" spans="1:9">
      <c r="A208" s="818"/>
      <c r="B208" s="435"/>
      <c r="C208" s="829"/>
      <c r="D208" s="847"/>
      <c r="E208" s="435"/>
      <c r="F208" s="839"/>
      <c r="G208" s="935"/>
      <c r="H208" s="838">
        <f>F206*G206</f>
        <v>970.2</v>
      </c>
      <c r="I208" s="845" t="s">
        <v>2349</v>
      </c>
    </row>
    <row r="209" spans="1:9">
      <c r="A209" s="818"/>
      <c r="B209" s="435">
        <v>1</v>
      </c>
      <c r="C209" s="829">
        <v>1.1000000000000001</v>
      </c>
      <c r="D209" s="843"/>
      <c r="E209" s="435" t="s">
        <v>552</v>
      </c>
      <c r="F209" s="847"/>
      <c r="G209" s="848"/>
      <c r="H209" s="843"/>
      <c r="I209" s="435"/>
    </row>
    <row r="210" spans="1:9">
      <c r="A210" s="818"/>
      <c r="B210" s="435"/>
      <c r="C210" s="829">
        <v>1.73</v>
      </c>
      <c r="D210" s="843">
        <f>-C210*C209*B209</f>
        <v>-1.903</v>
      </c>
      <c r="E210" s="435"/>
      <c r="F210" s="435"/>
      <c r="G210" s="829"/>
      <c r="H210" s="843"/>
      <c r="I210" s="847" t="s">
        <v>122</v>
      </c>
    </row>
    <row r="211" spans="1:9">
      <c r="A211" s="818"/>
      <c r="B211" s="831"/>
      <c r="C211" s="829"/>
      <c r="D211" s="843"/>
      <c r="E211" s="831"/>
      <c r="F211" s="435">
        <v>4</v>
      </c>
      <c r="G211" s="829">
        <v>8.93</v>
      </c>
      <c r="H211" s="843"/>
      <c r="I211" s="847"/>
    </row>
    <row r="212" spans="1:9">
      <c r="A212" s="818"/>
      <c r="B212" s="839"/>
      <c r="C212" s="935"/>
      <c r="D212" s="838">
        <f>SUM(D183:D210)+SUM(H124:H178)+SUM(D134:D180)</f>
        <v>452.62300000000005</v>
      </c>
      <c r="E212" s="845" t="s">
        <v>2123</v>
      </c>
      <c r="F212" s="435"/>
      <c r="G212" s="829"/>
      <c r="H212" s="843">
        <f>F211*G211</f>
        <v>35.72</v>
      </c>
      <c r="I212" s="847"/>
    </row>
    <row r="213" spans="1:9">
      <c r="A213" s="818"/>
      <c r="B213" s="831"/>
      <c r="C213" s="829"/>
      <c r="D213" s="832"/>
      <c r="E213" s="831"/>
      <c r="F213" s="435">
        <v>2</v>
      </c>
      <c r="G213" s="829">
        <v>44.1</v>
      </c>
      <c r="H213" s="843"/>
      <c r="I213" s="847"/>
    </row>
    <row r="214" spans="1:9">
      <c r="A214" s="818"/>
      <c r="B214" s="435"/>
      <c r="C214" s="938"/>
      <c r="D214" s="843"/>
      <c r="E214" s="847" t="s">
        <v>124</v>
      </c>
      <c r="F214" s="435"/>
      <c r="G214" s="829"/>
      <c r="H214" s="843">
        <f t="shared" ref="H214" si="1">F213*G213</f>
        <v>88.2</v>
      </c>
      <c r="I214" s="847"/>
    </row>
    <row r="215" spans="1:9">
      <c r="A215" s="818"/>
      <c r="B215" s="435"/>
      <c r="C215" s="938"/>
      <c r="D215" s="843"/>
      <c r="E215" s="847" t="s">
        <v>125</v>
      </c>
      <c r="F215" s="831"/>
      <c r="G215" s="829"/>
      <c r="H215" s="832"/>
      <c r="I215" s="833"/>
    </row>
    <row r="216" spans="1:9">
      <c r="A216" s="818"/>
      <c r="B216" s="435">
        <v>1</v>
      </c>
      <c r="C216" s="829">
        <v>17.55</v>
      </c>
      <c r="D216" s="843"/>
      <c r="E216" s="435" t="s">
        <v>559</v>
      </c>
      <c r="F216" s="839"/>
      <c r="G216" s="935"/>
      <c r="H216" s="838">
        <f>SUM(H211:H214)</f>
        <v>123.92</v>
      </c>
      <c r="I216" s="845" t="s">
        <v>2350</v>
      </c>
    </row>
    <row r="217" spans="1:9">
      <c r="A217" s="818"/>
      <c r="B217" s="831"/>
      <c r="C217" s="829">
        <v>44.1</v>
      </c>
      <c r="D217" s="843"/>
      <c r="E217" s="831" t="s">
        <v>560</v>
      </c>
      <c r="F217" s="831"/>
      <c r="G217" s="829"/>
      <c r="H217" s="832"/>
      <c r="I217" s="833"/>
    </row>
    <row r="218" spans="1:9">
      <c r="A218" s="818"/>
      <c r="B218" s="839"/>
      <c r="C218" s="935"/>
      <c r="D218" s="838">
        <f>C216*C217*B216</f>
        <v>773.95500000000004</v>
      </c>
      <c r="E218" s="845" t="s">
        <v>2124</v>
      </c>
      <c r="F218" s="435"/>
      <c r="G218" s="829"/>
      <c r="H218" s="843"/>
      <c r="I218" s="847" t="s">
        <v>561</v>
      </c>
    </row>
    <row r="219" spans="1:9">
      <c r="A219" s="818"/>
      <c r="B219" s="435"/>
      <c r="C219" s="938"/>
      <c r="D219" s="843"/>
      <c r="E219" s="435"/>
      <c r="F219" s="435"/>
      <c r="G219" s="829"/>
      <c r="H219" s="843"/>
      <c r="I219" s="847" t="s">
        <v>128</v>
      </c>
    </row>
    <row r="220" spans="1:9">
      <c r="A220" s="818"/>
      <c r="B220" s="831"/>
      <c r="C220" s="829"/>
      <c r="D220" s="843"/>
      <c r="E220" s="837" t="s">
        <v>2341</v>
      </c>
      <c r="F220" s="435">
        <v>1</v>
      </c>
      <c r="G220" s="829">
        <v>4</v>
      </c>
      <c r="H220" s="843"/>
      <c r="I220" s="847"/>
    </row>
    <row r="221" spans="1:9">
      <c r="A221" s="818"/>
      <c r="B221" s="831"/>
      <c r="C221" s="829"/>
      <c r="D221" s="843"/>
      <c r="E221" s="831" t="s">
        <v>2342</v>
      </c>
      <c r="F221" s="839"/>
      <c r="G221" s="839"/>
      <c r="H221" s="838">
        <f>F220*G220</f>
        <v>4</v>
      </c>
      <c r="I221" s="839" t="s">
        <v>2139</v>
      </c>
    </row>
    <row r="222" spans="1:9">
      <c r="A222" s="818"/>
      <c r="B222" s="831">
        <v>2</v>
      </c>
      <c r="C222" s="829">
        <v>44.1</v>
      </c>
      <c r="D222" s="843"/>
      <c r="E222" s="831" t="s">
        <v>2343</v>
      </c>
      <c r="F222" s="435"/>
      <c r="G222" s="829"/>
      <c r="H222" s="843"/>
      <c r="I222" s="847"/>
    </row>
    <row r="223" spans="1:9">
      <c r="A223" s="818"/>
      <c r="B223" s="831"/>
      <c r="C223" s="829">
        <v>0.6</v>
      </c>
      <c r="D223" s="843">
        <f>B222*C222*C223</f>
        <v>52.92</v>
      </c>
      <c r="E223" s="831" t="s">
        <v>2344</v>
      </c>
      <c r="F223" s="435"/>
      <c r="G223" s="829"/>
      <c r="H223" s="843"/>
      <c r="I223" s="847" t="s">
        <v>130</v>
      </c>
    </row>
    <row r="224" spans="1:9">
      <c r="A224" s="818"/>
      <c r="B224" s="435"/>
      <c r="C224" s="847"/>
      <c r="D224" s="847"/>
      <c r="E224" s="435"/>
      <c r="F224" s="435">
        <v>1</v>
      </c>
      <c r="G224" s="829">
        <v>5</v>
      </c>
      <c r="H224" s="843"/>
      <c r="I224" s="847"/>
    </row>
    <row r="225" spans="1:10">
      <c r="A225" s="818"/>
      <c r="B225" s="831">
        <f>4</f>
        <v>4</v>
      </c>
      <c r="C225" s="829">
        <v>8.9499999999999993</v>
      </c>
      <c r="D225" s="843"/>
      <c r="E225" s="831"/>
      <c r="F225" s="839"/>
      <c r="G225" s="839"/>
      <c r="H225" s="838">
        <f>F224*G224</f>
        <v>5</v>
      </c>
      <c r="I225" s="839" t="s">
        <v>2138</v>
      </c>
    </row>
    <row r="226" spans="1:10">
      <c r="A226" s="818"/>
      <c r="B226" s="831"/>
      <c r="C226" s="829">
        <v>0.6</v>
      </c>
      <c r="D226" s="843">
        <f>B225*C225*C226</f>
        <v>21.479999999999997</v>
      </c>
      <c r="E226" s="831" t="s">
        <v>2345</v>
      </c>
      <c r="F226" s="435"/>
      <c r="G226" s="829"/>
      <c r="H226" s="843"/>
      <c r="I226" s="847"/>
    </row>
    <row r="227" spans="1:10">
      <c r="A227" s="818"/>
      <c r="B227" s="435"/>
      <c r="C227" s="847"/>
      <c r="D227" s="847"/>
      <c r="E227" s="435"/>
      <c r="F227" s="435"/>
      <c r="G227" s="829"/>
      <c r="H227" s="843"/>
      <c r="I227" s="847" t="s">
        <v>132</v>
      </c>
    </row>
    <row r="228" spans="1:10">
      <c r="A228" s="818"/>
      <c r="B228" s="839"/>
      <c r="C228" s="935"/>
      <c r="D228" s="838">
        <f>SUM(D223:D226)</f>
        <v>74.400000000000006</v>
      </c>
      <c r="E228" s="845" t="s">
        <v>2129</v>
      </c>
      <c r="F228" s="435">
        <v>1</v>
      </c>
      <c r="G228" s="829">
        <v>15</v>
      </c>
      <c r="H228" s="843"/>
      <c r="I228" s="847"/>
    </row>
    <row r="229" spans="1:10">
      <c r="A229" s="818"/>
      <c r="B229" s="435"/>
      <c r="C229" s="847"/>
      <c r="D229" s="847"/>
      <c r="E229" s="435"/>
      <c r="F229" s="839"/>
      <c r="G229" s="839"/>
      <c r="H229" s="838">
        <f>F228*G228</f>
        <v>15</v>
      </c>
      <c r="I229" s="839" t="s">
        <v>2137</v>
      </c>
    </row>
    <row r="230" spans="1:10">
      <c r="A230" s="818"/>
      <c r="B230" s="831"/>
      <c r="C230" s="829"/>
      <c r="D230" s="843"/>
      <c r="E230" s="914" t="s">
        <v>2346</v>
      </c>
      <c r="F230" s="435"/>
      <c r="G230" s="829"/>
      <c r="H230" s="843"/>
      <c r="I230" s="847"/>
    </row>
    <row r="231" spans="1:10">
      <c r="A231" s="818"/>
      <c r="B231" s="435">
        <v>1</v>
      </c>
      <c r="C231" s="829">
        <v>44.1</v>
      </c>
      <c r="D231" s="847"/>
      <c r="E231" s="435" t="s">
        <v>133</v>
      </c>
      <c r="F231" s="435"/>
      <c r="G231" s="829"/>
      <c r="H231" s="843"/>
      <c r="I231" s="847" t="s">
        <v>2351</v>
      </c>
    </row>
    <row r="232" spans="1:10">
      <c r="A232" s="818"/>
      <c r="B232" s="831"/>
      <c r="C232" s="829"/>
      <c r="D232" s="843">
        <f>C231*B231</f>
        <v>44.1</v>
      </c>
      <c r="E232" s="831"/>
      <c r="F232" s="435">
        <v>1</v>
      </c>
      <c r="G232" s="829">
        <v>2</v>
      </c>
      <c r="H232" s="843"/>
      <c r="I232" s="847"/>
    </row>
    <row r="233" spans="1:10">
      <c r="A233" s="818"/>
      <c r="B233" s="435"/>
      <c r="C233" s="829">
        <v>8.93</v>
      </c>
      <c r="D233" s="847"/>
      <c r="E233" s="435"/>
      <c r="F233" s="839"/>
      <c r="G233" s="839"/>
      <c r="H233" s="838">
        <f>F232*G232</f>
        <v>2</v>
      </c>
      <c r="I233" s="839" t="s">
        <v>2354</v>
      </c>
    </row>
    <row r="234" spans="1:10">
      <c r="A234" s="818"/>
      <c r="B234" s="831">
        <v>4</v>
      </c>
      <c r="C234" s="829">
        <v>0.5</v>
      </c>
      <c r="D234" s="843"/>
      <c r="E234" s="831"/>
      <c r="F234" s="435"/>
      <c r="G234" s="829"/>
      <c r="H234" s="843"/>
      <c r="I234" s="847"/>
    </row>
    <row r="235" spans="1:10">
      <c r="A235" s="818"/>
      <c r="B235" s="435"/>
      <c r="C235" s="829"/>
      <c r="D235" s="843">
        <f>C234*B234*C233</f>
        <v>17.86</v>
      </c>
      <c r="E235" s="435"/>
      <c r="F235" s="435"/>
      <c r="G235" s="829"/>
      <c r="H235" s="843"/>
      <c r="I235" s="847" t="s">
        <v>2352</v>
      </c>
    </row>
    <row r="236" spans="1:10">
      <c r="A236" s="818"/>
      <c r="B236" s="831"/>
      <c r="C236" s="829"/>
      <c r="D236" s="843"/>
      <c r="E236" s="831"/>
      <c r="F236" s="435">
        <v>1</v>
      </c>
      <c r="G236" s="829">
        <v>7</v>
      </c>
      <c r="H236" s="843"/>
      <c r="I236" s="847"/>
    </row>
    <row r="237" spans="1:10">
      <c r="A237" s="818"/>
      <c r="B237" s="839"/>
      <c r="C237" s="935"/>
      <c r="D237" s="838">
        <f>SUM(D232:D235)</f>
        <v>61.96</v>
      </c>
      <c r="E237" s="845" t="s">
        <v>2347</v>
      </c>
      <c r="F237" s="839"/>
      <c r="G237" s="839"/>
      <c r="H237" s="838">
        <f>F236*G236</f>
        <v>7</v>
      </c>
      <c r="I237" s="839" t="s">
        <v>2353</v>
      </c>
    </row>
    <row r="238" spans="1:10">
      <c r="A238" s="818"/>
      <c r="B238" s="849"/>
      <c r="C238" s="850"/>
      <c r="D238" s="928"/>
      <c r="E238" s="849"/>
      <c r="F238" s="849"/>
      <c r="G238" s="850"/>
      <c r="H238" s="851"/>
      <c r="I238" s="852"/>
    </row>
    <row r="239" spans="1:10">
      <c r="A239" s="828"/>
      <c r="B239" s="853" t="s">
        <v>1884</v>
      </c>
      <c r="C239" s="854" t="s">
        <v>526</v>
      </c>
      <c r="D239" s="855" t="s">
        <v>1885</v>
      </c>
      <c r="E239" s="854" t="s">
        <v>1886</v>
      </c>
      <c r="F239" s="853" t="s">
        <v>1884</v>
      </c>
      <c r="G239" s="855" t="s">
        <v>526</v>
      </c>
      <c r="H239" s="856" t="s">
        <v>1885</v>
      </c>
      <c r="I239" s="854" t="s">
        <v>1886</v>
      </c>
      <c r="J239" s="828"/>
    </row>
    <row r="240" spans="1:10">
      <c r="A240" s="818"/>
      <c r="B240" s="435"/>
      <c r="C240" s="829"/>
      <c r="D240" s="843"/>
      <c r="E240" s="847" t="s">
        <v>135</v>
      </c>
      <c r="F240" s="435">
        <v>1</v>
      </c>
      <c r="G240" s="829">
        <v>1.3</v>
      </c>
      <c r="H240" s="843"/>
      <c r="I240" s="435" t="s">
        <v>365</v>
      </c>
    </row>
    <row r="241" spans="1:9">
      <c r="A241" s="818"/>
      <c r="B241" s="435"/>
      <c r="C241" s="829"/>
      <c r="D241" s="843"/>
      <c r="E241" s="435" t="s">
        <v>137</v>
      </c>
      <c r="F241" s="435"/>
      <c r="G241" s="829">
        <v>1.73</v>
      </c>
      <c r="H241" s="843">
        <f>-G240*G241*F240</f>
        <v>-2.2490000000000001</v>
      </c>
      <c r="I241" s="435"/>
    </row>
    <row r="242" spans="1:9">
      <c r="A242" s="818"/>
      <c r="B242" s="435">
        <v>1</v>
      </c>
      <c r="C242" s="829">
        <v>22</v>
      </c>
      <c r="D242" s="843"/>
      <c r="E242" s="435"/>
      <c r="F242" s="435"/>
      <c r="G242" s="829"/>
      <c r="H242" s="843"/>
      <c r="I242" s="435"/>
    </row>
    <row r="243" spans="1:9">
      <c r="A243" s="818"/>
      <c r="B243" s="839"/>
      <c r="C243" s="839"/>
      <c r="D243" s="838">
        <f>B242*C242</f>
        <v>22</v>
      </c>
      <c r="E243" s="839" t="s">
        <v>2136</v>
      </c>
      <c r="F243" s="435">
        <v>2</v>
      </c>
      <c r="G243" s="829">
        <v>1.1000000000000001</v>
      </c>
      <c r="H243" s="843"/>
      <c r="I243" s="435" t="s">
        <v>505</v>
      </c>
    </row>
    <row r="244" spans="1:9">
      <c r="A244" s="818"/>
      <c r="B244" s="435"/>
      <c r="C244" s="435"/>
      <c r="D244" s="435"/>
      <c r="E244" s="435"/>
      <c r="F244" s="435"/>
      <c r="G244" s="829">
        <v>1.73</v>
      </c>
      <c r="H244" s="843">
        <f>-G243*G244*F243</f>
        <v>-3.806</v>
      </c>
      <c r="I244" s="435"/>
    </row>
    <row r="245" spans="1:9">
      <c r="A245" s="818"/>
      <c r="B245" s="435"/>
      <c r="C245" s="829"/>
      <c r="D245" s="843"/>
      <c r="E245" s="435" t="s">
        <v>138</v>
      </c>
      <c r="F245" s="435"/>
      <c r="G245" s="829"/>
      <c r="H245" s="843"/>
      <c r="I245" s="435"/>
    </row>
    <row r="246" spans="1:9">
      <c r="A246" s="818"/>
      <c r="B246" s="435">
        <v>1</v>
      </c>
      <c r="C246" s="829">
        <v>3</v>
      </c>
      <c r="D246" s="843"/>
      <c r="E246" s="435"/>
      <c r="F246" s="435">
        <v>2</v>
      </c>
      <c r="G246" s="829">
        <v>1</v>
      </c>
      <c r="H246" s="843"/>
      <c r="I246" s="435" t="s">
        <v>513</v>
      </c>
    </row>
    <row r="247" spans="1:9">
      <c r="A247" s="818"/>
      <c r="B247" s="839"/>
      <c r="C247" s="839"/>
      <c r="D247" s="838">
        <f>B246*C246</f>
        <v>3</v>
      </c>
      <c r="E247" s="839" t="s">
        <v>2135</v>
      </c>
      <c r="F247" s="435"/>
      <c r="G247" s="829">
        <v>1.73</v>
      </c>
      <c r="H247" s="843">
        <f>-G246*G247*F246</f>
        <v>-3.46</v>
      </c>
      <c r="I247" s="435"/>
    </row>
    <row r="248" spans="1:9">
      <c r="A248" s="818"/>
      <c r="B248" s="435"/>
      <c r="C248" s="435"/>
      <c r="D248" s="435"/>
      <c r="E248" s="435"/>
      <c r="F248" s="435"/>
      <c r="G248" s="829"/>
      <c r="H248" s="843"/>
      <c r="I248" s="435"/>
    </row>
    <row r="249" spans="1:9">
      <c r="A249" s="818"/>
      <c r="B249" s="435"/>
      <c r="C249" s="829"/>
      <c r="D249" s="843"/>
      <c r="E249" s="435" t="s">
        <v>1203</v>
      </c>
      <c r="F249" s="435">
        <v>1</v>
      </c>
      <c r="G249" s="829">
        <v>1.4</v>
      </c>
      <c r="H249" s="843"/>
      <c r="I249" s="435" t="s">
        <v>573</v>
      </c>
    </row>
    <row r="250" spans="1:9">
      <c r="A250" s="818"/>
      <c r="B250" s="435">
        <v>2</v>
      </c>
      <c r="C250" s="829">
        <v>2</v>
      </c>
      <c r="D250" s="843"/>
      <c r="E250" s="435"/>
      <c r="F250" s="435"/>
      <c r="G250" s="829">
        <v>2.73</v>
      </c>
      <c r="H250" s="843">
        <f>-G249*G250*F249</f>
        <v>-3.8219999999999996</v>
      </c>
      <c r="I250" s="435"/>
    </row>
    <row r="251" spans="1:9">
      <c r="A251" s="818"/>
      <c r="B251" s="839"/>
      <c r="C251" s="839"/>
      <c r="D251" s="838">
        <f>B250*C250</f>
        <v>4</v>
      </c>
      <c r="E251" s="839" t="s">
        <v>2360</v>
      </c>
      <c r="F251" s="435"/>
      <c r="G251" s="829"/>
      <c r="H251" s="843"/>
      <c r="I251" s="435"/>
    </row>
    <row r="252" spans="1:9">
      <c r="A252" s="818"/>
      <c r="B252" s="435"/>
      <c r="C252" s="435"/>
      <c r="D252" s="435"/>
      <c r="E252" s="435"/>
      <c r="F252" s="435">
        <v>1</v>
      </c>
      <c r="G252" s="829">
        <v>1.3</v>
      </c>
      <c r="H252" s="843"/>
      <c r="I252" s="435" t="s">
        <v>574</v>
      </c>
    </row>
    <row r="253" spans="1:9">
      <c r="A253" s="818"/>
      <c r="B253" s="435"/>
      <c r="C253" s="829"/>
      <c r="D253" s="843"/>
      <c r="E253" s="435" t="s">
        <v>566</v>
      </c>
      <c r="F253" s="435"/>
      <c r="G253" s="829">
        <v>2.73</v>
      </c>
      <c r="H253" s="843">
        <f>-G252*G253*F252</f>
        <v>-3.5489999999999999</v>
      </c>
      <c r="I253" s="435"/>
    </row>
    <row r="254" spans="1:9">
      <c r="A254" s="818"/>
      <c r="B254" s="435">
        <v>1</v>
      </c>
      <c r="C254" s="829">
        <v>3</v>
      </c>
      <c r="D254" s="843"/>
      <c r="E254" s="435"/>
      <c r="F254" s="435"/>
      <c r="G254" s="829"/>
      <c r="H254" s="843"/>
      <c r="I254" s="435"/>
    </row>
    <row r="255" spans="1:9">
      <c r="A255" s="818"/>
      <c r="B255" s="839"/>
      <c r="C255" s="839"/>
      <c r="D255" s="838">
        <f>B254*C254</f>
        <v>3</v>
      </c>
      <c r="E255" s="839" t="s">
        <v>2359</v>
      </c>
      <c r="F255" s="435">
        <v>2</v>
      </c>
      <c r="G255" s="829">
        <v>15.55</v>
      </c>
      <c r="H255" s="843"/>
      <c r="I255" s="435" t="s">
        <v>575</v>
      </c>
    </row>
    <row r="256" spans="1:9">
      <c r="A256" s="818"/>
      <c r="B256" s="435"/>
      <c r="C256" s="435"/>
      <c r="D256" s="435"/>
      <c r="E256" s="435"/>
      <c r="F256" s="435"/>
      <c r="G256" s="829">
        <v>2.73</v>
      </c>
      <c r="H256" s="843">
        <f>G256*G255*F255</f>
        <v>84.903000000000006</v>
      </c>
      <c r="I256" s="435"/>
    </row>
    <row r="257" spans="1:9">
      <c r="A257" s="818"/>
      <c r="B257" s="435"/>
      <c r="C257" s="829"/>
      <c r="D257" s="843"/>
      <c r="E257" s="847" t="s">
        <v>562</v>
      </c>
      <c r="F257" s="435"/>
      <c r="G257" s="829"/>
      <c r="H257" s="843"/>
      <c r="I257" s="435"/>
    </row>
    <row r="258" spans="1:9">
      <c r="A258" s="818"/>
      <c r="B258" s="435"/>
      <c r="C258" s="829"/>
      <c r="D258" s="843"/>
      <c r="E258" s="435" t="s">
        <v>563</v>
      </c>
      <c r="F258" s="435">
        <v>2</v>
      </c>
      <c r="G258" s="829">
        <v>1.5</v>
      </c>
      <c r="H258" s="843"/>
      <c r="I258" s="435" t="s">
        <v>212</v>
      </c>
    </row>
    <row r="259" spans="1:9">
      <c r="A259" s="818"/>
      <c r="B259" s="435">
        <v>1</v>
      </c>
      <c r="C259" s="829">
        <v>2</v>
      </c>
      <c r="D259" s="843"/>
      <c r="E259" s="435"/>
      <c r="F259" s="435"/>
      <c r="G259" s="829">
        <v>1.73</v>
      </c>
      <c r="H259" s="843">
        <f>-G258*G259*F258</f>
        <v>-5.1899999999999995</v>
      </c>
      <c r="I259" s="435"/>
    </row>
    <row r="260" spans="1:9">
      <c r="A260" s="818"/>
      <c r="B260" s="839"/>
      <c r="C260" s="839"/>
      <c r="D260" s="838">
        <f>B259*C259</f>
        <v>2</v>
      </c>
      <c r="E260" s="839" t="s">
        <v>2358</v>
      </c>
      <c r="F260" s="435"/>
      <c r="G260" s="829"/>
      <c r="H260" s="843"/>
      <c r="I260" s="435"/>
    </row>
    <row r="261" spans="1:9">
      <c r="A261" s="818"/>
      <c r="B261" s="435"/>
      <c r="C261" s="435"/>
      <c r="D261" s="435"/>
      <c r="E261" s="435"/>
      <c r="F261" s="435">
        <v>2</v>
      </c>
      <c r="G261" s="829">
        <v>1.5</v>
      </c>
      <c r="H261" s="843"/>
      <c r="I261" s="435" t="s">
        <v>212</v>
      </c>
    </row>
    <row r="262" spans="1:9">
      <c r="A262" s="818"/>
      <c r="B262" s="435"/>
      <c r="C262" s="829"/>
      <c r="D262" s="843"/>
      <c r="E262" s="435" t="s">
        <v>564</v>
      </c>
      <c r="F262" s="435"/>
      <c r="G262" s="829">
        <v>0.6</v>
      </c>
      <c r="H262" s="843">
        <f>-G261*G262*F261</f>
        <v>-1.7999999999999998</v>
      </c>
      <c r="I262" s="435"/>
    </row>
    <row r="263" spans="1:9">
      <c r="A263" s="818"/>
      <c r="B263" s="435">
        <v>1</v>
      </c>
      <c r="C263" s="829">
        <v>4</v>
      </c>
      <c r="D263" s="843"/>
      <c r="E263" s="435"/>
      <c r="F263" s="435"/>
      <c r="G263" s="829"/>
      <c r="H263" s="843"/>
      <c r="I263" s="435"/>
    </row>
    <row r="264" spans="1:9">
      <c r="A264" s="818"/>
      <c r="B264" s="839"/>
      <c r="C264" s="839"/>
      <c r="D264" s="838">
        <f>B263*C263</f>
        <v>4</v>
      </c>
      <c r="E264" s="839" t="s">
        <v>2133</v>
      </c>
      <c r="F264" s="435">
        <v>1</v>
      </c>
      <c r="G264" s="829">
        <v>1.1000000000000001</v>
      </c>
      <c r="H264" s="843"/>
      <c r="I264" s="435" t="s">
        <v>568</v>
      </c>
    </row>
    <row r="265" spans="1:9">
      <c r="A265" s="818"/>
      <c r="B265" s="435"/>
      <c r="C265" s="435"/>
      <c r="D265" s="435"/>
      <c r="E265" s="435"/>
      <c r="F265" s="435"/>
      <c r="G265" s="829">
        <v>1.73</v>
      </c>
      <c r="H265" s="843">
        <f>-G264*G265*F264</f>
        <v>-1.903</v>
      </c>
      <c r="I265" s="435"/>
    </row>
    <row r="266" spans="1:9">
      <c r="A266" s="818"/>
      <c r="B266" s="435"/>
      <c r="C266" s="829"/>
      <c r="D266" s="843"/>
      <c r="E266" s="435" t="s">
        <v>565</v>
      </c>
      <c r="F266" s="435"/>
      <c r="G266" s="829"/>
      <c r="H266" s="843"/>
      <c r="I266" s="435"/>
    </row>
    <row r="267" spans="1:9">
      <c r="A267" s="818"/>
      <c r="B267" s="435">
        <v>1</v>
      </c>
      <c r="C267" s="829">
        <v>2</v>
      </c>
      <c r="D267" s="843"/>
      <c r="E267" s="435"/>
      <c r="F267" s="435">
        <v>1</v>
      </c>
      <c r="G267" s="829">
        <v>1.4</v>
      </c>
      <c r="H267" s="843"/>
      <c r="I267" s="435" t="s">
        <v>569</v>
      </c>
    </row>
    <row r="268" spans="1:9">
      <c r="A268" s="818"/>
      <c r="B268" s="839"/>
      <c r="C268" s="839"/>
      <c r="D268" s="838">
        <f>B267*C267</f>
        <v>2</v>
      </c>
      <c r="E268" s="839" t="s">
        <v>2357</v>
      </c>
      <c r="F268" s="435"/>
      <c r="G268" s="829">
        <v>2.73</v>
      </c>
      <c r="H268" s="843">
        <f>-G267*G268*F267</f>
        <v>-3.8219999999999996</v>
      </c>
      <c r="I268" s="435"/>
    </row>
    <row r="269" spans="1:9">
      <c r="A269" s="818"/>
      <c r="B269" s="435"/>
      <c r="C269" s="829"/>
      <c r="D269" s="843"/>
      <c r="E269" s="435"/>
      <c r="F269" s="435"/>
      <c r="G269" s="829"/>
      <c r="H269" s="843"/>
      <c r="I269" s="435"/>
    </row>
    <row r="270" spans="1:9">
      <c r="A270" s="818"/>
      <c r="B270" s="435"/>
      <c r="C270" s="829"/>
      <c r="D270" s="843"/>
      <c r="E270" s="435" t="s">
        <v>2355</v>
      </c>
      <c r="F270" s="435">
        <v>2</v>
      </c>
      <c r="G270" s="829">
        <v>0.9</v>
      </c>
      <c r="H270" s="843"/>
      <c r="I270" s="435" t="s">
        <v>520</v>
      </c>
    </row>
    <row r="271" spans="1:9">
      <c r="A271" s="818"/>
      <c r="B271" s="435">
        <v>1</v>
      </c>
      <c r="C271" s="829">
        <v>1</v>
      </c>
      <c r="D271" s="843"/>
      <c r="E271" s="435"/>
      <c r="F271" s="435"/>
      <c r="G271" s="829">
        <v>2.73</v>
      </c>
      <c r="H271" s="843">
        <f>-G270*G271*F270</f>
        <v>-4.9139999999999997</v>
      </c>
      <c r="I271" s="435"/>
    </row>
    <row r="272" spans="1:9">
      <c r="A272" s="818"/>
      <c r="B272" s="839"/>
      <c r="C272" s="839"/>
      <c r="D272" s="838">
        <f>B271*C271</f>
        <v>1</v>
      </c>
      <c r="E272" s="839" t="s">
        <v>2356</v>
      </c>
      <c r="F272" s="435"/>
      <c r="G272" s="829"/>
      <c r="H272" s="843"/>
      <c r="I272" s="435"/>
    </row>
    <row r="273" spans="1:9">
      <c r="A273" s="818"/>
      <c r="B273" s="435"/>
      <c r="C273" s="829"/>
      <c r="D273" s="843"/>
      <c r="E273" s="435"/>
      <c r="F273" s="435">
        <v>2</v>
      </c>
      <c r="G273" s="829">
        <v>0.5</v>
      </c>
      <c r="H273" s="843"/>
      <c r="I273" s="435"/>
    </row>
    <row r="274" spans="1:9">
      <c r="A274" s="818"/>
      <c r="B274" s="435"/>
      <c r="C274" s="829"/>
      <c r="D274" s="843"/>
      <c r="E274" s="2153" t="s">
        <v>140</v>
      </c>
      <c r="F274" s="435"/>
      <c r="G274" s="829">
        <v>2.73</v>
      </c>
      <c r="H274" s="843">
        <f>G274*G273*F273</f>
        <v>2.73</v>
      </c>
      <c r="I274" s="435"/>
    </row>
    <row r="275" spans="1:9">
      <c r="A275" s="818"/>
      <c r="B275" s="435"/>
      <c r="C275" s="829"/>
      <c r="D275" s="843"/>
      <c r="E275" s="2153"/>
      <c r="F275" s="435"/>
      <c r="G275" s="829"/>
      <c r="H275" s="843"/>
      <c r="I275" s="435"/>
    </row>
    <row r="276" spans="1:9">
      <c r="A276" s="818"/>
      <c r="E276" s="2153"/>
      <c r="F276" s="435">
        <v>2</v>
      </c>
      <c r="G276" s="829">
        <v>42.9</v>
      </c>
      <c r="H276" s="843"/>
      <c r="I276" s="435" t="s">
        <v>417</v>
      </c>
    </row>
    <row r="277" spans="1:9">
      <c r="A277" s="818"/>
      <c r="B277" s="435">
        <v>1</v>
      </c>
      <c r="C277" s="829">
        <v>41.1</v>
      </c>
      <c r="D277" s="843"/>
      <c r="E277" s="435" t="s">
        <v>567</v>
      </c>
      <c r="F277" s="435"/>
      <c r="G277" s="829">
        <v>0.2</v>
      </c>
      <c r="H277" s="843">
        <f>G277*G276*F276</f>
        <v>17.16</v>
      </c>
      <c r="I277" s="435"/>
    </row>
    <row r="278" spans="1:9">
      <c r="A278" s="818"/>
      <c r="B278" s="435"/>
      <c r="C278" s="829">
        <v>2.73</v>
      </c>
      <c r="D278" s="843">
        <f>C278*C277*B277</f>
        <v>112.203</v>
      </c>
      <c r="E278" s="435"/>
      <c r="F278" s="435"/>
      <c r="G278" s="829"/>
      <c r="H278" s="843"/>
      <c r="I278" s="435"/>
    </row>
    <row r="279" spans="1:9">
      <c r="A279" s="818"/>
      <c r="B279" s="435"/>
      <c r="C279" s="829"/>
      <c r="D279" s="843"/>
      <c r="E279" s="435"/>
      <c r="F279" s="435">
        <v>2</v>
      </c>
      <c r="G279" s="829">
        <v>1.1499999999999999</v>
      </c>
      <c r="H279" s="843"/>
      <c r="I279" s="435" t="s">
        <v>417</v>
      </c>
    </row>
    <row r="280" spans="1:9">
      <c r="A280" s="818"/>
      <c r="B280" s="435">
        <v>10</v>
      </c>
      <c r="C280" s="829">
        <v>1.5</v>
      </c>
      <c r="D280" s="843"/>
      <c r="E280" s="435" t="s">
        <v>504</v>
      </c>
      <c r="F280" s="435"/>
      <c r="G280" s="829">
        <v>16.350000000000001</v>
      </c>
      <c r="H280" s="843">
        <f>G280*G279*F279</f>
        <v>37.604999999999997</v>
      </c>
      <c r="I280" s="435"/>
    </row>
    <row r="281" spans="1:9">
      <c r="A281" s="818"/>
      <c r="B281" s="435"/>
      <c r="C281" s="829">
        <v>1.73</v>
      </c>
      <c r="D281" s="843">
        <f>-C280*C281*B280</f>
        <v>-25.949999999999996</v>
      </c>
      <c r="E281" s="435"/>
      <c r="F281" s="435"/>
      <c r="G281" s="829"/>
      <c r="H281" s="435"/>
      <c r="I281" s="435"/>
    </row>
    <row r="282" spans="1:9">
      <c r="A282" s="818"/>
      <c r="B282" s="435"/>
      <c r="C282" s="829"/>
      <c r="D282" s="843"/>
      <c r="E282" s="435"/>
      <c r="F282" s="839"/>
      <c r="G282" s="839"/>
      <c r="H282" s="838">
        <f>SUM(H241:H280)+SUM(D278:D296)</f>
        <v>267.30100000000004</v>
      </c>
      <c r="I282" s="839" t="s">
        <v>2182</v>
      </c>
    </row>
    <row r="283" spans="1:9">
      <c r="A283" s="818"/>
      <c r="B283" s="435">
        <v>2</v>
      </c>
      <c r="C283" s="829">
        <v>1.1000000000000001</v>
      </c>
      <c r="D283" s="843"/>
      <c r="E283" s="435" t="s">
        <v>505</v>
      </c>
      <c r="F283" s="435"/>
      <c r="G283" s="829"/>
      <c r="H283" s="843"/>
      <c r="I283" s="435"/>
    </row>
    <row r="284" spans="1:9">
      <c r="A284" s="818"/>
      <c r="B284" s="435"/>
      <c r="C284" s="829">
        <v>1.73</v>
      </c>
      <c r="D284" s="843">
        <f>-C283*C284*B283</f>
        <v>-3.806</v>
      </c>
      <c r="E284" s="435"/>
      <c r="F284" s="435"/>
      <c r="G284" s="829"/>
      <c r="H284" s="843"/>
      <c r="I284" s="847" t="s">
        <v>151</v>
      </c>
    </row>
    <row r="285" spans="1:9">
      <c r="A285" s="818"/>
      <c r="B285" s="435"/>
      <c r="C285" s="829"/>
      <c r="D285" s="843"/>
      <c r="E285" s="435"/>
      <c r="F285" s="435"/>
      <c r="G285" s="435"/>
      <c r="H285" s="435"/>
      <c r="I285" s="847" t="s">
        <v>153</v>
      </c>
    </row>
    <row r="286" spans="1:9">
      <c r="A286" s="818"/>
      <c r="B286" s="435">
        <v>2</v>
      </c>
      <c r="C286" s="829">
        <v>0.9</v>
      </c>
      <c r="D286" s="843"/>
      <c r="E286" s="435" t="s">
        <v>570</v>
      </c>
      <c r="F286" s="435">
        <v>1</v>
      </c>
      <c r="G286" s="829">
        <v>17</v>
      </c>
      <c r="H286" s="843"/>
      <c r="I286" s="435" t="s">
        <v>576</v>
      </c>
    </row>
    <row r="287" spans="1:9">
      <c r="A287" s="818"/>
      <c r="B287" s="435"/>
      <c r="C287" s="829">
        <v>2.73</v>
      </c>
      <c r="D287" s="843">
        <f>-C286*C287*B286</f>
        <v>-4.9139999999999997</v>
      </c>
      <c r="E287" s="435"/>
      <c r="F287" s="435"/>
      <c r="G287" s="829">
        <v>3.06</v>
      </c>
      <c r="H287" s="843">
        <f>G286*G287*F286</f>
        <v>52.02</v>
      </c>
      <c r="I287" s="435" t="s">
        <v>577</v>
      </c>
    </row>
    <row r="288" spans="1:9">
      <c r="A288" s="818"/>
      <c r="B288" s="435"/>
      <c r="C288" s="829"/>
      <c r="D288" s="843"/>
      <c r="E288" s="435"/>
      <c r="F288" s="435"/>
      <c r="G288" s="829"/>
      <c r="H288" s="843"/>
      <c r="I288" s="435"/>
    </row>
    <row r="289" spans="1:9">
      <c r="A289" s="818"/>
      <c r="B289" s="435">
        <v>2</v>
      </c>
      <c r="C289" s="829">
        <v>0.8</v>
      </c>
      <c r="D289" s="843"/>
      <c r="E289" s="435" t="s">
        <v>571</v>
      </c>
      <c r="F289" s="435">
        <v>2</v>
      </c>
      <c r="G289" s="829">
        <v>1.5</v>
      </c>
      <c r="H289" s="843"/>
      <c r="I289" s="435" t="s">
        <v>212</v>
      </c>
    </row>
    <row r="290" spans="1:9">
      <c r="A290" s="818"/>
      <c r="B290" s="435"/>
      <c r="C290" s="829">
        <v>2.73</v>
      </c>
      <c r="D290" s="843">
        <f>-C289*C290*B289</f>
        <v>-4.3680000000000003</v>
      </c>
      <c r="E290" s="435"/>
      <c r="F290" s="435"/>
      <c r="G290" s="829">
        <v>1.73</v>
      </c>
      <c r="H290" s="843">
        <f>-G289*G290*F289</f>
        <v>-5.1899999999999995</v>
      </c>
      <c r="I290" s="435"/>
    </row>
    <row r="291" spans="1:9">
      <c r="A291" s="818"/>
      <c r="B291" s="435"/>
      <c r="C291" s="829"/>
      <c r="D291" s="843"/>
      <c r="E291" s="435"/>
      <c r="F291" s="435"/>
      <c r="G291" s="829"/>
      <c r="H291" s="843"/>
      <c r="I291" s="435"/>
    </row>
    <row r="292" spans="1:9">
      <c r="A292" s="818"/>
      <c r="B292" s="435">
        <v>1</v>
      </c>
      <c r="C292" s="829">
        <v>41.1</v>
      </c>
      <c r="D292" s="843"/>
      <c r="E292" s="435" t="s">
        <v>572</v>
      </c>
      <c r="F292" s="435">
        <v>1</v>
      </c>
      <c r="G292" s="829">
        <v>1.3</v>
      </c>
      <c r="H292" s="843"/>
      <c r="I292" s="435" t="s">
        <v>578</v>
      </c>
    </row>
    <row r="293" spans="1:9">
      <c r="A293" s="818"/>
      <c r="B293" s="435"/>
      <c r="C293" s="829">
        <v>2.73</v>
      </c>
      <c r="D293" s="843">
        <f>C293*C292*B292</f>
        <v>112.203</v>
      </c>
      <c r="E293" s="435"/>
      <c r="F293" s="435"/>
      <c r="G293" s="829">
        <v>2.73</v>
      </c>
      <c r="H293" s="843">
        <f>-G292*G293*F292</f>
        <v>-3.5489999999999999</v>
      </c>
      <c r="I293" s="435"/>
    </row>
    <row r="294" spans="1:9">
      <c r="A294" s="818"/>
      <c r="B294" s="435"/>
      <c r="C294" s="829"/>
      <c r="D294" s="843"/>
      <c r="E294" s="435"/>
      <c r="F294" s="435"/>
      <c r="G294" s="829"/>
      <c r="H294" s="843"/>
      <c r="I294" s="435"/>
    </row>
    <row r="295" spans="1:9">
      <c r="A295" s="818"/>
      <c r="B295" s="435">
        <v>10</v>
      </c>
      <c r="C295" s="829">
        <v>1.5</v>
      </c>
      <c r="D295" s="843"/>
      <c r="E295" s="435" t="s">
        <v>504</v>
      </c>
      <c r="F295" s="435">
        <v>1</v>
      </c>
      <c r="G295" s="829">
        <v>0.9</v>
      </c>
      <c r="H295" s="843"/>
      <c r="I295" s="435" t="s">
        <v>72</v>
      </c>
    </row>
    <row r="296" spans="1:9">
      <c r="A296" s="818"/>
      <c r="B296" s="435"/>
      <c r="C296" s="829">
        <v>1.73</v>
      </c>
      <c r="D296" s="843">
        <f>-C295*C296*B295</f>
        <v>-25.949999999999996</v>
      </c>
      <c r="E296" s="435"/>
      <c r="F296" s="435"/>
      <c r="G296" s="829">
        <v>2.73</v>
      </c>
      <c r="H296" s="843">
        <f>-G295*G296*F295</f>
        <v>-2.4569999999999999</v>
      </c>
      <c r="I296" s="1"/>
    </row>
    <row r="297" spans="1:9">
      <c r="A297" s="818"/>
      <c r="B297" s="849"/>
      <c r="C297" s="850"/>
      <c r="D297" s="928"/>
      <c r="E297" s="849"/>
      <c r="F297" s="849"/>
      <c r="G297" s="850"/>
      <c r="H297" s="851"/>
      <c r="I297" s="852"/>
    </row>
    <row r="298" spans="1:9">
      <c r="A298" s="818"/>
      <c r="B298" s="853" t="s">
        <v>1884</v>
      </c>
      <c r="C298" s="854" t="s">
        <v>526</v>
      </c>
      <c r="D298" s="855" t="s">
        <v>1885</v>
      </c>
      <c r="E298" s="854" t="s">
        <v>1886</v>
      </c>
      <c r="F298" s="853" t="s">
        <v>1884</v>
      </c>
      <c r="G298" s="855" t="s">
        <v>526</v>
      </c>
      <c r="H298" s="856" t="s">
        <v>1885</v>
      </c>
      <c r="I298" s="854" t="s">
        <v>1886</v>
      </c>
    </row>
    <row r="299" spans="1:9">
      <c r="A299" s="818"/>
      <c r="B299" s="435">
        <v>1</v>
      </c>
      <c r="C299" s="829">
        <v>17.2</v>
      </c>
      <c r="D299" s="843"/>
      <c r="E299" s="435" t="s">
        <v>580</v>
      </c>
      <c r="F299" s="435">
        <v>1</v>
      </c>
      <c r="G299" s="829">
        <v>10.199999999999999</v>
      </c>
      <c r="H299" s="843"/>
      <c r="I299" s="442" t="s">
        <v>84</v>
      </c>
    </row>
    <row r="300" spans="1:9">
      <c r="A300" s="818"/>
      <c r="B300" s="435"/>
      <c r="C300" s="829">
        <v>3.06</v>
      </c>
      <c r="D300" s="843">
        <f>C299*C300*B299</f>
        <v>52.631999999999998</v>
      </c>
      <c r="E300" s="435" t="s">
        <v>581</v>
      </c>
      <c r="F300" s="435"/>
      <c r="G300" s="829">
        <v>3.06</v>
      </c>
      <c r="H300" s="843">
        <f>G299*G300*F299</f>
        <v>31.212</v>
      </c>
      <c r="I300" s="442"/>
    </row>
    <row r="301" spans="1:9">
      <c r="A301" s="818"/>
      <c r="B301" s="435"/>
      <c r="C301" s="829"/>
      <c r="D301" s="843"/>
      <c r="E301" s="435"/>
      <c r="F301" s="435"/>
      <c r="G301" s="829"/>
      <c r="H301" s="843"/>
      <c r="I301" s="442"/>
    </row>
    <row r="302" spans="1:9">
      <c r="A302" s="818"/>
      <c r="B302" s="435">
        <v>1</v>
      </c>
      <c r="C302" s="829">
        <v>1.5</v>
      </c>
      <c r="D302" s="843"/>
      <c r="E302" s="435" t="s">
        <v>360</v>
      </c>
      <c r="F302" s="435">
        <v>1</v>
      </c>
      <c r="G302" s="829">
        <v>10.8</v>
      </c>
      <c r="H302" s="843"/>
      <c r="I302" s="442"/>
    </row>
    <row r="303" spans="1:9">
      <c r="A303" s="818"/>
      <c r="B303" s="435"/>
      <c r="C303" s="829">
        <v>1.73</v>
      </c>
      <c r="D303" s="843">
        <f>-C302*C303*B302</f>
        <v>-2.5949999999999998</v>
      </c>
      <c r="E303" s="435"/>
      <c r="F303" s="435"/>
      <c r="G303" s="829">
        <v>3.06</v>
      </c>
      <c r="H303" s="843">
        <f>G302*G303*F302</f>
        <v>33.048000000000002</v>
      </c>
      <c r="I303" s="442"/>
    </row>
    <row r="304" spans="1:9">
      <c r="A304" s="818"/>
      <c r="B304" s="435"/>
      <c r="C304" s="829"/>
      <c r="D304" s="843"/>
      <c r="E304" s="435"/>
      <c r="F304" s="435"/>
      <c r="G304" s="829"/>
      <c r="H304" s="843"/>
      <c r="I304" s="442"/>
    </row>
    <row r="305" spans="1:9">
      <c r="A305" s="818"/>
      <c r="B305" s="435">
        <v>1</v>
      </c>
      <c r="C305" s="829">
        <v>0.9</v>
      </c>
      <c r="D305" s="843"/>
      <c r="E305" s="435" t="s">
        <v>582</v>
      </c>
      <c r="F305" s="435">
        <v>1</v>
      </c>
      <c r="G305" s="829">
        <v>0.8</v>
      </c>
      <c r="H305" s="843"/>
      <c r="I305" s="442" t="s">
        <v>99</v>
      </c>
    </row>
    <row r="306" spans="1:9">
      <c r="A306" s="818"/>
      <c r="B306" s="435"/>
      <c r="C306" s="829">
        <v>2.73</v>
      </c>
      <c r="D306" s="843">
        <f>-C305*C306*B305</f>
        <v>-2.4569999999999999</v>
      </c>
      <c r="E306" s="435"/>
      <c r="F306" s="435"/>
      <c r="G306" s="829">
        <v>2.73</v>
      </c>
      <c r="H306" s="843">
        <f>-G306*G305*F305</f>
        <v>-2.1840000000000002</v>
      </c>
      <c r="I306" s="442"/>
    </row>
    <row r="307" spans="1:9">
      <c r="A307" s="818"/>
      <c r="B307" s="435"/>
      <c r="C307" s="829"/>
      <c r="D307" s="843"/>
      <c r="E307" s="435"/>
      <c r="F307" s="435"/>
      <c r="G307" s="829"/>
      <c r="H307" s="843"/>
      <c r="I307" s="442"/>
    </row>
    <row r="308" spans="1:9">
      <c r="A308" s="818"/>
      <c r="B308" s="435">
        <v>1</v>
      </c>
      <c r="C308" s="829">
        <v>0.9</v>
      </c>
      <c r="D308" s="843"/>
      <c r="E308" s="435" t="s">
        <v>583</v>
      </c>
      <c r="F308" s="435">
        <v>1</v>
      </c>
      <c r="G308" s="829">
        <v>1.5</v>
      </c>
      <c r="H308" s="843"/>
      <c r="I308" s="442" t="s">
        <v>360</v>
      </c>
    </row>
    <row r="309" spans="1:9">
      <c r="A309" s="818"/>
      <c r="B309" s="435"/>
      <c r="C309" s="829">
        <v>2.73</v>
      </c>
      <c r="D309" s="843">
        <f>-C309*C308*B308</f>
        <v>-2.4569999999999999</v>
      </c>
      <c r="E309" s="435"/>
      <c r="F309" s="435"/>
      <c r="G309" s="829">
        <v>1.73</v>
      </c>
      <c r="H309" s="843">
        <f>-G308*G309*F308</f>
        <v>-2.5949999999999998</v>
      </c>
      <c r="I309" s="442"/>
    </row>
    <row r="310" spans="1:9">
      <c r="A310" s="818"/>
      <c r="B310" s="435"/>
      <c r="C310" s="829"/>
      <c r="D310" s="843"/>
      <c r="E310" s="435"/>
      <c r="F310" s="435"/>
      <c r="G310" s="829"/>
      <c r="H310" s="843"/>
      <c r="I310" s="442"/>
    </row>
    <row r="311" spans="1:9">
      <c r="A311" s="818"/>
      <c r="B311" s="435">
        <v>1</v>
      </c>
      <c r="C311" s="829">
        <v>13.2</v>
      </c>
      <c r="D311" s="843"/>
      <c r="E311" s="435" t="s">
        <v>584</v>
      </c>
      <c r="F311" s="435">
        <v>1</v>
      </c>
      <c r="G311" s="829">
        <v>25</v>
      </c>
      <c r="H311" s="843"/>
      <c r="I311" s="442" t="s">
        <v>588</v>
      </c>
    </row>
    <row r="312" spans="1:9">
      <c r="A312" s="818"/>
      <c r="B312" s="435"/>
      <c r="C312" s="829">
        <v>3.06</v>
      </c>
      <c r="D312" s="843">
        <f>C311*C312*B311</f>
        <v>40.391999999999996</v>
      </c>
      <c r="E312" s="435" t="s">
        <v>585</v>
      </c>
      <c r="F312" s="435"/>
      <c r="G312" s="829">
        <v>3.06</v>
      </c>
      <c r="H312" s="843">
        <f>G311*G312*F311</f>
        <v>76.5</v>
      </c>
      <c r="I312" s="442" t="s">
        <v>589</v>
      </c>
    </row>
    <row r="313" spans="1:9">
      <c r="A313" s="818"/>
      <c r="B313" s="435"/>
      <c r="C313" s="829"/>
      <c r="D313" s="843"/>
      <c r="E313" s="435"/>
      <c r="F313" s="435"/>
      <c r="G313" s="829"/>
      <c r="H313" s="843"/>
      <c r="I313" s="442"/>
    </row>
    <row r="314" spans="1:9">
      <c r="A314" s="818"/>
      <c r="B314" s="435">
        <v>1</v>
      </c>
      <c r="C314" s="829">
        <v>0.9</v>
      </c>
      <c r="D314" s="843"/>
      <c r="E314" s="435" t="s">
        <v>570</v>
      </c>
      <c r="F314" s="435">
        <v>1</v>
      </c>
      <c r="G314" s="829">
        <v>1.4</v>
      </c>
      <c r="H314" s="843"/>
      <c r="I314" s="442" t="s">
        <v>569</v>
      </c>
    </row>
    <row r="315" spans="1:9">
      <c r="A315" s="818"/>
      <c r="B315" s="435"/>
      <c r="C315" s="829">
        <v>2.73</v>
      </c>
      <c r="D315" s="843">
        <f>-C314*C315*B314</f>
        <v>-2.4569999999999999</v>
      </c>
      <c r="E315" s="435"/>
      <c r="F315" s="435"/>
      <c r="G315" s="829">
        <v>2.73</v>
      </c>
      <c r="H315" s="843">
        <f>-G314*G315*F314</f>
        <v>-3.8219999999999996</v>
      </c>
      <c r="I315" s="442"/>
    </row>
    <row r="316" spans="1:9">
      <c r="A316" s="818"/>
      <c r="B316" s="435"/>
      <c r="C316" s="829"/>
      <c r="D316" s="843"/>
      <c r="E316" s="435"/>
      <c r="F316" s="435"/>
      <c r="G316" s="829"/>
      <c r="H316" s="843"/>
      <c r="I316" s="442"/>
    </row>
    <row r="317" spans="1:9">
      <c r="A317" s="818"/>
      <c r="B317" s="435">
        <v>1</v>
      </c>
      <c r="C317" s="829">
        <v>0.9</v>
      </c>
      <c r="D317" s="843"/>
      <c r="E317" s="435" t="s">
        <v>583</v>
      </c>
      <c r="F317" s="435">
        <v>1</v>
      </c>
      <c r="G317" s="829">
        <v>0.9</v>
      </c>
      <c r="H317" s="843"/>
      <c r="I317" s="442"/>
    </row>
    <row r="318" spans="1:9">
      <c r="A318" s="818"/>
      <c r="B318" s="435"/>
      <c r="C318" s="829">
        <v>2.73</v>
      </c>
      <c r="D318" s="843">
        <f>-C318*C317*B317</f>
        <v>-2.4569999999999999</v>
      </c>
      <c r="E318" s="435"/>
      <c r="F318" s="435"/>
      <c r="G318" s="829">
        <v>2.73</v>
      </c>
      <c r="H318" s="843">
        <f>-G317*G318*F317</f>
        <v>-2.4569999999999999</v>
      </c>
      <c r="I318" s="442"/>
    </row>
    <row r="319" spans="1:9">
      <c r="A319" s="818"/>
      <c r="B319" s="435"/>
      <c r="C319" s="829"/>
      <c r="D319" s="843"/>
      <c r="E319" s="435"/>
      <c r="F319" s="435"/>
      <c r="G319" s="829"/>
      <c r="H319" s="843"/>
      <c r="I319" s="442"/>
    </row>
    <row r="320" spans="1:9">
      <c r="A320" s="818"/>
      <c r="B320" s="435">
        <v>1</v>
      </c>
      <c r="C320" s="829">
        <v>1.5</v>
      </c>
      <c r="D320" s="843"/>
      <c r="E320" s="435" t="s">
        <v>360</v>
      </c>
      <c r="F320" s="435">
        <v>2</v>
      </c>
      <c r="G320" s="829">
        <v>1.5</v>
      </c>
      <c r="H320" s="843"/>
      <c r="I320" s="442" t="s">
        <v>212</v>
      </c>
    </row>
    <row r="321" spans="1:9">
      <c r="A321" s="818"/>
      <c r="B321" s="435"/>
      <c r="C321" s="829">
        <v>1.73</v>
      </c>
      <c r="D321" s="843">
        <f>-C320*C321*B320</f>
        <v>-2.5949999999999998</v>
      </c>
      <c r="E321" s="435"/>
      <c r="F321" s="435"/>
      <c r="G321" s="829">
        <v>1.73</v>
      </c>
      <c r="H321" s="843">
        <f>-G320*G321*F320</f>
        <v>-5.1899999999999995</v>
      </c>
      <c r="I321" s="442"/>
    </row>
    <row r="322" spans="1:9">
      <c r="A322" s="818"/>
      <c r="B322" s="435"/>
      <c r="C322" s="829"/>
      <c r="D322" s="843"/>
      <c r="E322" s="435"/>
      <c r="F322" s="435"/>
      <c r="G322" s="829"/>
      <c r="H322" s="843"/>
      <c r="I322" s="442"/>
    </row>
    <row r="323" spans="1:9">
      <c r="A323" s="818"/>
      <c r="B323" s="435">
        <v>1</v>
      </c>
      <c r="C323" s="829">
        <v>13.4</v>
      </c>
      <c r="D323" s="843"/>
      <c r="E323" s="435" t="s">
        <v>586</v>
      </c>
      <c r="F323" s="435">
        <v>1</v>
      </c>
      <c r="G323" s="829">
        <v>11.2</v>
      </c>
      <c r="H323" s="843"/>
      <c r="I323" s="442" t="s">
        <v>594</v>
      </c>
    </row>
    <row r="324" spans="1:9">
      <c r="A324" s="818"/>
      <c r="B324" s="435"/>
      <c r="C324" s="829">
        <v>3.06</v>
      </c>
      <c r="D324" s="843">
        <f>C323*C324*B323</f>
        <v>41.004000000000005</v>
      </c>
      <c r="E324" s="435" t="s">
        <v>587</v>
      </c>
      <c r="F324" s="435"/>
      <c r="G324" s="829">
        <v>3.06</v>
      </c>
      <c r="H324" s="843">
        <f>G323*G324*F323</f>
        <v>34.271999999999998</v>
      </c>
      <c r="I324" s="442" t="s">
        <v>595</v>
      </c>
    </row>
    <row r="325" spans="1:9">
      <c r="A325" s="818"/>
      <c r="B325" s="435"/>
      <c r="C325" s="829"/>
      <c r="D325" s="843"/>
      <c r="E325" s="435"/>
      <c r="F325" s="435"/>
      <c r="G325" s="829"/>
      <c r="H325" s="843"/>
      <c r="I325" s="442"/>
    </row>
    <row r="326" spans="1:9">
      <c r="A326" s="818"/>
      <c r="B326" s="435">
        <v>2</v>
      </c>
      <c r="C326" s="829">
        <v>0.9</v>
      </c>
      <c r="D326" s="843"/>
      <c r="E326" s="435" t="s">
        <v>93</v>
      </c>
      <c r="F326" s="435">
        <v>2</v>
      </c>
      <c r="G326" s="829">
        <v>0.8</v>
      </c>
      <c r="H326" s="843"/>
      <c r="I326" s="442" t="s">
        <v>596</v>
      </c>
    </row>
    <row r="327" spans="1:9">
      <c r="A327" s="818"/>
      <c r="B327" s="435"/>
      <c r="C327" s="829">
        <v>2.73</v>
      </c>
      <c r="D327" s="843">
        <f>-C327*C326*B326</f>
        <v>-4.9139999999999997</v>
      </c>
      <c r="E327" s="435"/>
      <c r="F327" s="435"/>
      <c r="G327" s="829">
        <v>2.73</v>
      </c>
      <c r="H327" s="843">
        <f>-G326*G327*F326</f>
        <v>-4.3680000000000003</v>
      </c>
      <c r="I327" s="442"/>
    </row>
    <row r="328" spans="1:9">
      <c r="A328" s="818"/>
      <c r="B328" s="435"/>
      <c r="C328" s="829"/>
      <c r="D328" s="843"/>
      <c r="E328" s="435"/>
      <c r="F328" s="435"/>
      <c r="G328" s="829"/>
      <c r="H328" s="843"/>
      <c r="I328" s="442"/>
    </row>
    <row r="329" spans="1:9">
      <c r="A329" s="818"/>
      <c r="B329" s="435">
        <v>1</v>
      </c>
      <c r="C329" s="829">
        <v>10</v>
      </c>
      <c r="D329" s="843"/>
      <c r="E329" s="435" t="s">
        <v>590</v>
      </c>
      <c r="F329" s="435">
        <v>1</v>
      </c>
      <c r="G329" s="829">
        <v>1.1000000000000001</v>
      </c>
      <c r="H329" s="843"/>
      <c r="I329" s="442" t="s">
        <v>568</v>
      </c>
    </row>
    <row r="330" spans="1:9">
      <c r="A330" s="818"/>
      <c r="B330" s="435"/>
      <c r="C330" s="829">
        <v>3.06</v>
      </c>
      <c r="D330" s="843">
        <f>C329*C330*B329</f>
        <v>30.6</v>
      </c>
      <c r="E330" s="435" t="s">
        <v>591</v>
      </c>
      <c r="F330" s="435"/>
      <c r="G330" s="829">
        <v>1.73</v>
      </c>
      <c r="H330" s="843">
        <f>-G329*G330*F329</f>
        <v>-1.903</v>
      </c>
      <c r="I330" s="442"/>
    </row>
    <row r="331" spans="1:9">
      <c r="A331" s="818"/>
      <c r="B331" s="435"/>
      <c r="C331" s="829"/>
      <c r="D331" s="843"/>
      <c r="E331" s="435"/>
      <c r="F331" s="435"/>
      <c r="G331" s="829"/>
      <c r="H331" s="843"/>
      <c r="I331" s="442"/>
    </row>
    <row r="332" spans="1:9">
      <c r="A332" s="818"/>
      <c r="B332" s="435">
        <v>1</v>
      </c>
      <c r="C332" s="829">
        <v>1</v>
      </c>
      <c r="D332" s="843"/>
      <c r="E332" s="435" t="s">
        <v>356</v>
      </c>
      <c r="F332" s="435">
        <v>1</v>
      </c>
      <c r="G332" s="829">
        <v>10.8</v>
      </c>
      <c r="H332" s="843"/>
      <c r="I332" s="442" t="s">
        <v>599</v>
      </c>
    </row>
    <row r="333" spans="1:9">
      <c r="A333" s="818"/>
      <c r="B333" s="435"/>
      <c r="C333" s="829">
        <v>2.73</v>
      </c>
      <c r="D333" s="843">
        <f>-C333*C332*B332</f>
        <v>-2.73</v>
      </c>
      <c r="E333" s="435"/>
      <c r="F333" s="435"/>
      <c r="G333" s="829">
        <v>3.06</v>
      </c>
      <c r="H333" s="843">
        <f>G332*G333*F332</f>
        <v>33.048000000000002</v>
      </c>
      <c r="I333" s="442" t="s">
        <v>600</v>
      </c>
    </row>
    <row r="334" spans="1:9">
      <c r="A334" s="818"/>
      <c r="B334" s="435"/>
      <c r="C334" s="829"/>
      <c r="D334" s="843"/>
      <c r="E334" s="435"/>
      <c r="F334" s="435"/>
      <c r="G334" s="829"/>
      <c r="H334" s="843"/>
      <c r="I334" s="442"/>
    </row>
    <row r="335" spans="1:9">
      <c r="A335" s="818"/>
      <c r="B335" s="435">
        <v>1</v>
      </c>
      <c r="C335" s="829">
        <v>1.5</v>
      </c>
      <c r="D335" s="843"/>
      <c r="E335" s="435" t="s">
        <v>360</v>
      </c>
      <c r="F335" s="435">
        <v>2</v>
      </c>
      <c r="G335" s="829">
        <v>1.4</v>
      </c>
      <c r="H335" s="843"/>
      <c r="I335" s="442" t="s">
        <v>601</v>
      </c>
    </row>
    <row r="336" spans="1:9">
      <c r="A336" s="818"/>
      <c r="B336" s="435"/>
      <c r="C336" s="829">
        <v>1.73</v>
      </c>
      <c r="D336" s="843">
        <f>-C335*C336*B335</f>
        <v>-2.5949999999999998</v>
      </c>
      <c r="E336" s="435"/>
      <c r="F336" s="435"/>
      <c r="G336" s="829">
        <v>2.73</v>
      </c>
      <c r="H336" s="843">
        <f>-G335*G336*F335</f>
        <v>-7.6439999999999992</v>
      </c>
      <c r="I336" s="442"/>
    </row>
    <row r="337" spans="1:9">
      <c r="A337" s="818"/>
      <c r="B337" s="435"/>
      <c r="C337" s="829"/>
      <c r="D337" s="843"/>
      <c r="E337" s="435"/>
      <c r="F337" s="435"/>
      <c r="G337" s="829"/>
      <c r="H337" s="843"/>
      <c r="I337" s="442"/>
    </row>
    <row r="338" spans="1:9">
      <c r="A338" s="818"/>
      <c r="B338" s="435">
        <v>1</v>
      </c>
      <c r="C338" s="829">
        <v>1.1000000000000001</v>
      </c>
      <c r="D338" s="843"/>
      <c r="E338" s="435" t="s">
        <v>348</v>
      </c>
      <c r="F338" s="435">
        <v>1</v>
      </c>
      <c r="G338" s="829">
        <v>0.8</v>
      </c>
      <c r="H338" s="843"/>
      <c r="I338" s="442" t="s">
        <v>250</v>
      </c>
    </row>
    <row r="339" spans="1:9">
      <c r="A339" s="818"/>
      <c r="B339" s="435"/>
      <c r="C339" s="829">
        <v>0.6</v>
      </c>
      <c r="D339" s="843">
        <f>-C338*C339*B338</f>
        <v>-0.66</v>
      </c>
      <c r="E339" s="435"/>
      <c r="F339" s="435"/>
      <c r="G339" s="829">
        <v>2.73</v>
      </c>
      <c r="H339" s="843">
        <f>-G338*G339*F338</f>
        <v>-2.1840000000000002</v>
      </c>
      <c r="I339" s="442"/>
    </row>
    <row r="340" spans="1:9">
      <c r="A340" s="818"/>
      <c r="B340" s="435"/>
      <c r="C340" s="829"/>
      <c r="D340" s="843"/>
      <c r="E340" s="435"/>
      <c r="F340" s="435"/>
      <c r="G340" s="829"/>
      <c r="H340" s="843"/>
      <c r="I340" s="442" t="s">
        <v>676</v>
      </c>
    </row>
    <row r="341" spans="1:9">
      <c r="A341" s="818"/>
      <c r="B341" s="435">
        <v>2</v>
      </c>
      <c r="C341" s="829">
        <v>13.2</v>
      </c>
      <c r="D341" s="843"/>
      <c r="E341" s="435" t="s">
        <v>84</v>
      </c>
      <c r="F341" s="435"/>
      <c r="G341" s="829"/>
      <c r="H341" s="843"/>
      <c r="I341" s="442" t="s">
        <v>677</v>
      </c>
    </row>
    <row r="342" spans="1:9">
      <c r="A342" s="818"/>
      <c r="B342" s="435"/>
      <c r="C342" s="829">
        <v>3.06</v>
      </c>
      <c r="D342" s="843">
        <f>C341*C342*B341</f>
        <v>80.783999999999992</v>
      </c>
      <c r="E342" s="435" t="s">
        <v>579</v>
      </c>
      <c r="F342" s="435">
        <v>1</v>
      </c>
      <c r="G342" s="829">
        <v>19.2</v>
      </c>
      <c r="H342" s="843"/>
      <c r="I342" s="442"/>
    </row>
    <row r="343" spans="1:9">
      <c r="A343" s="818"/>
      <c r="B343" s="435"/>
      <c r="C343" s="829"/>
      <c r="D343" s="843"/>
      <c r="E343" s="435"/>
      <c r="F343" s="435"/>
      <c r="G343" s="829">
        <v>3.06</v>
      </c>
      <c r="H343" s="843">
        <f>G342*G343*F342</f>
        <v>58.751999999999995</v>
      </c>
      <c r="I343" s="442"/>
    </row>
    <row r="344" spans="1:9">
      <c r="A344" s="818"/>
      <c r="B344" s="435">
        <v>1</v>
      </c>
      <c r="C344" s="829">
        <v>1</v>
      </c>
      <c r="D344" s="843"/>
      <c r="E344" s="435" t="s">
        <v>356</v>
      </c>
      <c r="F344" s="435"/>
      <c r="G344" s="829"/>
      <c r="H344" s="843"/>
      <c r="I344" s="442"/>
    </row>
    <row r="345" spans="1:9">
      <c r="A345" s="818"/>
      <c r="B345" s="435"/>
      <c r="C345" s="829">
        <v>2.73</v>
      </c>
      <c r="D345" s="843">
        <f>-C345*C344*B344</f>
        <v>-2.73</v>
      </c>
      <c r="E345" s="435"/>
      <c r="F345" s="435">
        <v>1</v>
      </c>
      <c r="G345" s="829">
        <v>10.7</v>
      </c>
      <c r="H345" s="843"/>
      <c r="I345" s="442" t="s">
        <v>603</v>
      </c>
    </row>
    <row r="346" spans="1:9">
      <c r="A346" s="818"/>
      <c r="B346" s="435"/>
      <c r="C346" s="829"/>
      <c r="D346" s="843"/>
      <c r="E346" s="435"/>
      <c r="F346" s="435"/>
      <c r="G346" s="829">
        <v>3.06</v>
      </c>
      <c r="H346" s="843">
        <f>G345*G346*F345</f>
        <v>32.741999999999997</v>
      </c>
      <c r="I346" s="442" t="s">
        <v>604</v>
      </c>
    </row>
    <row r="347" spans="1:9">
      <c r="A347" s="818"/>
      <c r="B347" s="435">
        <v>1</v>
      </c>
      <c r="C347" s="829">
        <v>0.9</v>
      </c>
      <c r="D347" s="843"/>
      <c r="E347" s="435" t="s">
        <v>347</v>
      </c>
      <c r="F347" s="435"/>
      <c r="G347" s="829"/>
      <c r="H347" s="843"/>
      <c r="I347" s="442"/>
    </row>
    <row r="348" spans="1:9">
      <c r="A348" s="818"/>
      <c r="B348" s="435"/>
      <c r="C348" s="829">
        <v>2.73</v>
      </c>
      <c r="D348" s="843">
        <f>-C348*C347*B347</f>
        <v>-2.4569999999999999</v>
      </c>
      <c r="E348" s="435"/>
      <c r="F348" s="435">
        <v>1</v>
      </c>
      <c r="G348" s="829">
        <v>0.8</v>
      </c>
      <c r="H348" s="843"/>
      <c r="I348" s="442" t="s">
        <v>571</v>
      </c>
    </row>
    <row r="349" spans="1:9">
      <c r="A349" s="818"/>
      <c r="B349" s="435"/>
      <c r="C349" s="829"/>
      <c r="D349" s="843"/>
      <c r="E349" s="435"/>
      <c r="F349" s="435"/>
      <c r="G349" s="829">
        <v>2.63</v>
      </c>
      <c r="H349" s="843">
        <f>-G349*G348*F348</f>
        <v>-2.1040000000000001</v>
      </c>
      <c r="I349" s="442"/>
    </row>
    <row r="350" spans="1:9">
      <c r="A350" s="818"/>
      <c r="B350" s="435">
        <v>4</v>
      </c>
      <c r="C350" s="829">
        <v>0.7</v>
      </c>
      <c r="D350" s="843"/>
      <c r="E350" s="435" t="s">
        <v>123</v>
      </c>
      <c r="F350" s="435"/>
      <c r="G350" s="829"/>
      <c r="H350" s="843"/>
      <c r="I350" s="442"/>
    </row>
    <row r="351" spans="1:9">
      <c r="A351" s="818"/>
      <c r="B351" s="435"/>
      <c r="C351" s="829">
        <v>2.73</v>
      </c>
      <c r="D351" s="843">
        <f>-C351*C350*B350</f>
        <v>-7.6439999999999992</v>
      </c>
      <c r="E351" s="435"/>
      <c r="F351" s="435">
        <v>2</v>
      </c>
      <c r="G351" s="829">
        <v>0.8</v>
      </c>
      <c r="H351" s="843"/>
      <c r="I351" s="442" t="s">
        <v>99</v>
      </c>
    </row>
    <row r="352" spans="1:9">
      <c r="A352" s="818"/>
      <c r="B352" s="435"/>
      <c r="C352" s="829"/>
      <c r="D352" s="843"/>
      <c r="E352" s="435"/>
      <c r="F352" s="435"/>
      <c r="G352" s="829">
        <v>3.06</v>
      </c>
      <c r="H352" s="843">
        <f>-G351*G352*F351</f>
        <v>-4.8960000000000008</v>
      </c>
      <c r="I352" s="442"/>
    </row>
    <row r="353" spans="1:9">
      <c r="A353" s="818"/>
      <c r="B353" s="435">
        <v>8</v>
      </c>
      <c r="C353" s="829">
        <v>1.4</v>
      </c>
      <c r="D353" s="843"/>
      <c r="E353" s="435"/>
      <c r="F353" s="435"/>
      <c r="G353" s="435"/>
      <c r="H353" s="435"/>
      <c r="I353" s="442"/>
    </row>
    <row r="354" spans="1:9">
      <c r="A354" s="818"/>
      <c r="B354" s="435"/>
      <c r="C354" s="829">
        <v>3.06</v>
      </c>
      <c r="D354" s="843">
        <f>C353*C354*B353</f>
        <v>34.271999999999998</v>
      </c>
      <c r="E354" s="435"/>
      <c r="F354" s="435"/>
      <c r="G354" s="829"/>
      <c r="H354" s="843"/>
      <c r="I354" s="442"/>
    </row>
    <row r="355" spans="1:9">
      <c r="A355" s="818"/>
      <c r="B355" s="109"/>
      <c r="C355" s="850"/>
      <c r="D355" s="928"/>
      <c r="E355" s="109"/>
      <c r="F355" s="109"/>
      <c r="G355" s="850"/>
      <c r="H355" s="928"/>
      <c r="I355" s="934"/>
    </row>
    <row r="356" spans="1:9">
      <c r="A356" s="818"/>
      <c r="B356" s="853" t="s">
        <v>1884</v>
      </c>
      <c r="C356" s="854" t="s">
        <v>526</v>
      </c>
      <c r="D356" s="855" t="s">
        <v>1885</v>
      </c>
      <c r="E356" s="854" t="s">
        <v>1886</v>
      </c>
      <c r="F356" s="853" t="s">
        <v>1884</v>
      </c>
      <c r="G356" s="855" t="s">
        <v>526</v>
      </c>
      <c r="H356" s="856" t="s">
        <v>1885</v>
      </c>
      <c r="I356" s="854" t="s">
        <v>1886</v>
      </c>
    </row>
    <row r="357" spans="1:9">
      <c r="A357" s="818"/>
      <c r="B357" s="435">
        <v>1</v>
      </c>
      <c r="C357" s="829">
        <v>10.4</v>
      </c>
      <c r="D357" s="843"/>
      <c r="E357" s="435" t="s">
        <v>605</v>
      </c>
      <c r="F357" s="435">
        <v>1</v>
      </c>
      <c r="G357" s="829">
        <v>0.9</v>
      </c>
      <c r="H357" s="843"/>
      <c r="I357" s="442"/>
    </row>
    <row r="358" spans="1:9">
      <c r="A358" s="818"/>
      <c r="B358" s="435"/>
      <c r="C358" s="829">
        <v>3.06</v>
      </c>
      <c r="D358" s="843">
        <f>C357*C358*B357</f>
        <v>31.824000000000002</v>
      </c>
      <c r="E358" s="435" t="s">
        <v>606</v>
      </c>
      <c r="F358" s="435"/>
      <c r="G358" s="829">
        <v>2.73</v>
      </c>
      <c r="H358" s="843">
        <f>-G358*G357*F357</f>
        <v>-2.4569999999999999</v>
      </c>
      <c r="I358" s="442" t="s">
        <v>347</v>
      </c>
    </row>
    <row r="359" spans="1:9">
      <c r="A359" s="818"/>
      <c r="B359" s="435"/>
      <c r="C359" s="829"/>
      <c r="D359" s="843"/>
      <c r="E359" s="435"/>
      <c r="F359" s="435"/>
      <c r="G359" s="829"/>
      <c r="H359" s="843"/>
      <c r="I359" s="442"/>
    </row>
    <row r="360" spans="1:9">
      <c r="A360" s="818"/>
      <c r="B360" s="435">
        <v>1</v>
      </c>
      <c r="C360" s="829">
        <v>0.8</v>
      </c>
      <c r="D360" s="843"/>
      <c r="E360" s="435" t="s">
        <v>363</v>
      </c>
      <c r="F360" s="435">
        <v>2</v>
      </c>
      <c r="G360" s="829">
        <v>8.1</v>
      </c>
      <c r="H360" s="843"/>
      <c r="I360" s="442" t="s">
        <v>84</v>
      </c>
    </row>
    <row r="361" spans="1:9">
      <c r="A361" s="818"/>
      <c r="B361" s="435"/>
      <c r="C361" s="829">
        <v>2.73</v>
      </c>
      <c r="D361" s="843">
        <f>-C360*C361*B360</f>
        <v>-2.1840000000000002</v>
      </c>
      <c r="E361" s="435"/>
      <c r="F361" s="435"/>
      <c r="G361" s="829">
        <v>3.06</v>
      </c>
      <c r="H361" s="843">
        <f>G360*G361*F360</f>
        <v>49.571999999999996</v>
      </c>
      <c r="I361" s="442" t="s">
        <v>610</v>
      </c>
    </row>
    <row r="362" spans="1:9">
      <c r="A362" s="818"/>
      <c r="B362" s="435"/>
      <c r="C362" s="829"/>
      <c r="D362" s="843"/>
      <c r="E362" s="435"/>
      <c r="F362" s="435"/>
      <c r="G362" s="829"/>
      <c r="H362" s="843"/>
      <c r="I362" s="442"/>
    </row>
    <row r="363" spans="1:9">
      <c r="A363" s="818"/>
      <c r="B363" s="435">
        <v>1</v>
      </c>
      <c r="C363" s="829">
        <v>1.1000000000000001</v>
      </c>
      <c r="D363" s="843"/>
      <c r="E363" s="435" t="s">
        <v>597</v>
      </c>
      <c r="F363" s="435">
        <v>2</v>
      </c>
      <c r="G363" s="829">
        <v>1.5</v>
      </c>
      <c r="H363" s="843"/>
      <c r="I363" s="442" t="s">
        <v>212</v>
      </c>
    </row>
    <row r="364" spans="1:9">
      <c r="A364" s="818"/>
      <c r="B364" s="435"/>
      <c r="C364" s="829">
        <v>1.73</v>
      </c>
      <c r="D364" s="843">
        <f>-C364*C363*B363</f>
        <v>-1.903</v>
      </c>
      <c r="E364" s="435"/>
      <c r="F364" s="435"/>
      <c r="G364" s="829">
        <v>1.73</v>
      </c>
      <c r="H364" s="843">
        <f>-G364*G363*F363</f>
        <v>-5.1899999999999995</v>
      </c>
      <c r="I364" s="442"/>
    </row>
    <row r="365" spans="1:9">
      <c r="A365" s="818"/>
      <c r="B365" s="435"/>
      <c r="C365" s="829"/>
      <c r="D365" s="843"/>
      <c r="E365" s="435"/>
      <c r="F365" s="435"/>
      <c r="G365" s="829"/>
      <c r="H365" s="843"/>
      <c r="I365" s="442"/>
    </row>
    <row r="366" spans="1:9">
      <c r="A366" s="818"/>
      <c r="B366" s="435">
        <v>1</v>
      </c>
      <c r="C366" s="829">
        <v>5.6</v>
      </c>
      <c r="D366" s="843"/>
      <c r="E366" s="435" t="s">
        <v>608</v>
      </c>
      <c r="F366" s="435">
        <v>1</v>
      </c>
      <c r="G366" s="829">
        <v>3.31</v>
      </c>
      <c r="H366" s="843"/>
      <c r="I366" s="442" t="s">
        <v>62</v>
      </c>
    </row>
    <row r="367" spans="1:9">
      <c r="A367" s="818"/>
      <c r="B367" s="435"/>
      <c r="C367" s="829">
        <v>3.06</v>
      </c>
      <c r="D367" s="843">
        <f>C366*C367*B366</f>
        <v>17.135999999999999</v>
      </c>
      <c r="E367" s="435" t="s">
        <v>609</v>
      </c>
      <c r="F367" s="435"/>
      <c r="G367" s="829">
        <v>3.06</v>
      </c>
      <c r="H367" s="843">
        <f>-G367*G366*F366</f>
        <v>-10.1286</v>
      </c>
      <c r="I367" s="442"/>
    </row>
    <row r="368" spans="1:9">
      <c r="A368" s="818"/>
      <c r="B368" s="435"/>
      <c r="C368" s="829"/>
      <c r="D368" s="843"/>
      <c r="E368" s="435"/>
      <c r="F368" s="435"/>
      <c r="G368" s="829"/>
      <c r="H368" s="843"/>
      <c r="I368" s="442"/>
    </row>
    <row r="369" spans="1:9">
      <c r="A369" s="818"/>
      <c r="B369" s="435">
        <v>1</v>
      </c>
      <c r="C369" s="829">
        <v>0.8</v>
      </c>
      <c r="D369" s="843"/>
      <c r="E369" s="435" t="s">
        <v>363</v>
      </c>
      <c r="F369" s="435">
        <v>1</v>
      </c>
      <c r="G369" s="829">
        <v>1.4</v>
      </c>
      <c r="H369" s="843"/>
      <c r="I369" s="442" t="s">
        <v>573</v>
      </c>
    </row>
    <row r="370" spans="1:9">
      <c r="A370" s="818"/>
      <c r="B370" s="435"/>
      <c r="C370" s="829">
        <v>2.73</v>
      </c>
      <c r="D370" s="843">
        <f>-C370*C369*B369</f>
        <v>-2.1840000000000002</v>
      </c>
      <c r="E370" s="435"/>
      <c r="F370" s="435"/>
      <c r="G370" s="829">
        <v>2.73</v>
      </c>
      <c r="H370" s="843">
        <f>-G370*G369*F369</f>
        <v>-3.8219999999999996</v>
      </c>
      <c r="I370" s="442"/>
    </row>
    <row r="371" spans="1:9">
      <c r="A371" s="818"/>
      <c r="B371" s="435"/>
      <c r="C371" s="829"/>
      <c r="D371" s="843"/>
      <c r="E371" s="435" t="s">
        <v>678</v>
      </c>
      <c r="F371" s="435"/>
      <c r="G371" s="829"/>
      <c r="H371" s="843"/>
      <c r="I371" s="442"/>
    </row>
    <row r="372" spans="1:9">
      <c r="A372" s="818"/>
      <c r="B372" s="435">
        <v>1</v>
      </c>
      <c r="C372" s="829">
        <v>22.3</v>
      </c>
      <c r="D372" s="843"/>
      <c r="E372" s="435" t="s">
        <v>679</v>
      </c>
      <c r="F372" s="435">
        <v>1</v>
      </c>
      <c r="G372" s="829">
        <v>11</v>
      </c>
      <c r="H372" s="843"/>
      <c r="I372" s="442" t="s">
        <v>163</v>
      </c>
    </row>
    <row r="373" spans="1:9">
      <c r="A373" s="818"/>
      <c r="B373" s="435"/>
      <c r="C373" s="829">
        <v>3.06</v>
      </c>
      <c r="D373" s="843">
        <f>C373*C372*B372</f>
        <v>68.238</v>
      </c>
      <c r="E373" s="435"/>
      <c r="F373" s="435"/>
      <c r="G373" s="829">
        <v>3.06</v>
      </c>
      <c r="H373" s="843">
        <f>G372*G373*F372</f>
        <v>33.660000000000004</v>
      </c>
      <c r="I373" s="442" t="s">
        <v>611</v>
      </c>
    </row>
    <row r="374" spans="1:9">
      <c r="A374" s="818"/>
      <c r="B374" s="435"/>
      <c r="C374" s="829"/>
      <c r="D374" s="843"/>
      <c r="E374" s="435"/>
      <c r="F374" s="435"/>
      <c r="G374" s="829"/>
      <c r="H374" s="843"/>
      <c r="I374" s="442"/>
    </row>
    <row r="375" spans="1:9">
      <c r="A375" s="818"/>
      <c r="B375" s="435">
        <v>1</v>
      </c>
      <c r="C375" s="829">
        <v>20.100000000000001</v>
      </c>
      <c r="D375" s="843"/>
      <c r="E375" s="435" t="s">
        <v>592</v>
      </c>
      <c r="F375" s="435">
        <v>2</v>
      </c>
      <c r="G375" s="829">
        <v>0.9</v>
      </c>
      <c r="H375" s="843"/>
      <c r="I375" s="442" t="s">
        <v>93</v>
      </c>
    </row>
    <row r="376" spans="1:9">
      <c r="A376" s="818"/>
      <c r="B376" s="435"/>
      <c r="C376" s="829">
        <v>3.06</v>
      </c>
      <c r="D376" s="843">
        <f>C375*C376*B375</f>
        <v>61.506000000000007</v>
      </c>
      <c r="E376" s="435" t="s">
        <v>593</v>
      </c>
      <c r="F376" s="435"/>
      <c r="G376" s="829">
        <v>2.73</v>
      </c>
      <c r="H376" s="843">
        <f>-G376*G375*F375</f>
        <v>-4.9139999999999997</v>
      </c>
      <c r="I376" s="442"/>
    </row>
    <row r="377" spans="1:9">
      <c r="A377" s="818"/>
      <c r="B377" s="435"/>
      <c r="C377" s="829"/>
      <c r="D377" s="843"/>
      <c r="E377" s="435"/>
      <c r="F377" s="435"/>
      <c r="G377" s="829"/>
      <c r="H377" s="843"/>
      <c r="I377" s="442"/>
    </row>
    <row r="378" spans="1:9">
      <c r="A378" s="818"/>
      <c r="B378" s="435">
        <v>2</v>
      </c>
      <c r="C378" s="829">
        <v>1.5</v>
      </c>
      <c r="D378" s="843"/>
      <c r="E378" s="435" t="s">
        <v>212</v>
      </c>
      <c r="F378" s="435">
        <v>1</v>
      </c>
      <c r="G378" s="829">
        <v>12.7</v>
      </c>
      <c r="H378" s="843"/>
      <c r="I378" s="442" t="s">
        <v>612</v>
      </c>
    </row>
    <row r="379" spans="1:9">
      <c r="A379" s="818"/>
      <c r="B379" s="435"/>
      <c r="C379" s="829">
        <v>1.73</v>
      </c>
      <c r="D379" s="843">
        <f>-C378*C379*B378</f>
        <v>-5.1899999999999995</v>
      </c>
      <c r="E379" s="435"/>
      <c r="F379" s="435"/>
      <c r="G379" s="829">
        <v>3.06</v>
      </c>
      <c r="H379" s="843">
        <f>G379*G378*F378</f>
        <v>38.862000000000002</v>
      </c>
      <c r="I379" s="442" t="s">
        <v>613</v>
      </c>
    </row>
    <row r="380" spans="1:9">
      <c r="A380" s="818"/>
      <c r="B380" s="435"/>
      <c r="C380" s="829"/>
      <c r="D380" s="843"/>
      <c r="E380" s="435"/>
      <c r="F380" s="435"/>
      <c r="G380" s="829"/>
      <c r="H380" s="843"/>
      <c r="I380" s="442"/>
    </row>
    <row r="381" spans="1:9">
      <c r="A381" s="818"/>
      <c r="B381" s="435">
        <v>1</v>
      </c>
      <c r="C381" s="829">
        <v>1.4</v>
      </c>
      <c r="D381" s="843"/>
      <c r="E381" s="435" t="s">
        <v>569</v>
      </c>
      <c r="F381" s="435">
        <v>2</v>
      </c>
      <c r="G381" s="829">
        <v>0.9</v>
      </c>
      <c r="H381" s="843"/>
      <c r="I381" s="442" t="s">
        <v>93</v>
      </c>
    </row>
    <row r="382" spans="1:9">
      <c r="A382" s="818"/>
      <c r="B382" s="435"/>
      <c r="C382" s="829">
        <v>2.73</v>
      </c>
      <c r="D382" s="843">
        <f>-C382*C381*B381</f>
        <v>-3.8219999999999996</v>
      </c>
      <c r="E382" s="435"/>
      <c r="F382" s="435"/>
      <c r="G382" s="829">
        <v>2.73</v>
      </c>
      <c r="H382" s="843">
        <f>-G382*G381*F381</f>
        <v>-4.9139999999999997</v>
      </c>
      <c r="I382" s="442"/>
    </row>
    <row r="383" spans="1:9">
      <c r="A383" s="818"/>
      <c r="B383" s="435"/>
      <c r="C383" s="829"/>
      <c r="D383" s="843"/>
      <c r="E383" s="435"/>
      <c r="F383" s="435"/>
      <c r="G383" s="829"/>
      <c r="H383" s="843"/>
      <c r="I383" s="442"/>
    </row>
    <row r="384" spans="1:9">
      <c r="A384" s="818"/>
      <c r="B384" s="435">
        <v>1</v>
      </c>
      <c r="C384" s="829">
        <v>1.1000000000000001</v>
      </c>
      <c r="D384" s="843"/>
      <c r="E384" s="435" t="s">
        <v>597</v>
      </c>
      <c r="F384" s="435">
        <v>1</v>
      </c>
      <c r="G384" s="829">
        <v>1.5</v>
      </c>
      <c r="H384" s="843"/>
      <c r="I384" s="442" t="s">
        <v>360</v>
      </c>
    </row>
    <row r="385" spans="1:9">
      <c r="A385" s="818"/>
      <c r="B385" s="435"/>
      <c r="C385" s="829">
        <v>1.73</v>
      </c>
      <c r="D385" s="843">
        <f>-C385*C384*B384</f>
        <v>-1.903</v>
      </c>
      <c r="E385" s="435"/>
      <c r="F385" s="435"/>
      <c r="G385" s="829">
        <v>1.73</v>
      </c>
      <c r="H385" s="843">
        <f>-G385*G384*F384</f>
        <v>-2.5949999999999998</v>
      </c>
      <c r="I385" s="442"/>
    </row>
    <row r="386" spans="1:9">
      <c r="A386" s="818"/>
      <c r="B386" s="435"/>
      <c r="C386" s="829"/>
      <c r="D386" s="843"/>
      <c r="E386" s="435"/>
      <c r="F386" s="435"/>
      <c r="G386" s="829"/>
      <c r="H386" s="843"/>
      <c r="I386" s="442"/>
    </row>
    <row r="387" spans="1:9">
      <c r="A387" s="818"/>
      <c r="B387" s="435">
        <v>1</v>
      </c>
      <c r="C387" s="829">
        <v>13.4</v>
      </c>
      <c r="D387" s="843"/>
      <c r="E387" s="435" t="s">
        <v>70</v>
      </c>
      <c r="F387" s="435">
        <v>1</v>
      </c>
      <c r="G387" s="829">
        <v>17.2</v>
      </c>
      <c r="H387" s="843"/>
      <c r="I387" s="442" t="s">
        <v>70</v>
      </c>
    </row>
    <row r="388" spans="1:9">
      <c r="A388" s="818"/>
      <c r="B388" s="435"/>
      <c r="C388" s="829">
        <v>3.06</v>
      </c>
      <c r="D388" s="843">
        <f>C387*C388*B387</f>
        <v>41.004000000000005</v>
      </c>
      <c r="E388" s="435" t="s">
        <v>598</v>
      </c>
      <c r="F388" s="435"/>
      <c r="G388" s="829">
        <v>3.06</v>
      </c>
      <c r="H388" s="843">
        <f>G387*G388*F387</f>
        <v>52.631999999999998</v>
      </c>
      <c r="I388" s="442" t="s">
        <v>614</v>
      </c>
    </row>
    <row r="389" spans="1:9">
      <c r="A389" s="818"/>
      <c r="B389" s="435"/>
      <c r="C389" s="829"/>
      <c r="D389" s="843"/>
      <c r="E389" s="435"/>
      <c r="F389" s="435"/>
      <c r="G389" s="829"/>
      <c r="H389" s="843"/>
      <c r="I389" s="442"/>
    </row>
    <row r="390" spans="1:9">
      <c r="A390" s="818"/>
      <c r="B390" s="435">
        <v>1</v>
      </c>
      <c r="C390" s="829">
        <v>1.4</v>
      </c>
      <c r="D390" s="843"/>
      <c r="E390" s="435" t="s">
        <v>569</v>
      </c>
      <c r="F390" s="435">
        <v>1</v>
      </c>
      <c r="G390" s="829">
        <v>1.5</v>
      </c>
      <c r="H390" s="843"/>
      <c r="I390" s="442" t="s">
        <v>360</v>
      </c>
    </row>
    <row r="391" spans="1:9">
      <c r="A391" s="818"/>
      <c r="B391" s="435"/>
      <c r="C391" s="829">
        <v>2.73</v>
      </c>
      <c r="D391" s="843">
        <f>-C391*C390*B390</f>
        <v>-3.8219999999999996</v>
      </c>
      <c r="E391" s="435"/>
      <c r="F391" s="435"/>
      <c r="G391" s="829">
        <v>1.73</v>
      </c>
      <c r="H391" s="843">
        <f>-G390*G391*F390</f>
        <v>-2.5949999999999998</v>
      </c>
      <c r="I391" s="442"/>
    </row>
    <row r="392" spans="1:9">
      <c r="A392" s="818"/>
      <c r="B392" s="435"/>
      <c r="C392" s="829"/>
      <c r="D392" s="843"/>
      <c r="E392" s="435"/>
      <c r="F392" s="435"/>
      <c r="G392" s="829"/>
      <c r="H392" s="843"/>
      <c r="I392" s="442"/>
    </row>
    <row r="393" spans="1:9">
      <c r="A393" s="818"/>
      <c r="B393" s="435">
        <v>1</v>
      </c>
      <c r="C393" s="829">
        <v>1.1000000000000001</v>
      </c>
      <c r="D393" s="843"/>
      <c r="E393" s="435" t="s">
        <v>597</v>
      </c>
      <c r="F393" s="435">
        <v>1</v>
      </c>
      <c r="G393" s="829">
        <v>0.9</v>
      </c>
      <c r="H393" s="843"/>
      <c r="I393" s="442" t="s">
        <v>347</v>
      </c>
    </row>
    <row r="394" spans="1:9">
      <c r="A394" s="818"/>
      <c r="B394" s="435"/>
      <c r="C394" s="829">
        <v>1.73</v>
      </c>
      <c r="D394" s="843">
        <f>-C394*C393*B393</f>
        <v>-1.903</v>
      </c>
      <c r="E394" s="435"/>
      <c r="F394" s="435"/>
      <c r="G394" s="829">
        <v>2.73</v>
      </c>
      <c r="H394" s="843">
        <f>-G394*G393*F393</f>
        <v>-2.4569999999999999</v>
      </c>
      <c r="I394" s="442"/>
    </row>
    <row r="395" spans="1:9">
      <c r="A395" s="818"/>
      <c r="B395" s="435"/>
      <c r="C395" s="829"/>
      <c r="D395" s="843"/>
      <c r="E395" s="435"/>
      <c r="F395" s="435"/>
      <c r="G395" s="829"/>
      <c r="H395" s="843"/>
      <c r="I395" s="442"/>
    </row>
    <row r="396" spans="1:9">
      <c r="A396" s="818"/>
      <c r="B396" s="435">
        <v>1</v>
      </c>
      <c r="C396" s="829">
        <v>16.2</v>
      </c>
      <c r="D396" s="843"/>
      <c r="E396" s="435" t="s">
        <v>160</v>
      </c>
      <c r="F396" s="435">
        <v>1</v>
      </c>
      <c r="G396" s="829">
        <v>23.6</v>
      </c>
      <c r="H396" s="843"/>
      <c r="I396" s="442" t="s">
        <v>616</v>
      </c>
    </row>
    <row r="397" spans="1:9">
      <c r="A397" s="818"/>
      <c r="B397" s="435"/>
      <c r="C397" s="829">
        <v>3.06</v>
      </c>
      <c r="D397" s="843">
        <f>C396*C397*B396</f>
        <v>49.571999999999996</v>
      </c>
      <c r="E397" s="435" t="s">
        <v>602</v>
      </c>
      <c r="F397" s="435"/>
      <c r="G397" s="829">
        <v>3.06</v>
      </c>
      <c r="H397" s="843">
        <f>G396*G397*F396</f>
        <v>72.216000000000008</v>
      </c>
      <c r="I397" s="442" t="s">
        <v>617</v>
      </c>
    </row>
    <row r="398" spans="1:9">
      <c r="A398" s="818"/>
      <c r="B398" s="435"/>
      <c r="C398" s="829"/>
      <c r="D398" s="843"/>
      <c r="E398" s="435"/>
      <c r="F398" s="435"/>
      <c r="G398" s="829"/>
      <c r="H398" s="843"/>
      <c r="I398" s="442"/>
    </row>
    <row r="399" spans="1:9">
      <c r="A399" s="818"/>
      <c r="B399" s="435">
        <v>1</v>
      </c>
      <c r="C399" s="829">
        <v>0.9</v>
      </c>
      <c r="D399" s="843"/>
      <c r="E399" s="435" t="s">
        <v>347</v>
      </c>
      <c r="F399" s="435">
        <v>1</v>
      </c>
      <c r="G399" s="829">
        <v>1.4</v>
      </c>
      <c r="H399" s="843"/>
      <c r="I399" s="442" t="s">
        <v>569</v>
      </c>
    </row>
    <row r="400" spans="1:9">
      <c r="A400" s="818"/>
      <c r="B400" s="435"/>
      <c r="C400" s="829">
        <v>2.73</v>
      </c>
      <c r="D400" s="843">
        <f>-C400*C399*B399</f>
        <v>-2.4569999999999999</v>
      </c>
      <c r="E400" s="435"/>
      <c r="F400" s="435"/>
      <c r="G400" s="829">
        <v>2.73</v>
      </c>
      <c r="H400" s="843">
        <f>-G399*G400*F399</f>
        <v>-3.8219999999999996</v>
      </c>
      <c r="I400" s="442"/>
    </row>
    <row r="401" spans="1:9">
      <c r="A401" s="818"/>
      <c r="B401" s="435"/>
      <c r="C401" s="829"/>
      <c r="D401" s="843"/>
      <c r="E401" s="435"/>
      <c r="F401" s="435"/>
      <c r="G401" s="829"/>
      <c r="H401" s="843"/>
      <c r="I401" s="442"/>
    </row>
    <row r="402" spans="1:9">
      <c r="A402" s="818"/>
      <c r="B402" s="435">
        <v>2</v>
      </c>
      <c r="C402" s="829">
        <v>0.8</v>
      </c>
      <c r="D402" s="843"/>
      <c r="E402" s="435" t="s">
        <v>99</v>
      </c>
      <c r="F402" s="435">
        <v>2</v>
      </c>
      <c r="G402" s="829">
        <v>1.5</v>
      </c>
      <c r="H402" s="843"/>
      <c r="I402" s="442" t="s">
        <v>212</v>
      </c>
    </row>
    <row r="403" spans="1:9">
      <c r="A403" s="818"/>
      <c r="B403" s="435"/>
      <c r="C403" s="829">
        <v>2.73</v>
      </c>
      <c r="D403" s="843">
        <f>-C403*C402*B402</f>
        <v>-4.3680000000000003</v>
      </c>
      <c r="E403" s="435"/>
      <c r="F403" s="435"/>
      <c r="G403" s="829">
        <v>1.73</v>
      </c>
      <c r="H403" s="843">
        <f>-G402*G403*F402</f>
        <v>-5.1899999999999995</v>
      </c>
      <c r="I403" s="442"/>
    </row>
    <row r="404" spans="1:9">
      <c r="A404" s="818"/>
      <c r="B404" s="435"/>
      <c r="C404" s="829"/>
      <c r="D404" s="843"/>
      <c r="E404" s="435"/>
      <c r="F404" s="435"/>
      <c r="G404" s="829"/>
      <c r="H404" s="843"/>
      <c r="I404" s="442"/>
    </row>
    <row r="405" spans="1:9">
      <c r="A405" s="818"/>
      <c r="B405" s="435">
        <v>1</v>
      </c>
      <c r="C405" s="829">
        <v>1.1000000000000001</v>
      </c>
      <c r="D405" s="843"/>
      <c r="E405" s="435" t="s">
        <v>568</v>
      </c>
      <c r="F405" s="435">
        <v>1</v>
      </c>
      <c r="G405" s="829">
        <v>16.2</v>
      </c>
      <c r="H405" s="843"/>
      <c r="I405" s="442" t="s">
        <v>586</v>
      </c>
    </row>
    <row r="406" spans="1:9">
      <c r="A406" s="818"/>
      <c r="B406" s="435"/>
      <c r="C406" s="829">
        <v>1.73</v>
      </c>
      <c r="D406" s="843">
        <f>-C406*C405*B405</f>
        <v>-1.903</v>
      </c>
      <c r="E406" s="435"/>
      <c r="F406" s="435"/>
      <c r="G406" s="829">
        <v>3.06</v>
      </c>
      <c r="H406" s="843">
        <f>G405*G406*F405</f>
        <v>49.571999999999996</v>
      </c>
      <c r="I406" s="442" t="s">
        <v>618</v>
      </c>
    </row>
    <row r="407" spans="1:9">
      <c r="A407" s="818"/>
      <c r="B407" s="435"/>
      <c r="C407" s="829"/>
      <c r="D407" s="843"/>
      <c r="E407" s="435"/>
      <c r="F407" s="435"/>
      <c r="G407" s="829"/>
      <c r="H407" s="843"/>
      <c r="I407" s="442"/>
    </row>
    <row r="408" spans="1:9">
      <c r="A408" s="818"/>
      <c r="B408" s="435"/>
      <c r="C408" s="829">
        <v>9.8800000000000008</v>
      </c>
      <c r="D408" s="843"/>
      <c r="E408" s="435" t="s">
        <v>84</v>
      </c>
      <c r="F408" s="435">
        <v>1</v>
      </c>
      <c r="G408" s="829">
        <v>0.9</v>
      </c>
      <c r="H408" s="843"/>
      <c r="I408" s="442" t="s">
        <v>347</v>
      </c>
    </row>
    <row r="409" spans="1:9">
      <c r="A409" s="818"/>
      <c r="B409" s="435">
        <v>1</v>
      </c>
      <c r="C409" s="829">
        <v>3.06</v>
      </c>
      <c r="D409" s="843">
        <f>C408*C409*B409</f>
        <v>30.232800000000005</v>
      </c>
      <c r="E409" s="435" t="s">
        <v>607</v>
      </c>
      <c r="F409" s="435"/>
      <c r="G409" s="829">
        <v>2.73</v>
      </c>
      <c r="H409" s="843">
        <f>-G409*G408*F408</f>
        <v>-2.4569999999999999</v>
      </c>
      <c r="I409" s="442"/>
    </row>
    <row r="410" spans="1:9">
      <c r="A410" s="818"/>
      <c r="B410" s="435"/>
      <c r="C410" s="829"/>
      <c r="D410" s="843"/>
      <c r="E410" s="435"/>
      <c r="F410" s="435"/>
      <c r="G410" s="829"/>
      <c r="H410" s="843"/>
      <c r="I410" s="442"/>
    </row>
    <row r="411" spans="1:9">
      <c r="A411" s="818"/>
      <c r="B411" s="435"/>
      <c r="C411" s="829">
        <v>1.5</v>
      </c>
      <c r="D411" s="843"/>
      <c r="E411" s="435" t="s">
        <v>568</v>
      </c>
      <c r="F411" s="435">
        <v>1</v>
      </c>
      <c r="G411" s="829">
        <v>1</v>
      </c>
      <c r="H411" s="843"/>
      <c r="I411" s="442" t="s">
        <v>619</v>
      </c>
    </row>
    <row r="412" spans="1:9">
      <c r="A412" s="818"/>
      <c r="B412" s="435">
        <v>1</v>
      </c>
      <c r="C412" s="829">
        <v>1.73</v>
      </c>
      <c r="D412" s="843">
        <f>-C412*C411*B412</f>
        <v>-2.5949999999999998</v>
      </c>
      <c r="E412" s="435"/>
      <c r="F412" s="435"/>
      <c r="G412" s="829">
        <v>1.73</v>
      </c>
      <c r="H412" s="843">
        <f>-G412*G411*F411</f>
        <v>-1.73</v>
      </c>
      <c r="I412" s="442"/>
    </row>
    <row r="413" spans="1:9">
      <c r="A413" s="818"/>
      <c r="B413" s="109"/>
      <c r="C413" s="850"/>
      <c r="D413" s="928"/>
      <c r="E413" s="109"/>
      <c r="F413" s="109"/>
      <c r="G413" s="850"/>
      <c r="H413" s="928"/>
      <c r="I413" s="860"/>
    </row>
    <row r="414" spans="1:9">
      <c r="A414" s="818"/>
      <c r="B414" s="853" t="s">
        <v>1884</v>
      </c>
      <c r="C414" s="855" t="s">
        <v>526</v>
      </c>
      <c r="D414" s="856" t="s">
        <v>1885</v>
      </c>
      <c r="E414" s="854" t="s">
        <v>1886</v>
      </c>
      <c r="F414" s="853" t="s">
        <v>1884</v>
      </c>
      <c r="G414" s="855" t="s">
        <v>526</v>
      </c>
      <c r="H414" s="856" t="s">
        <v>1885</v>
      </c>
      <c r="I414" s="854" t="s">
        <v>1886</v>
      </c>
    </row>
    <row r="415" spans="1:9">
      <c r="A415" s="818"/>
      <c r="B415" s="435">
        <v>1</v>
      </c>
      <c r="C415" s="829">
        <v>18.600000000000001</v>
      </c>
      <c r="D415" s="843"/>
      <c r="E415" s="435" t="s">
        <v>620</v>
      </c>
      <c r="F415" s="435">
        <v>1</v>
      </c>
      <c r="G415" s="829">
        <v>1.1000000000000001</v>
      </c>
      <c r="H415" s="843"/>
      <c r="I415" s="442" t="s">
        <v>568</v>
      </c>
    </row>
    <row r="416" spans="1:9">
      <c r="A416" s="818"/>
      <c r="B416" s="435"/>
      <c r="C416" s="829">
        <v>3.06</v>
      </c>
      <c r="D416" s="843">
        <f>C415*C416*B415</f>
        <v>56.916000000000004</v>
      </c>
      <c r="E416" s="435" t="s">
        <v>621</v>
      </c>
      <c r="F416" s="435"/>
      <c r="G416" s="829">
        <v>1.73</v>
      </c>
      <c r="H416" s="843">
        <f>-G416*G415*F415</f>
        <v>-1.903</v>
      </c>
      <c r="I416" s="442"/>
    </row>
    <row r="417" spans="1:9">
      <c r="A417" s="818"/>
      <c r="B417" s="435"/>
      <c r="C417" s="829"/>
      <c r="D417" s="843"/>
      <c r="E417" s="435"/>
      <c r="F417" s="435"/>
      <c r="G417" s="829"/>
      <c r="H417" s="843"/>
      <c r="I417" s="442"/>
    </row>
    <row r="418" spans="1:9">
      <c r="A418" s="818"/>
      <c r="B418" s="435">
        <v>1</v>
      </c>
      <c r="C418" s="829">
        <v>1.5</v>
      </c>
      <c r="D418" s="843"/>
      <c r="E418" s="435" t="s">
        <v>360</v>
      </c>
      <c r="F418" s="435">
        <v>1</v>
      </c>
      <c r="G418" s="829">
        <v>13.2</v>
      </c>
      <c r="H418" s="843"/>
      <c r="I418" s="442" t="s">
        <v>626</v>
      </c>
    </row>
    <row r="419" spans="1:9">
      <c r="A419" s="818"/>
      <c r="B419" s="435"/>
      <c r="C419" s="829">
        <v>1.73</v>
      </c>
      <c r="D419" s="843">
        <f>-C418*C419*B418</f>
        <v>-2.5949999999999998</v>
      </c>
      <c r="E419" s="435"/>
      <c r="F419" s="435"/>
      <c r="G419" s="829">
        <v>3.06</v>
      </c>
      <c r="H419" s="843">
        <f>G418*G419*F418</f>
        <v>40.391999999999996</v>
      </c>
      <c r="I419" s="442" t="s">
        <v>627</v>
      </c>
    </row>
    <row r="420" spans="1:9">
      <c r="A420" s="818"/>
      <c r="B420" s="435"/>
      <c r="C420" s="829"/>
      <c r="D420" s="843"/>
      <c r="E420" s="435"/>
      <c r="F420" s="435"/>
      <c r="G420" s="829"/>
      <c r="H420" s="843"/>
      <c r="I420" s="442"/>
    </row>
    <row r="421" spans="1:9">
      <c r="A421" s="818"/>
      <c r="B421" s="435">
        <v>1</v>
      </c>
      <c r="C421" s="829">
        <v>0.9</v>
      </c>
      <c r="D421" s="843"/>
      <c r="E421" s="435" t="s">
        <v>347</v>
      </c>
      <c r="F421" s="435">
        <v>2</v>
      </c>
      <c r="G421" s="829">
        <v>0.9</v>
      </c>
      <c r="H421" s="843"/>
      <c r="I421" s="442" t="s">
        <v>628</v>
      </c>
    </row>
    <row r="422" spans="1:9">
      <c r="A422" s="818"/>
      <c r="B422" s="435"/>
      <c r="C422" s="829">
        <v>2.73</v>
      </c>
      <c r="D422" s="843">
        <f>-C422*C421*B421</f>
        <v>-2.4569999999999999</v>
      </c>
      <c r="E422" s="435"/>
      <c r="F422" s="435"/>
      <c r="G422" s="829">
        <v>2.73</v>
      </c>
      <c r="H422" s="843">
        <f>-G422*G421*F421</f>
        <v>-4.9139999999999997</v>
      </c>
      <c r="I422" s="442"/>
    </row>
    <row r="423" spans="1:9">
      <c r="A423" s="818"/>
      <c r="B423" s="435"/>
      <c r="C423" s="829"/>
      <c r="D423" s="843"/>
      <c r="E423" s="435"/>
      <c r="F423" s="435"/>
      <c r="G423" s="829"/>
      <c r="H423" s="843"/>
      <c r="I423" s="442"/>
    </row>
    <row r="424" spans="1:9">
      <c r="A424" s="818"/>
      <c r="B424" s="435">
        <v>2</v>
      </c>
      <c r="C424" s="829">
        <v>19.100000000000001</v>
      </c>
      <c r="D424" s="843"/>
      <c r="E424" s="435" t="s">
        <v>84</v>
      </c>
      <c r="F424" s="435">
        <v>1</v>
      </c>
      <c r="G424" s="829">
        <v>1.1000000000000001</v>
      </c>
      <c r="H424" s="843"/>
      <c r="I424" s="442" t="s">
        <v>568</v>
      </c>
    </row>
    <row r="425" spans="1:9">
      <c r="A425" s="818"/>
      <c r="B425" s="435"/>
      <c r="C425" s="829">
        <v>3.06</v>
      </c>
      <c r="D425" s="843">
        <f>C424*C425*B424</f>
        <v>116.89200000000001</v>
      </c>
      <c r="E425" s="435"/>
      <c r="F425" s="435"/>
      <c r="G425" s="829">
        <v>1.73</v>
      </c>
      <c r="H425" s="843">
        <f>-G425*G424*F424</f>
        <v>-1.903</v>
      </c>
      <c r="I425" s="442"/>
    </row>
    <row r="426" spans="1:9">
      <c r="A426" s="818"/>
      <c r="B426" s="435"/>
      <c r="C426" s="829"/>
      <c r="D426" s="843"/>
      <c r="E426" s="435"/>
      <c r="F426" s="435"/>
      <c r="G426" s="829"/>
      <c r="H426" s="843"/>
      <c r="I426" s="442"/>
    </row>
    <row r="427" spans="1:9">
      <c r="A427" s="818"/>
      <c r="B427" s="435">
        <v>4</v>
      </c>
      <c r="C427" s="829">
        <v>5</v>
      </c>
      <c r="D427" s="843"/>
      <c r="E427" s="435" t="s">
        <v>121</v>
      </c>
      <c r="F427" s="435">
        <v>1</v>
      </c>
      <c r="G427" s="829">
        <v>11.5</v>
      </c>
      <c r="H427" s="843"/>
      <c r="I427" s="442" t="s">
        <v>183</v>
      </c>
    </row>
    <row r="428" spans="1:9">
      <c r="A428" s="818"/>
      <c r="B428" s="435"/>
      <c r="C428" s="829">
        <v>3.06</v>
      </c>
      <c r="D428" s="843">
        <f>C427*C428*B427</f>
        <v>61.2</v>
      </c>
      <c r="E428" s="435"/>
      <c r="F428" s="435"/>
      <c r="G428" s="829">
        <v>3.06</v>
      </c>
      <c r="H428" s="843">
        <f>G427*G428*F427</f>
        <v>35.19</v>
      </c>
      <c r="I428" s="442" t="s">
        <v>629</v>
      </c>
    </row>
    <row r="429" spans="1:9">
      <c r="A429" s="818"/>
      <c r="B429" s="435"/>
      <c r="C429" s="829"/>
      <c r="D429" s="843"/>
      <c r="E429" s="435"/>
      <c r="F429" s="435"/>
      <c r="G429" s="829"/>
      <c r="H429" s="843"/>
      <c r="I429" s="442"/>
    </row>
    <row r="430" spans="1:9">
      <c r="A430" s="818"/>
      <c r="B430" s="435">
        <v>2</v>
      </c>
      <c r="C430" s="829">
        <v>0.8</v>
      </c>
      <c r="D430" s="843"/>
      <c r="E430" s="435" t="s">
        <v>99</v>
      </c>
      <c r="F430" s="435">
        <v>1</v>
      </c>
      <c r="G430" s="829">
        <v>1</v>
      </c>
      <c r="H430" s="843"/>
      <c r="I430" s="442" t="s">
        <v>619</v>
      </c>
    </row>
    <row r="431" spans="1:9">
      <c r="A431" s="818"/>
      <c r="B431" s="435"/>
      <c r="C431" s="829">
        <v>2.73</v>
      </c>
      <c r="D431" s="843">
        <f>-C431*C430*B430</f>
        <v>-4.3680000000000003</v>
      </c>
      <c r="E431" s="435"/>
      <c r="F431" s="435"/>
      <c r="G431" s="829">
        <v>1.73</v>
      </c>
      <c r="H431" s="843">
        <f>-G431*G430*F430</f>
        <v>-1.73</v>
      </c>
      <c r="I431" s="442"/>
    </row>
    <row r="432" spans="1:9">
      <c r="A432" s="818"/>
      <c r="B432" s="435"/>
      <c r="C432" s="829"/>
      <c r="D432" s="843"/>
      <c r="E432" s="435"/>
      <c r="F432" s="435"/>
      <c r="G432" s="829"/>
      <c r="H432" s="843"/>
      <c r="I432" s="442"/>
    </row>
    <row r="433" spans="1:9">
      <c r="A433" s="818"/>
      <c r="B433" s="435">
        <v>8</v>
      </c>
      <c r="C433" s="829">
        <v>0.7</v>
      </c>
      <c r="D433" s="843"/>
      <c r="E433" s="435" t="s">
        <v>123</v>
      </c>
      <c r="F433" s="435">
        <v>1</v>
      </c>
      <c r="G433" s="829">
        <v>1.3</v>
      </c>
      <c r="H433" s="843"/>
      <c r="I433" s="442" t="s">
        <v>365</v>
      </c>
    </row>
    <row r="434" spans="1:9">
      <c r="A434" s="818"/>
      <c r="B434" s="435"/>
      <c r="C434" s="829">
        <v>2.73</v>
      </c>
      <c r="D434" s="843">
        <f>-C434*C433*B433</f>
        <v>-15.287999999999998</v>
      </c>
      <c r="E434" s="435"/>
      <c r="F434" s="435"/>
      <c r="G434" s="829">
        <v>1.73</v>
      </c>
      <c r="H434" s="843">
        <f>-G434*G433*F433</f>
        <v>-2.2490000000000001</v>
      </c>
      <c r="I434" s="442"/>
    </row>
    <row r="435" spans="1:9">
      <c r="A435" s="818"/>
      <c r="B435" s="435"/>
      <c r="C435" s="829"/>
      <c r="D435" s="843"/>
      <c r="E435" s="435"/>
      <c r="F435" s="435"/>
      <c r="G435" s="829"/>
      <c r="H435" s="843"/>
      <c r="I435" s="442"/>
    </row>
    <row r="436" spans="1:9">
      <c r="A436" s="818"/>
      <c r="B436" s="435">
        <v>8</v>
      </c>
      <c r="C436" s="829">
        <v>1.1000000000000001</v>
      </c>
      <c r="D436" s="843"/>
      <c r="E436" s="435" t="s">
        <v>348</v>
      </c>
      <c r="F436" s="435">
        <v>1</v>
      </c>
      <c r="G436" s="829">
        <v>0.9</v>
      </c>
      <c r="H436" s="843"/>
      <c r="I436" s="442" t="s">
        <v>570</v>
      </c>
    </row>
    <row r="437" spans="1:9">
      <c r="A437" s="818"/>
      <c r="B437" s="435"/>
      <c r="C437" s="829">
        <v>0.6</v>
      </c>
      <c r="D437" s="843">
        <f>-C437*C436*B436</f>
        <v>-5.28</v>
      </c>
      <c r="E437" s="435"/>
      <c r="F437" s="435"/>
      <c r="G437" s="829">
        <v>2.73</v>
      </c>
      <c r="H437" s="843">
        <f>-G437*G436*F436</f>
        <v>-2.4569999999999999</v>
      </c>
      <c r="I437" s="442"/>
    </row>
    <row r="438" spans="1:9">
      <c r="A438" s="818"/>
      <c r="B438" s="435"/>
      <c r="C438" s="829"/>
      <c r="D438" s="843"/>
      <c r="E438" s="435"/>
      <c r="F438" s="435"/>
      <c r="G438" s="829"/>
      <c r="H438" s="843"/>
      <c r="I438" s="442"/>
    </row>
    <row r="439" spans="1:9">
      <c r="A439" s="818"/>
      <c r="B439" s="435">
        <v>1</v>
      </c>
      <c r="C439" s="829">
        <v>1.5</v>
      </c>
      <c r="D439" s="843"/>
      <c r="E439" s="435" t="s">
        <v>360</v>
      </c>
      <c r="F439" s="435">
        <v>1</v>
      </c>
      <c r="G439" s="829">
        <v>29.85</v>
      </c>
      <c r="H439" s="843"/>
      <c r="I439" s="442" t="s">
        <v>160</v>
      </c>
    </row>
    <row r="440" spans="1:9">
      <c r="A440" s="818"/>
      <c r="B440" s="435"/>
      <c r="C440" s="829">
        <v>1.73</v>
      </c>
      <c r="D440" s="843">
        <f>-C440*C439*B439</f>
        <v>-2.5949999999999998</v>
      </c>
      <c r="E440" s="435"/>
      <c r="F440" s="435"/>
      <c r="G440" s="829">
        <v>3.06</v>
      </c>
      <c r="H440" s="843">
        <f>G439*G440*F439</f>
        <v>91.341000000000008</v>
      </c>
      <c r="I440" s="442"/>
    </row>
    <row r="441" spans="1:9">
      <c r="A441" s="818"/>
      <c r="B441" s="435"/>
      <c r="C441" s="829"/>
      <c r="D441" s="843"/>
      <c r="E441" s="435"/>
      <c r="F441" s="435"/>
      <c r="G441" s="829"/>
      <c r="H441" s="843"/>
      <c r="I441" s="442"/>
    </row>
    <row r="442" spans="1:9">
      <c r="A442" s="818"/>
      <c r="B442" s="435">
        <v>1</v>
      </c>
      <c r="C442" s="829">
        <v>1.1000000000000001</v>
      </c>
      <c r="D442" s="843"/>
      <c r="E442" s="435" t="s">
        <v>568</v>
      </c>
      <c r="F442" s="435">
        <v>3</v>
      </c>
      <c r="G442" s="829">
        <v>1.4</v>
      </c>
      <c r="H442" s="843"/>
      <c r="I442" s="442" t="s">
        <v>633</v>
      </c>
    </row>
    <row r="443" spans="1:9">
      <c r="A443" s="818"/>
      <c r="B443" s="435"/>
      <c r="C443" s="829">
        <v>1.73</v>
      </c>
      <c r="D443" s="843">
        <f>-C443*C442*B442</f>
        <v>-1.903</v>
      </c>
      <c r="E443" s="435"/>
      <c r="F443" s="435"/>
      <c r="G443" s="829">
        <v>2.73</v>
      </c>
      <c r="H443" s="843">
        <f>-G442*G443*F442</f>
        <v>-11.465999999999999</v>
      </c>
      <c r="I443" s="442"/>
    </row>
    <row r="444" spans="1:9">
      <c r="A444" s="818"/>
      <c r="B444" s="435"/>
      <c r="C444" s="829"/>
      <c r="D444" s="843"/>
      <c r="E444" s="435"/>
      <c r="F444" s="435"/>
      <c r="G444" s="829"/>
      <c r="H444" s="843"/>
      <c r="I444" s="442"/>
    </row>
    <row r="445" spans="1:9">
      <c r="A445" s="818"/>
      <c r="B445" s="435">
        <v>1</v>
      </c>
      <c r="C445" s="829">
        <v>1.3</v>
      </c>
      <c r="D445" s="843"/>
      <c r="E445" s="435" t="s">
        <v>574</v>
      </c>
      <c r="F445" s="435">
        <v>4</v>
      </c>
      <c r="G445" s="829">
        <v>0.9</v>
      </c>
      <c r="H445" s="843"/>
      <c r="I445" s="442" t="s">
        <v>98</v>
      </c>
    </row>
    <row r="446" spans="1:9">
      <c r="A446" s="818"/>
      <c r="B446" s="435"/>
      <c r="C446" s="829">
        <v>1.73</v>
      </c>
      <c r="D446" s="843">
        <f>-C446*C445*B445</f>
        <v>-2.2490000000000001</v>
      </c>
      <c r="E446" s="435"/>
      <c r="F446" s="435"/>
      <c r="G446" s="829">
        <v>2.73</v>
      </c>
      <c r="H446" s="843">
        <f>-G445*G446*F445</f>
        <v>-9.8279999999999994</v>
      </c>
      <c r="I446" s="442"/>
    </row>
    <row r="447" spans="1:9">
      <c r="A447" s="818"/>
      <c r="B447" s="435"/>
      <c r="C447" s="829"/>
      <c r="D447" s="843"/>
      <c r="E447" s="435"/>
      <c r="F447" s="435"/>
      <c r="G447" s="829"/>
      <c r="H447" s="843"/>
      <c r="I447" s="442"/>
    </row>
    <row r="448" spans="1:9">
      <c r="A448" s="818"/>
      <c r="B448" s="435">
        <v>1</v>
      </c>
      <c r="C448" s="829">
        <v>0.9</v>
      </c>
      <c r="D448" s="843"/>
      <c r="E448" s="435" t="s">
        <v>570</v>
      </c>
      <c r="F448" s="435">
        <v>1</v>
      </c>
      <c r="G448" s="829">
        <v>5.8</v>
      </c>
      <c r="H448" s="843"/>
      <c r="I448" s="442" t="s">
        <v>635</v>
      </c>
    </row>
    <row r="449" spans="1:9">
      <c r="A449" s="818"/>
      <c r="B449" s="435"/>
      <c r="C449" s="829">
        <v>2.73</v>
      </c>
      <c r="D449" s="843">
        <f>-C449*C448*B448</f>
        <v>-2.4569999999999999</v>
      </c>
      <c r="E449" s="435"/>
      <c r="F449" s="435"/>
      <c r="G449" s="829">
        <v>3.06</v>
      </c>
      <c r="H449" s="843">
        <f>G448*G449*F448</f>
        <v>17.748000000000001</v>
      </c>
      <c r="I449" s="442"/>
    </row>
    <row r="450" spans="1:9">
      <c r="A450" s="818"/>
      <c r="B450" s="435"/>
      <c r="C450" s="829"/>
      <c r="D450" s="843"/>
      <c r="E450" s="435"/>
      <c r="F450" s="435"/>
      <c r="G450" s="829"/>
      <c r="H450" s="843"/>
      <c r="I450" s="442"/>
    </row>
    <row r="451" spans="1:9">
      <c r="A451" s="818"/>
      <c r="B451" s="435">
        <v>1</v>
      </c>
      <c r="C451" s="829">
        <v>6.9</v>
      </c>
      <c r="D451" s="843"/>
      <c r="E451" s="435" t="s">
        <v>630</v>
      </c>
      <c r="F451" s="435">
        <v>1</v>
      </c>
      <c r="G451" s="829">
        <v>37.700000000000003</v>
      </c>
      <c r="H451" s="843"/>
      <c r="I451" s="442" t="s">
        <v>160</v>
      </c>
    </row>
    <row r="452" spans="1:9">
      <c r="A452" s="818"/>
      <c r="B452" s="435"/>
      <c r="C452" s="829">
        <v>3.06</v>
      </c>
      <c r="D452" s="843">
        <f>C451*C452*B451</f>
        <v>21.114000000000001</v>
      </c>
      <c r="E452" s="435" t="s">
        <v>631</v>
      </c>
      <c r="F452" s="435"/>
      <c r="G452" s="829">
        <v>3.06</v>
      </c>
      <c r="H452" s="843">
        <f>G451*G452*F451</f>
        <v>115.36200000000001</v>
      </c>
      <c r="I452" s="442"/>
    </row>
    <row r="453" spans="1:9">
      <c r="A453" s="818"/>
      <c r="B453" s="435"/>
      <c r="C453" s="829"/>
      <c r="D453" s="843"/>
      <c r="E453" s="435"/>
      <c r="F453" s="435"/>
      <c r="G453" s="829"/>
      <c r="H453" s="843"/>
      <c r="I453" s="442"/>
    </row>
    <row r="454" spans="1:9">
      <c r="A454" s="818"/>
      <c r="B454" s="435"/>
      <c r="C454" s="829">
        <v>0.8</v>
      </c>
      <c r="D454" s="843"/>
      <c r="E454" s="435" t="s">
        <v>99</v>
      </c>
      <c r="F454" s="435">
        <v>3</v>
      </c>
      <c r="G454" s="829">
        <v>1.4</v>
      </c>
      <c r="H454" s="843"/>
      <c r="I454" s="442" t="s">
        <v>633</v>
      </c>
    </row>
    <row r="455" spans="1:9">
      <c r="A455" s="818"/>
      <c r="B455" s="435">
        <v>2</v>
      </c>
      <c r="C455" s="829">
        <v>2.73</v>
      </c>
      <c r="D455" s="843">
        <f>-C455*C454*B455</f>
        <v>-4.3680000000000003</v>
      </c>
      <c r="E455" s="435"/>
      <c r="F455" s="435"/>
      <c r="G455" s="829">
        <v>2.73</v>
      </c>
      <c r="H455" s="843">
        <f>-G454*G455*F454</f>
        <v>-11.465999999999999</v>
      </c>
      <c r="I455" s="442"/>
    </row>
    <row r="456" spans="1:9">
      <c r="A456" s="818"/>
      <c r="B456" s="435"/>
      <c r="C456" s="829"/>
      <c r="D456" s="843"/>
      <c r="E456" s="435"/>
      <c r="F456" s="435"/>
      <c r="G456" s="829"/>
      <c r="H456" s="843"/>
      <c r="I456" s="442"/>
    </row>
    <row r="457" spans="1:9">
      <c r="A457" s="818"/>
      <c r="B457" s="435"/>
      <c r="C457" s="829">
        <v>0.9</v>
      </c>
      <c r="D457" s="843"/>
      <c r="E457" s="435" t="s">
        <v>533</v>
      </c>
      <c r="F457" s="435">
        <v>5</v>
      </c>
      <c r="G457" s="829">
        <v>0.9</v>
      </c>
      <c r="H457" s="843"/>
      <c r="I457" s="442" t="s">
        <v>637</v>
      </c>
    </row>
    <row r="458" spans="1:9">
      <c r="A458" s="818"/>
      <c r="B458" s="435">
        <v>1</v>
      </c>
      <c r="C458" s="829">
        <v>2.73</v>
      </c>
      <c r="D458" s="843">
        <f>-C458*C457*B458</f>
        <v>-2.4569999999999999</v>
      </c>
      <c r="E458" s="435"/>
      <c r="F458" s="435"/>
      <c r="G458" s="829">
        <v>2.73</v>
      </c>
      <c r="H458" s="843">
        <f>-G457*G458*F457</f>
        <v>-12.285</v>
      </c>
      <c r="I458" s="442"/>
    </row>
    <row r="459" spans="1:9">
      <c r="A459" s="818"/>
      <c r="B459" s="435"/>
      <c r="C459" s="829"/>
      <c r="D459" s="843"/>
      <c r="E459" s="435"/>
      <c r="F459" s="435"/>
      <c r="G459" s="829"/>
      <c r="H459" s="843"/>
      <c r="I459" s="442"/>
    </row>
    <row r="460" spans="1:9">
      <c r="A460" s="818"/>
      <c r="B460" s="435">
        <v>1</v>
      </c>
      <c r="C460" s="829">
        <v>13.8</v>
      </c>
      <c r="D460" s="843"/>
      <c r="E460" s="435" t="s">
        <v>163</v>
      </c>
      <c r="F460" s="435">
        <v>7</v>
      </c>
      <c r="G460" s="829">
        <v>2.5</v>
      </c>
      <c r="H460" s="843"/>
      <c r="I460" s="442"/>
    </row>
    <row r="461" spans="1:9">
      <c r="A461" s="818"/>
      <c r="B461" s="435"/>
      <c r="C461" s="829">
        <v>3.06</v>
      </c>
      <c r="D461" s="843">
        <f>C460*C461*B460</f>
        <v>42.228000000000002</v>
      </c>
      <c r="E461" s="435" t="s">
        <v>622</v>
      </c>
      <c r="F461" s="435"/>
      <c r="G461" s="829">
        <v>3.06</v>
      </c>
      <c r="H461" s="843">
        <f>G460*G461*F460</f>
        <v>53.550000000000004</v>
      </c>
      <c r="I461" s="442" t="s">
        <v>160</v>
      </c>
    </row>
    <row r="462" spans="1:9">
      <c r="A462" s="818"/>
      <c r="B462" s="435"/>
      <c r="C462" s="829"/>
      <c r="D462" s="843"/>
      <c r="E462" s="435"/>
      <c r="F462" s="435"/>
      <c r="G462" s="829"/>
      <c r="H462" s="843"/>
      <c r="I462" s="442"/>
    </row>
    <row r="463" spans="1:9">
      <c r="A463" s="818"/>
      <c r="B463" s="435">
        <v>1</v>
      </c>
      <c r="C463" s="829">
        <v>0.9</v>
      </c>
      <c r="D463" s="843"/>
      <c r="E463" s="435" t="s">
        <v>347</v>
      </c>
      <c r="F463" s="435">
        <v>1</v>
      </c>
      <c r="G463" s="829">
        <v>5.2</v>
      </c>
      <c r="H463" s="843"/>
      <c r="I463" s="442"/>
    </row>
    <row r="464" spans="1:9">
      <c r="A464" s="818"/>
      <c r="B464" s="435"/>
      <c r="C464" s="829">
        <v>2.73</v>
      </c>
      <c r="D464" s="843">
        <f>-C464*C463*B463</f>
        <v>-2.4569999999999999</v>
      </c>
      <c r="E464" s="435"/>
      <c r="F464" s="435"/>
      <c r="G464" s="829">
        <v>3.06</v>
      </c>
      <c r="H464" s="843">
        <f>G463*G464*F463</f>
        <v>15.912000000000001</v>
      </c>
      <c r="I464" s="442" t="s">
        <v>121</v>
      </c>
    </row>
    <row r="465" spans="1:9">
      <c r="A465" s="818"/>
      <c r="B465" s="435"/>
      <c r="C465" s="829"/>
      <c r="D465" s="843"/>
      <c r="E465" s="435"/>
      <c r="F465" s="435"/>
      <c r="G465" s="829"/>
      <c r="H465" s="843"/>
      <c r="I465" s="442"/>
    </row>
    <row r="466" spans="1:9">
      <c r="A466" s="818"/>
      <c r="B466" s="435">
        <v>1</v>
      </c>
      <c r="C466" s="829">
        <v>12.1</v>
      </c>
      <c r="D466" s="843"/>
      <c r="E466" s="435" t="s">
        <v>623</v>
      </c>
      <c r="F466" s="435">
        <v>4</v>
      </c>
      <c r="G466" s="829">
        <v>7.25</v>
      </c>
      <c r="H466" s="843"/>
      <c r="I466" s="442" t="s">
        <v>638</v>
      </c>
    </row>
    <row r="467" spans="1:9">
      <c r="A467" s="818"/>
      <c r="B467" s="435"/>
      <c r="C467" s="829">
        <v>3.06</v>
      </c>
      <c r="D467" s="843">
        <f>C466*C467*B466</f>
        <v>37.025999999999996</v>
      </c>
      <c r="E467" s="435" t="s">
        <v>624</v>
      </c>
      <c r="F467" s="435"/>
      <c r="G467" s="829">
        <v>3.06</v>
      </c>
      <c r="H467" s="843">
        <f>G466*G467*F466</f>
        <v>88.74</v>
      </c>
      <c r="I467" s="442"/>
    </row>
    <row r="468" spans="1:9">
      <c r="A468" s="818"/>
      <c r="B468" s="435"/>
      <c r="C468" s="829"/>
      <c r="D468" s="843"/>
      <c r="E468" s="435"/>
      <c r="F468" s="435"/>
      <c r="G468" s="829"/>
      <c r="H468" s="843"/>
      <c r="I468" s="442"/>
    </row>
    <row r="469" spans="1:9">
      <c r="A469" s="818"/>
      <c r="B469" s="435">
        <v>1</v>
      </c>
      <c r="C469" s="829">
        <v>1.3</v>
      </c>
      <c r="D469" s="843"/>
      <c r="E469" s="435" t="s">
        <v>625</v>
      </c>
      <c r="F469" s="435">
        <v>1</v>
      </c>
      <c r="G469" s="829">
        <v>11.5</v>
      </c>
      <c r="H469" s="843"/>
      <c r="I469" s="442" t="s">
        <v>640</v>
      </c>
    </row>
    <row r="470" spans="1:9">
      <c r="A470" s="818"/>
      <c r="B470" s="435"/>
      <c r="C470" s="829">
        <v>2.73</v>
      </c>
      <c r="D470" s="843">
        <f>-C470*C469*B469</f>
        <v>-3.5489999999999999</v>
      </c>
      <c r="E470" s="435"/>
      <c r="F470" s="435"/>
      <c r="G470" s="829">
        <v>3.06</v>
      </c>
      <c r="H470" s="843">
        <f>G469*G470*F469</f>
        <v>35.19</v>
      </c>
      <c r="I470" s="442"/>
    </row>
    <row r="471" spans="1:9">
      <c r="A471" s="818"/>
      <c r="B471" s="435"/>
      <c r="C471" s="829"/>
      <c r="D471" s="843"/>
      <c r="E471" s="435"/>
      <c r="F471" s="435"/>
      <c r="G471" s="829"/>
      <c r="H471" s="843"/>
      <c r="I471" s="442"/>
    </row>
    <row r="472" spans="1:9">
      <c r="A472" s="818"/>
      <c r="B472" s="435"/>
      <c r="C472" s="829"/>
      <c r="D472" s="843"/>
      <c r="E472" s="435"/>
      <c r="F472" s="435">
        <v>22</v>
      </c>
      <c r="G472" s="829">
        <v>0.2</v>
      </c>
      <c r="H472" s="843"/>
      <c r="I472" s="442" t="s">
        <v>641</v>
      </c>
    </row>
    <row r="473" spans="1:9">
      <c r="A473" s="818"/>
      <c r="B473" s="109"/>
      <c r="C473" s="850"/>
      <c r="D473" s="928"/>
      <c r="E473" s="109"/>
      <c r="F473" s="109"/>
      <c r="G473" s="850">
        <v>2.73</v>
      </c>
      <c r="H473" s="928">
        <f>G472*G473*F472</f>
        <v>12.012</v>
      </c>
      <c r="I473" s="860"/>
    </row>
    <row r="474" spans="1:9">
      <c r="A474" s="818"/>
      <c r="B474" s="853" t="s">
        <v>1884</v>
      </c>
      <c r="C474" s="854" t="s">
        <v>526</v>
      </c>
      <c r="D474" s="855" t="s">
        <v>1885</v>
      </c>
      <c r="E474" s="854" t="s">
        <v>1886</v>
      </c>
      <c r="F474" s="853" t="s">
        <v>1884</v>
      </c>
      <c r="G474" s="854" t="s">
        <v>526</v>
      </c>
      <c r="H474" s="855" t="s">
        <v>1885</v>
      </c>
      <c r="I474" s="854" t="s">
        <v>1886</v>
      </c>
    </row>
    <row r="475" spans="1:9">
      <c r="A475" s="818"/>
      <c r="B475" s="435">
        <v>2</v>
      </c>
      <c r="C475" s="829">
        <v>42.9</v>
      </c>
      <c r="D475" s="843"/>
      <c r="E475" s="435" t="s">
        <v>642</v>
      </c>
      <c r="F475" s="435">
        <v>1</v>
      </c>
      <c r="G475" s="829">
        <v>2.7</v>
      </c>
      <c r="H475" s="843"/>
      <c r="I475" s="435" t="s">
        <v>605</v>
      </c>
    </row>
    <row r="476" spans="1:9">
      <c r="A476" s="818"/>
      <c r="B476" s="435"/>
      <c r="C476" s="829">
        <v>0.3</v>
      </c>
      <c r="D476" s="843">
        <f>C475*C476*B475</f>
        <v>25.74</v>
      </c>
      <c r="E476" s="435"/>
      <c r="F476" s="435"/>
      <c r="G476" s="829">
        <v>2.5</v>
      </c>
      <c r="H476" s="843">
        <f>G475*G476*F475</f>
        <v>6.75</v>
      </c>
      <c r="I476" s="435"/>
    </row>
    <row r="477" spans="1:9">
      <c r="A477" s="818"/>
      <c r="B477" s="435"/>
      <c r="C477" s="829"/>
      <c r="D477" s="843"/>
      <c r="E477" s="435"/>
      <c r="F477" s="435"/>
      <c r="G477" s="829"/>
      <c r="H477" s="843"/>
      <c r="I477" s="435"/>
    </row>
    <row r="478" spans="1:9">
      <c r="A478" s="818"/>
      <c r="B478" s="435">
        <v>2</v>
      </c>
      <c r="C478" s="829">
        <v>16.350000000000001</v>
      </c>
      <c r="D478" s="843"/>
      <c r="E478" s="435" t="s">
        <v>644</v>
      </c>
      <c r="F478" s="435">
        <v>1</v>
      </c>
      <c r="G478" s="829">
        <v>1.4</v>
      </c>
      <c r="H478" s="843"/>
      <c r="I478" s="435" t="s">
        <v>608</v>
      </c>
    </row>
    <row r="479" spans="1:9">
      <c r="A479" s="818"/>
      <c r="B479" s="435"/>
      <c r="C479" s="829">
        <v>0.3</v>
      </c>
      <c r="D479" s="843">
        <f>C478*C479*B478</f>
        <v>9.81</v>
      </c>
      <c r="E479" s="435"/>
      <c r="F479" s="435"/>
      <c r="G479" s="829">
        <v>2.5</v>
      </c>
      <c r="H479" s="843">
        <f>G478*G479*F478</f>
        <v>3.5</v>
      </c>
      <c r="I479" s="435"/>
    </row>
    <row r="480" spans="1:9">
      <c r="A480" s="818"/>
      <c r="B480" s="435"/>
      <c r="C480" s="829"/>
      <c r="D480" s="843"/>
      <c r="E480" s="435"/>
      <c r="F480" s="435"/>
      <c r="G480" s="829"/>
      <c r="H480" s="843"/>
      <c r="I480" s="435"/>
    </row>
    <row r="481" spans="1:10">
      <c r="A481" s="818"/>
      <c r="B481" s="435">
        <v>2</v>
      </c>
      <c r="C481" s="829">
        <v>42.9</v>
      </c>
      <c r="D481" s="843"/>
      <c r="E481" s="435" t="s">
        <v>645</v>
      </c>
      <c r="F481" s="435">
        <v>1</v>
      </c>
      <c r="G481" s="829">
        <v>4.95</v>
      </c>
      <c r="H481" s="435"/>
      <c r="I481" s="435" t="s">
        <v>647</v>
      </c>
    </row>
    <row r="482" spans="1:10">
      <c r="A482" s="818"/>
      <c r="B482" s="435"/>
      <c r="C482" s="829">
        <v>0.4</v>
      </c>
      <c r="D482" s="843">
        <f>C481*C482*B481</f>
        <v>34.32</v>
      </c>
      <c r="E482" s="435"/>
      <c r="F482" s="435"/>
      <c r="G482" s="829">
        <v>5.0999999999999996</v>
      </c>
      <c r="H482" s="843">
        <f>G481*G482*F481</f>
        <v>25.244999999999997</v>
      </c>
      <c r="I482" s="435"/>
    </row>
    <row r="483" spans="1:10">
      <c r="A483" s="818"/>
      <c r="B483" s="435"/>
      <c r="C483" s="829"/>
      <c r="D483" s="843"/>
      <c r="E483" s="435"/>
      <c r="F483" s="435"/>
      <c r="G483" s="829"/>
      <c r="H483" s="843"/>
      <c r="I483" s="435"/>
    </row>
    <row r="484" spans="1:10">
      <c r="A484" s="818"/>
      <c r="B484" s="435">
        <v>2</v>
      </c>
      <c r="C484" s="829">
        <v>16.350000000000001</v>
      </c>
      <c r="D484" s="843"/>
      <c r="E484" s="435" t="s">
        <v>646</v>
      </c>
      <c r="F484" s="435">
        <v>1</v>
      </c>
      <c r="G484" s="829">
        <v>2.15</v>
      </c>
      <c r="H484" s="843"/>
      <c r="I484" s="435" t="s">
        <v>648</v>
      </c>
    </row>
    <row r="485" spans="1:10">
      <c r="A485" s="818"/>
      <c r="B485" s="435"/>
      <c r="C485" s="829">
        <v>0.4</v>
      </c>
      <c r="D485" s="843">
        <f>C484*C485*B484</f>
        <v>13.080000000000002</v>
      </c>
      <c r="E485" s="435"/>
      <c r="F485" s="435"/>
      <c r="G485" s="829">
        <v>2</v>
      </c>
      <c r="H485" s="843">
        <f>G484*G485*F484</f>
        <v>4.3</v>
      </c>
      <c r="I485" s="435"/>
    </row>
    <row r="486" spans="1:10">
      <c r="A486" s="818"/>
      <c r="B486" s="435"/>
      <c r="C486" s="829"/>
      <c r="D486" s="843"/>
      <c r="E486" s="435"/>
      <c r="F486" s="435"/>
      <c r="G486" s="829"/>
      <c r="H486" s="843"/>
      <c r="I486" s="435"/>
    </row>
    <row r="487" spans="1:10">
      <c r="A487" s="818"/>
      <c r="B487" s="839"/>
      <c r="C487" s="839"/>
      <c r="D487" s="838">
        <f>SUM(D475:D485)+SUM(D416:D473)+SUM(H416:H473)+SUM(H358:H412)+SUM(D358:D412)+SUM(H300:H352)+SUM(D300:D354)+SUM(H287:H297)</f>
        <v>1863.0472000000002</v>
      </c>
      <c r="E487" s="839" t="s">
        <v>2361</v>
      </c>
      <c r="F487" s="435">
        <v>1</v>
      </c>
      <c r="G487" s="829">
        <v>2.15</v>
      </c>
      <c r="H487" s="843"/>
      <c r="I487" s="435" t="s">
        <v>70</v>
      </c>
    </row>
    <row r="488" spans="1:10">
      <c r="A488" s="818"/>
      <c r="B488" s="435"/>
      <c r="C488" s="829"/>
      <c r="D488" s="843"/>
      <c r="E488" s="435"/>
      <c r="F488" s="435"/>
      <c r="G488" s="829">
        <v>2.8</v>
      </c>
      <c r="H488" s="843">
        <f>G487*G488*F487</f>
        <v>6.02</v>
      </c>
      <c r="I488" s="435"/>
    </row>
    <row r="489" spans="1:10">
      <c r="A489" s="818"/>
      <c r="B489" s="839"/>
      <c r="C489" s="839"/>
      <c r="D489" s="838">
        <v>346.4</v>
      </c>
      <c r="E489" s="839" t="s">
        <v>1233</v>
      </c>
      <c r="F489" s="435"/>
      <c r="G489" s="829"/>
      <c r="H489" s="843"/>
      <c r="I489" s="435"/>
    </row>
    <row r="490" spans="1:10">
      <c r="A490" s="818"/>
      <c r="B490" s="435"/>
      <c r="C490" s="829"/>
      <c r="D490" s="843"/>
      <c r="E490" s="435"/>
      <c r="F490" s="435">
        <v>1</v>
      </c>
      <c r="G490" s="829">
        <v>7.25</v>
      </c>
      <c r="H490" s="843"/>
      <c r="I490" s="435" t="s">
        <v>160</v>
      </c>
    </row>
    <row r="491" spans="1:10">
      <c r="A491" s="818"/>
      <c r="B491" s="839"/>
      <c r="C491" s="839"/>
      <c r="D491" s="838">
        <f>D487-D489</f>
        <v>1516.6472000000003</v>
      </c>
      <c r="E491" s="839" t="s">
        <v>2184</v>
      </c>
      <c r="F491" s="435"/>
      <c r="G491" s="829">
        <v>1.4</v>
      </c>
      <c r="H491" s="843">
        <f>G490*G491*F490</f>
        <v>10.149999999999999</v>
      </c>
      <c r="I491" s="435"/>
    </row>
    <row r="492" spans="1:10">
      <c r="A492" s="818"/>
      <c r="B492" s="435"/>
      <c r="C492" s="829"/>
      <c r="D492" s="843"/>
      <c r="E492" s="435"/>
      <c r="F492" s="435"/>
      <c r="G492" s="829"/>
      <c r="H492" s="843"/>
      <c r="I492" s="435"/>
    </row>
    <row r="493" spans="1:10">
      <c r="A493" s="818"/>
      <c r="B493" s="435"/>
      <c r="C493" s="829"/>
      <c r="D493" s="843"/>
      <c r="E493" s="847" t="s">
        <v>632</v>
      </c>
      <c r="F493" s="435">
        <v>1</v>
      </c>
      <c r="G493" s="829">
        <v>1.99</v>
      </c>
      <c r="H493" s="843"/>
      <c r="I493" s="435" t="s">
        <v>636</v>
      </c>
    </row>
    <row r="494" spans="1:10">
      <c r="A494" s="818"/>
      <c r="B494" s="435">
        <v>1</v>
      </c>
      <c r="C494" s="829">
        <v>3.5</v>
      </c>
      <c r="D494" s="843"/>
      <c r="E494" s="435" t="s">
        <v>634</v>
      </c>
      <c r="F494" s="435"/>
      <c r="G494" s="829">
        <v>2.95</v>
      </c>
      <c r="H494" s="843">
        <f>G493*G494*F493</f>
        <v>5.8705000000000007</v>
      </c>
      <c r="I494" s="435"/>
      <c r="J494" s="818"/>
    </row>
    <row r="495" spans="1:10">
      <c r="A495" s="818"/>
      <c r="B495" s="435"/>
      <c r="C495" s="829">
        <v>5</v>
      </c>
      <c r="D495" s="843">
        <f>C494*C495*B494</f>
        <v>17.5</v>
      </c>
      <c r="E495" s="435"/>
      <c r="F495" s="435"/>
      <c r="G495" s="829"/>
      <c r="H495" s="843"/>
      <c r="I495" s="435"/>
      <c r="J495" s="818"/>
    </row>
    <row r="496" spans="1:10">
      <c r="A496" s="818"/>
      <c r="B496" s="435"/>
      <c r="C496" s="829"/>
      <c r="D496" s="843"/>
      <c r="E496" s="435"/>
      <c r="F496" s="435">
        <v>1</v>
      </c>
      <c r="G496" s="829">
        <v>2.5</v>
      </c>
      <c r="H496" s="843"/>
      <c r="I496" s="435" t="s">
        <v>84</v>
      </c>
      <c r="J496" s="818"/>
    </row>
    <row r="497" spans="1:10">
      <c r="A497" s="818"/>
      <c r="B497" s="435">
        <v>1</v>
      </c>
      <c r="C497" s="829">
        <v>3.6</v>
      </c>
      <c r="D497" s="843"/>
      <c r="E497" s="435" t="s">
        <v>580</v>
      </c>
      <c r="F497" s="435"/>
      <c r="G497" s="829">
        <v>1.5</v>
      </c>
      <c r="H497" s="843">
        <f>G496*G497*F496</f>
        <v>3.75</v>
      </c>
      <c r="I497" s="435"/>
      <c r="J497" s="818"/>
    </row>
    <row r="498" spans="1:10">
      <c r="A498" s="818"/>
      <c r="B498" s="435"/>
      <c r="C498" s="829">
        <v>5</v>
      </c>
      <c r="D498" s="843">
        <f>C497*C498*B497</f>
        <v>18</v>
      </c>
      <c r="E498" s="435"/>
      <c r="F498" s="435"/>
      <c r="G498" s="829"/>
      <c r="H498" s="843"/>
      <c r="I498" s="435"/>
      <c r="J498" s="818"/>
    </row>
    <row r="499" spans="1:10">
      <c r="A499" s="818"/>
      <c r="B499" s="435"/>
      <c r="C499" s="829"/>
      <c r="D499" s="843"/>
      <c r="E499" s="435"/>
      <c r="F499" s="435">
        <v>1</v>
      </c>
      <c r="G499" s="829">
        <v>2.5499999999999998</v>
      </c>
      <c r="H499" s="843"/>
      <c r="I499" s="435"/>
      <c r="J499" s="818"/>
    </row>
    <row r="500" spans="1:10">
      <c r="A500" s="818"/>
      <c r="B500" s="435">
        <v>1</v>
      </c>
      <c r="C500" s="829">
        <v>3.5</v>
      </c>
      <c r="D500" s="843"/>
      <c r="E500" s="435" t="s">
        <v>584</v>
      </c>
      <c r="F500" s="435"/>
      <c r="G500" s="829">
        <v>1.5</v>
      </c>
      <c r="H500" s="843">
        <f>G499*G500*F499</f>
        <v>3.8249999999999997</v>
      </c>
      <c r="I500" s="435"/>
      <c r="J500" s="818"/>
    </row>
    <row r="501" spans="1:10">
      <c r="A501" s="818"/>
      <c r="B501" s="435"/>
      <c r="C501" s="829">
        <v>3.1</v>
      </c>
      <c r="D501" s="843">
        <f>C500*C501*B500</f>
        <v>10.85</v>
      </c>
      <c r="E501" s="435"/>
      <c r="F501" s="435"/>
      <c r="G501" s="829"/>
      <c r="H501" s="843"/>
      <c r="I501" s="435"/>
      <c r="J501" s="818"/>
    </row>
    <row r="502" spans="1:10">
      <c r="A502" s="818"/>
      <c r="B502" s="435"/>
      <c r="C502" s="829"/>
      <c r="D502" s="843"/>
      <c r="E502" s="435"/>
      <c r="F502" s="435">
        <v>1</v>
      </c>
      <c r="G502" s="829">
        <v>2.5499999999999998</v>
      </c>
      <c r="H502" s="843"/>
      <c r="I502" s="435"/>
      <c r="J502" s="818"/>
    </row>
    <row r="503" spans="1:10">
      <c r="A503" s="818"/>
      <c r="B503" s="435">
        <v>1</v>
      </c>
      <c r="C503" s="829">
        <v>3.6</v>
      </c>
      <c r="D503" s="843"/>
      <c r="E503" s="435" t="s">
        <v>586</v>
      </c>
      <c r="F503" s="435"/>
      <c r="G503" s="829">
        <v>1.4</v>
      </c>
      <c r="H503" s="843">
        <f>G502*G503*F502</f>
        <v>3.5699999999999994</v>
      </c>
      <c r="I503" s="435"/>
      <c r="J503" s="818"/>
    </row>
    <row r="504" spans="1:10">
      <c r="A504" s="818"/>
      <c r="B504" s="435"/>
      <c r="C504" s="829">
        <v>3.1</v>
      </c>
      <c r="D504" s="843">
        <f>C503*C504*B503</f>
        <v>11.16</v>
      </c>
      <c r="E504" s="435"/>
      <c r="F504" s="435"/>
      <c r="G504" s="829"/>
      <c r="H504" s="843"/>
      <c r="I504" s="435"/>
      <c r="J504" s="818"/>
    </row>
    <row r="505" spans="1:10">
      <c r="A505" s="818"/>
      <c r="B505" s="435"/>
      <c r="C505" s="829"/>
      <c r="D505" s="843"/>
      <c r="E505" s="435"/>
      <c r="F505" s="435">
        <v>1</v>
      </c>
      <c r="G505" s="829">
        <v>5.9</v>
      </c>
      <c r="H505" s="843"/>
      <c r="I505" s="435" t="s">
        <v>615</v>
      </c>
      <c r="J505" s="818"/>
    </row>
    <row r="506" spans="1:10">
      <c r="A506" s="818"/>
      <c r="B506" s="435">
        <v>1</v>
      </c>
      <c r="C506" s="829">
        <v>2.0499999999999998</v>
      </c>
      <c r="D506" s="843"/>
      <c r="E506" s="435" t="s">
        <v>636</v>
      </c>
      <c r="F506" s="435"/>
      <c r="G506" s="829">
        <v>4.5</v>
      </c>
      <c r="H506" s="843">
        <f>G505*G506*F505</f>
        <v>26.55</v>
      </c>
      <c r="I506" s="435"/>
      <c r="J506" s="818"/>
    </row>
    <row r="507" spans="1:10">
      <c r="A507" s="818"/>
      <c r="B507" s="435"/>
      <c r="C507" s="829">
        <v>2.95</v>
      </c>
      <c r="D507" s="843">
        <f>C506*C507*B506</f>
        <v>6.0474999999999994</v>
      </c>
      <c r="E507" s="435"/>
      <c r="F507" s="435"/>
      <c r="G507" s="829"/>
      <c r="H507" s="843"/>
      <c r="I507" s="435"/>
      <c r="J507" s="818"/>
    </row>
    <row r="508" spans="1:10">
      <c r="A508" s="818"/>
      <c r="B508" s="435"/>
      <c r="C508" s="829"/>
      <c r="D508" s="843"/>
      <c r="E508" s="435"/>
      <c r="F508" s="435">
        <v>1</v>
      </c>
      <c r="G508" s="829">
        <v>5.9</v>
      </c>
      <c r="H508" s="843"/>
      <c r="I508" s="435" t="s">
        <v>652</v>
      </c>
      <c r="J508" s="818"/>
    </row>
    <row r="509" spans="1:10">
      <c r="A509" s="818"/>
      <c r="B509" s="435">
        <v>1</v>
      </c>
      <c r="C509" s="829">
        <v>5.05</v>
      </c>
      <c r="D509" s="843"/>
      <c r="E509" s="435" t="s">
        <v>84</v>
      </c>
      <c r="F509" s="435"/>
      <c r="G509" s="829">
        <v>5.85</v>
      </c>
      <c r="H509" s="843">
        <f>G508*G509*F508</f>
        <v>34.515000000000001</v>
      </c>
      <c r="I509" s="435"/>
      <c r="J509" s="818"/>
    </row>
    <row r="510" spans="1:10">
      <c r="A510" s="818"/>
      <c r="B510" s="435"/>
      <c r="C510" s="829">
        <v>2.95</v>
      </c>
      <c r="D510" s="843">
        <f>C509*C510*B509</f>
        <v>14.897500000000001</v>
      </c>
      <c r="E510" s="435"/>
      <c r="F510" s="435"/>
      <c r="G510" s="829"/>
      <c r="H510" s="843"/>
      <c r="I510" s="435"/>
      <c r="J510" s="818"/>
    </row>
    <row r="511" spans="1:10">
      <c r="A511" s="818"/>
      <c r="B511" s="435"/>
      <c r="C511" s="829"/>
      <c r="D511" s="843"/>
      <c r="E511" s="435"/>
      <c r="F511" s="435">
        <v>1</v>
      </c>
      <c r="G511" s="829">
        <v>2.4500000000000002</v>
      </c>
      <c r="H511" s="843"/>
      <c r="I511" s="435" t="s">
        <v>163</v>
      </c>
      <c r="J511" s="818"/>
    </row>
    <row r="512" spans="1:10">
      <c r="A512" s="818"/>
      <c r="B512" s="435">
        <v>1</v>
      </c>
      <c r="C512" s="829">
        <v>3.5</v>
      </c>
      <c r="D512" s="843"/>
      <c r="E512" s="435" t="s">
        <v>121</v>
      </c>
      <c r="F512" s="435"/>
      <c r="G512" s="829">
        <v>3.05</v>
      </c>
      <c r="H512" s="843">
        <f>G511*G512*F511</f>
        <v>7.4725000000000001</v>
      </c>
      <c r="I512" s="435"/>
      <c r="J512" s="818"/>
    </row>
    <row r="513" spans="1:10">
      <c r="A513" s="818"/>
      <c r="B513" s="435"/>
      <c r="C513" s="829">
        <v>1.8</v>
      </c>
      <c r="D513" s="843">
        <f>C512*C513*B512</f>
        <v>6.3</v>
      </c>
      <c r="E513" s="435"/>
      <c r="F513" s="435"/>
      <c r="G513" s="829"/>
      <c r="H513" s="843"/>
      <c r="I513" s="435"/>
      <c r="J513" s="818"/>
    </row>
    <row r="514" spans="1:10">
      <c r="A514" s="818"/>
      <c r="B514" s="435"/>
      <c r="C514" s="829"/>
      <c r="D514" s="843"/>
      <c r="E514" s="435"/>
      <c r="F514" s="435">
        <v>1</v>
      </c>
      <c r="G514" s="829">
        <v>3.3</v>
      </c>
      <c r="H514" s="843"/>
      <c r="I514" s="435" t="s">
        <v>612</v>
      </c>
      <c r="J514" s="818"/>
    </row>
    <row r="515" spans="1:10">
      <c r="A515" s="818"/>
      <c r="B515" s="435">
        <v>1</v>
      </c>
      <c r="C515" s="829">
        <v>3.6</v>
      </c>
      <c r="D515" s="843"/>
      <c r="E515" s="435" t="s">
        <v>121</v>
      </c>
      <c r="F515" s="435"/>
      <c r="G515" s="829">
        <v>3.05</v>
      </c>
      <c r="H515" s="843">
        <f>G514*G515*F514</f>
        <v>10.065</v>
      </c>
      <c r="I515" s="435"/>
      <c r="J515" s="818"/>
    </row>
    <row r="516" spans="1:10">
      <c r="A516" s="818"/>
      <c r="B516" s="435"/>
      <c r="C516" s="829">
        <v>1.8</v>
      </c>
      <c r="D516" s="843">
        <f>C515*C516*B515</f>
        <v>6.48</v>
      </c>
      <c r="E516" s="435"/>
      <c r="F516" s="435"/>
      <c r="G516" s="829"/>
      <c r="H516" s="843"/>
      <c r="I516" s="435"/>
      <c r="J516" s="818"/>
    </row>
    <row r="517" spans="1:10">
      <c r="A517" s="818"/>
      <c r="B517" s="435"/>
      <c r="C517" s="829"/>
      <c r="D517" s="843"/>
      <c r="E517" s="435"/>
      <c r="F517" s="435">
        <v>1</v>
      </c>
      <c r="G517" s="829">
        <v>5.9</v>
      </c>
      <c r="H517" s="843"/>
      <c r="I517" s="435" t="s">
        <v>70</v>
      </c>
      <c r="J517" s="818"/>
    </row>
    <row r="518" spans="1:10">
      <c r="A518" s="818"/>
      <c r="B518" s="435">
        <v>1</v>
      </c>
      <c r="C518" s="829">
        <v>7.25</v>
      </c>
      <c r="D518" s="843"/>
      <c r="E518" s="435" t="s">
        <v>639</v>
      </c>
      <c r="F518" s="435"/>
      <c r="G518" s="829">
        <v>2.7</v>
      </c>
      <c r="H518" s="843">
        <f>G517*G518*F517</f>
        <v>15.930000000000001</v>
      </c>
      <c r="I518" s="435"/>
      <c r="J518" s="818"/>
    </row>
    <row r="519" spans="1:10">
      <c r="A519" s="818"/>
      <c r="B519" s="435"/>
      <c r="C519" s="829">
        <v>5.05</v>
      </c>
      <c r="D519" s="843">
        <f>C518*C519*B518</f>
        <v>36.612499999999997</v>
      </c>
      <c r="E519" s="435"/>
      <c r="F519" s="435"/>
      <c r="G519" s="829"/>
      <c r="H519" s="843"/>
      <c r="I519" s="435"/>
      <c r="J519" s="818"/>
    </row>
    <row r="520" spans="1:10">
      <c r="A520" s="818"/>
      <c r="B520" s="435"/>
      <c r="C520" s="829"/>
      <c r="D520" s="843"/>
      <c r="E520" s="435"/>
      <c r="F520" s="435">
        <v>1</v>
      </c>
      <c r="G520" s="829">
        <v>5.9</v>
      </c>
      <c r="H520" s="843"/>
      <c r="I520" s="435" t="s">
        <v>654</v>
      </c>
      <c r="J520" s="818"/>
    </row>
    <row r="521" spans="1:10">
      <c r="A521" s="818"/>
      <c r="B521" s="435">
        <v>1</v>
      </c>
      <c r="C521" s="829">
        <v>3.1</v>
      </c>
      <c r="D521" s="843"/>
      <c r="E521" s="435" t="s">
        <v>594</v>
      </c>
      <c r="F521" s="435"/>
      <c r="G521" s="829">
        <v>5.8</v>
      </c>
      <c r="H521" s="843">
        <f>G520*G521*F520</f>
        <v>34.22</v>
      </c>
      <c r="I521" s="435"/>
      <c r="J521" s="818"/>
    </row>
    <row r="522" spans="1:10">
      <c r="A522" s="818"/>
      <c r="B522" s="435"/>
      <c r="C522" s="829">
        <v>2.5</v>
      </c>
      <c r="D522" s="843">
        <f>C521*C522*B521</f>
        <v>7.75</v>
      </c>
      <c r="E522" s="435"/>
      <c r="F522" s="435"/>
      <c r="G522" s="829"/>
      <c r="H522" s="843"/>
      <c r="I522" s="435"/>
      <c r="J522" s="818"/>
    </row>
    <row r="523" spans="1:10">
      <c r="A523" s="818"/>
      <c r="B523" s="435"/>
      <c r="C523" s="829"/>
      <c r="D523" s="843"/>
      <c r="E523" s="435"/>
      <c r="F523" s="435">
        <v>1</v>
      </c>
      <c r="G523" s="829">
        <v>5.9</v>
      </c>
      <c r="H523" s="843"/>
      <c r="I523" s="435" t="s">
        <v>586</v>
      </c>
      <c r="J523" s="818"/>
    </row>
    <row r="524" spans="1:10">
      <c r="A524" s="818"/>
      <c r="B524" s="435">
        <v>1</v>
      </c>
      <c r="C524" s="829">
        <v>4.1500000000000004</v>
      </c>
      <c r="D524" s="843"/>
      <c r="E524" s="435" t="s">
        <v>121</v>
      </c>
      <c r="F524" s="435"/>
      <c r="G524" s="829">
        <v>2.25</v>
      </c>
      <c r="H524" s="843">
        <f>G523*G524*F523</f>
        <v>13.275</v>
      </c>
      <c r="I524" s="435"/>
      <c r="J524" s="818"/>
    </row>
    <row r="525" spans="1:10">
      <c r="A525" s="818"/>
      <c r="B525" s="435"/>
      <c r="C525" s="829">
        <v>2.5</v>
      </c>
      <c r="D525" s="843">
        <f>C524*C525*B524</f>
        <v>10.375</v>
      </c>
      <c r="E525" s="435"/>
      <c r="F525" s="435"/>
      <c r="G525" s="829"/>
      <c r="H525" s="843"/>
      <c r="I525" s="435"/>
      <c r="J525" s="818"/>
    </row>
    <row r="526" spans="1:10">
      <c r="A526" s="818"/>
      <c r="B526" s="435"/>
      <c r="C526" s="829"/>
      <c r="D526" s="843"/>
      <c r="E526" s="435"/>
      <c r="F526" s="435">
        <v>1</v>
      </c>
      <c r="G526" s="829">
        <v>5.85</v>
      </c>
      <c r="H526" s="843"/>
      <c r="I526" s="435" t="s">
        <v>655</v>
      </c>
      <c r="J526" s="818"/>
    </row>
    <row r="527" spans="1:10">
      <c r="A527" s="818"/>
      <c r="B527" s="435">
        <v>1</v>
      </c>
      <c r="C527" s="829">
        <v>2.85</v>
      </c>
      <c r="D527" s="843"/>
      <c r="E527" s="435" t="s">
        <v>643</v>
      </c>
      <c r="F527" s="435"/>
      <c r="G527" s="829">
        <v>3.45</v>
      </c>
      <c r="H527" s="843">
        <f>G526*G527*F526</f>
        <v>20.182500000000001</v>
      </c>
      <c r="I527" s="435"/>
      <c r="J527" s="818"/>
    </row>
    <row r="528" spans="1:10">
      <c r="A528" s="818"/>
      <c r="B528" s="435"/>
      <c r="C528" s="829">
        <v>2.5</v>
      </c>
      <c r="D528" s="843">
        <f>C527*C528*B527</f>
        <v>7.125</v>
      </c>
      <c r="E528" s="435"/>
      <c r="F528" s="435"/>
      <c r="G528" s="829"/>
      <c r="H528" s="843"/>
      <c r="I528" s="435"/>
      <c r="J528" s="818"/>
    </row>
    <row r="529" spans="1:10">
      <c r="A529" s="818"/>
      <c r="B529" s="435"/>
      <c r="C529" s="829"/>
      <c r="D529" s="843"/>
      <c r="E529" s="435"/>
      <c r="F529" s="831"/>
      <c r="G529" s="829"/>
      <c r="H529" s="832"/>
      <c r="I529" s="833"/>
      <c r="J529" s="818"/>
    </row>
    <row r="530" spans="1:10">
      <c r="A530" s="818"/>
      <c r="B530" s="109"/>
      <c r="C530" s="850"/>
      <c r="D530" s="928"/>
      <c r="E530" s="109"/>
      <c r="F530" s="109"/>
      <c r="G530" s="860"/>
      <c r="H530" s="860"/>
      <c r="I530" s="109"/>
      <c r="J530" s="818"/>
    </row>
    <row r="531" spans="1:10">
      <c r="A531" s="818"/>
      <c r="B531" s="853" t="s">
        <v>1884</v>
      </c>
      <c r="C531" s="855" t="s">
        <v>526</v>
      </c>
      <c r="D531" s="856" t="s">
        <v>1885</v>
      </c>
      <c r="E531" s="854" t="s">
        <v>1886</v>
      </c>
      <c r="F531" s="853" t="s">
        <v>1884</v>
      </c>
      <c r="G531" s="855" t="s">
        <v>526</v>
      </c>
      <c r="H531" s="856" t="s">
        <v>1885</v>
      </c>
      <c r="I531" s="854" t="s">
        <v>1886</v>
      </c>
    </row>
    <row r="532" spans="1:10">
      <c r="A532" s="818"/>
      <c r="B532" s="435">
        <v>1</v>
      </c>
      <c r="C532" s="829">
        <v>2.2000000000000002</v>
      </c>
      <c r="D532" s="843"/>
      <c r="E532" s="435" t="s">
        <v>649</v>
      </c>
      <c r="F532" s="435">
        <v>1</v>
      </c>
      <c r="G532" s="829">
        <v>2.0499999999999998</v>
      </c>
      <c r="H532" s="843"/>
      <c r="I532" s="435" t="s">
        <v>636</v>
      </c>
      <c r="J532" s="818"/>
    </row>
    <row r="533" spans="1:10">
      <c r="A533" s="818"/>
      <c r="B533" s="435"/>
      <c r="C533" s="829">
        <v>2.2999999999999998</v>
      </c>
      <c r="D533" s="843">
        <f>C532*C533*B532</f>
        <v>5.0599999999999996</v>
      </c>
      <c r="E533" s="435"/>
      <c r="F533" s="435"/>
      <c r="G533" s="829">
        <v>2.95</v>
      </c>
      <c r="H533" s="843">
        <f>G532*G533*F532</f>
        <v>6.0474999999999994</v>
      </c>
      <c r="I533" s="435"/>
      <c r="J533" s="818"/>
    </row>
    <row r="534" spans="1:10">
      <c r="A534" s="818"/>
      <c r="B534" s="435">
        <v>1</v>
      </c>
      <c r="C534" s="829">
        <v>2.5</v>
      </c>
      <c r="D534" s="843"/>
      <c r="E534" s="435"/>
      <c r="F534" s="435"/>
      <c r="G534" s="829"/>
      <c r="H534" s="843"/>
      <c r="I534" s="435"/>
      <c r="J534" s="818"/>
    </row>
    <row r="535" spans="1:10">
      <c r="A535" s="818"/>
      <c r="B535" s="435"/>
      <c r="C535" s="829">
        <v>1.68</v>
      </c>
      <c r="D535" s="843">
        <f>C534*C535*B534</f>
        <v>4.2</v>
      </c>
      <c r="E535" s="435"/>
      <c r="F535" s="435">
        <v>1</v>
      </c>
      <c r="G535" s="829">
        <v>4.9000000000000004</v>
      </c>
      <c r="H535" s="843"/>
      <c r="I535" s="435" t="s">
        <v>84</v>
      </c>
      <c r="J535" s="818"/>
    </row>
    <row r="536" spans="1:10">
      <c r="A536" s="818"/>
      <c r="B536" s="435">
        <v>1</v>
      </c>
      <c r="C536" s="829">
        <v>1.1499999999999999</v>
      </c>
      <c r="D536" s="843"/>
      <c r="E536" s="435"/>
      <c r="F536" s="435"/>
      <c r="G536" s="829">
        <v>2.95</v>
      </c>
      <c r="H536" s="843">
        <f>G535*G536*F535</f>
        <v>14.455000000000002</v>
      </c>
      <c r="I536" s="435"/>
      <c r="J536" s="818"/>
    </row>
    <row r="537" spans="1:10">
      <c r="A537" s="818"/>
      <c r="B537" s="435"/>
      <c r="C537" s="829">
        <v>3.05</v>
      </c>
      <c r="D537" s="843">
        <f>C536*C537*B536</f>
        <v>3.5074999999999994</v>
      </c>
      <c r="E537" s="435"/>
      <c r="F537" s="435"/>
      <c r="G537" s="829"/>
      <c r="H537" s="843"/>
      <c r="I537" s="435"/>
      <c r="J537" s="818"/>
    </row>
    <row r="538" spans="1:10">
      <c r="A538" s="818"/>
      <c r="B538" s="435">
        <v>1</v>
      </c>
      <c r="C538" s="829">
        <v>2.2000000000000002</v>
      </c>
      <c r="D538" s="843"/>
      <c r="E538" s="435" t="s">
        <v>650</v>
      </c>
      <c r="F538" s="435">
        <v>1</v>
      </c>
      <c r="G538" s="829">
        <v>3.5</v>
      </c>
      <c r="H538" s="843"/>
      <c r="I538" s="435"/>
      <c r="J538" s="818"/>
    </row>
    <row r="539" spans="1:10">
      <c r="A539" s="818"/>
      <c r="B539" s="435"/>
      <c r="C539" s="829">
        <v>1.25</v>
      </c>
      <c r="D539" s="843">
        <f>C538*C539*B538</f>
        <v>2.75</v>
      </c>
      <c r="E539" s="435"/>
      <c r="F539" s="435"/>
      <c r="G539" s="829">
        <v>1.8</v>
      </c>
      <c r="H539" s="843">
        <f>G538*G539*F538</f>
        <v>6.3</v>
      </c>
      <c r="I539" s="435" t="s">
        <v>121</v>
      </c>
      <c r="J539" s="818"/>
    </row>
    <row r="540" spans="1:10">
      <c r="A540" s="818"/>
      <c r="B540" s="435">
        <v>1</v>
      </c>
      <c r="C540" s="829">
        <v>2.2000000000000002</v>
      </c>
      <c r="D540" s="843"/>
      <c r="E540" s="435" t="s">
        <v>651</v>
      </c>
      <c r="F540" s="435"/>
      <c r="G540" s="829"/>
      <c r="H540" s="843"/>
      <c r="I540" s="435"/>
      <c r="J540" s="818"/>
    </row>
    <row r="541" spans="1:10" s="341" customFormat="1">
      <c r="A541" s="834"/>
      <c r="B541" s="435"/>
      <c r="C541" s="829">
        <v>2.4</v>
      </c>
      <c r="D541" s="843">
        <f>C540*C541*B540</f>
        <v>5.28</v>
      </c>
      <c r="E541" s="435"/>
      <c r="F541" s="435">
        <v>1</v>
      </c>
      <c r="G541" s="829">
        <v>3.6</v>
      </c>
      <c r="H541" s="843"/>
      <c r="I541" s="435"/>
      <c r="J541" s="834"/>
    </row>
    <row r="542" spans="1:10">
      <c r="A542" s="818"/>
      <c r="B542" s="435">
        <v>1</v>
      </c>
      <c r="C542" s="829">
        <v>2.5</v>
      </c>
      <c r="D542" s="843"/>
      <c r="E542" s="435"/>
      <c r="F542" s="435"/>
      <c r="G542" s="829">
        <v>1.8</v>
      </c>
      <c r="H542" s="843">
        <f>G541*G542*F541</f>
        <v>6.48</v>
      </c>
      <c r="I542" s="435" t="s">
        <v>121</v>
      </c>
      <c r="J542" s="818"/>
    </row>
    <row r="543" spans="1:10">
      <c r="A543" s="818"/>
      <c r="B543" s="435"/>
      <c r="C543" s="829">
        <v>1.68</v>
      </c>
      <c r="D543" s="843">
        <f>C542*C543*B542</f>
        <v>4.2</v>
      </c>
      <c r="E543" s="435"/>
      <c r="F543" s="435"/>
      <c r="G543" s="829"/>
      <c r="H543" s="843"/>
      <c r="I543" s="435"/>
      <c r="J543" s="818"/>
    </row>
    <row r="544" spans="1:10">
      <c r="A544" s="818"/>
      <c r="B544" s="435">
        <v>1</v>
      </c>
      <c r="C544" s="829">
        <v>1.1499999999999999</v>
      </c>
      <c r="D544" s="843"/>
      <c r="E544" s="435"/>
      <c r="F544" s="435">
        <v>1</v>
      </c>
      <c r="G544" s="829">
        <v>7.25</v>
      </c>
      <c r="H544" s="843"/>
      <c r="I544" s="435" t="s">
        <v>639</v>
      </c>
      <c r="J544" s="818"/>
    </row>
    <row r="545" spans="1:10">
      <c r="A545" s="818"/>
      <c r="B545" s="435"/>
      <c r="C545" s="829">
        <v>3.08</v>
      </c>
      <c r="D545" s="843">
        <f>C544*C545*B544</f>
        <v>3.5419999999999998</v>
      </c>
      <c r="E545" s="435"/>
      <c r="F545" s="435"/>
      <c r="G545" s="829">
        <v>5.25</v>
      </c>
      <c r="H545" s="843">
        <f>G544*G545*F544</f>
        <v>38.0625</v>
      </c>
      <c r="I545" s="435"/>
      <c r="J545" s="818"/>
    </row>
    <row r="546" spans="1:10">
      <c r="A546" s="818"/>
      <c r="B546" s="435">
        <v>2</v>
      </c>
      <c r="C546" s="829">
        <v>1</v>
      </c>
      <c r="D546" s="843"/>
      <c r="E546" s="435"/>
      <c r="F546" s="435"/>
      <c r="G546" s="829"/>
      <c r="H546" s="843"/>
      <c r="I546" s="435"/>
      <c r="J546" s="818"/>
    </row>
    <row r="547" spans="1:10">
      <c r="A547" s="818"/>
      <c r="B547" s="435"/>
      <c r="C547" s="829">
        <v>1.3</v>
      </c>
      <c r="D547" s="843">
        <f>C546*C547*B546</f>
        <v>2.6</v>
      </c>
      <c r="E547" s="435"/>
      <c r="F547" s="435">
        <v>1</v>
      </c>
      <c r="G547" s="829">
        <v>3.1</v>
      </c>
      <c r="H547" s="843"/>
      <c r="I547" s="435" t="s">
        <v>594</v>
      </c>
      <c r="J547" s="818"/>
    </row>
    <row r="548" spans="1:10">
      <c r="A548" s="818"/>
      <c r="B548" s="435">
        <v>2</v>
      </c>
      <c r="C548" s="829">
        <v>1.2</v>
      </c>
      <c r="D548" s="843"/>
      <c r="E548" s="435"/>
      <c r="F548" s="435"/>
      <c r="G548" s="829">
        <v>2.5</v>
      </c>
      <c r="H548" s="843">
        <f>G547*G548*F547</f>
        <v>7.75</v>
      </c>
      <c r="I548" s="435"/>
    </row>
    <row r="549" spans="1:10">
      <c r="A549" s="818"/>
      <c r="B549" s="435"/>
      <c r="C549" s="829">
        <v>1.3</v>
      </c>
      <c r="D549" s="843">
        <f>C548*C549*B548</f>
        <v>3.12</v>
      </c>
      <c r="E549" s="435"/>
      <c r="F549" s="435"/>
      <c r="G549" s="829"/>
      <c r="H549" s="843"/>
      <c r="I549" s="435"/>
      <c r="J549" s="818"/>
    </row>
    <row r="550" spans="1:10">
      <c r="A550" s="818"/>
      <c r="B550" s="435">
        <v>1</v>
      </c>
      <c r="C550" s="829">
        <v>3.25</v>
      </c>
      <c r="D550" s="843"/>
      <c r="E550" s="435" t="s">
        <v>163</v>
      </c>
      <c r="F550" s="435">
        <v>1</v>
      </c>
      <c r="G550" s="829">
        <v>4.1500000000000004</v>
      </c>
      <c r="H550" s="843"/>
      <c r="I550" s="435" t="s">
        <v>121</v>
      </c>
      <c r="J550" s="818"/>
    </row>
    <row r="551" spans="1:10">
      <c r="A551" s="818"/>
      <c r="B551" s="435"/>
      <c r="C551" s="829">
        <v>3.65</v>
      </c>
      <c r="D551" s="843">
        <f>C550*C551*B550</f>
        <v>11.862499999999999</v>
      </c>
      <c r="E551" s="435"/>
      <c r="F551" s="435"/>
      <c r="G551" s="829">
        <v>2.5</v>
      </c>
      <c r="H551" s="843">
        <f>G550*G551*F550</f>
        <v>10.375</v>
      </c>
      <c r="I551" s="435"/>
      <c r="J551" s="818"/>
    </row>
    <row r="552" spans="1:10" ht="15.75" customHeight="1">
      <c r="A552" s="818"/>
      <c r="B552" s="435">
        <v>1</v>
      </c>
      <c r="C552" s="829">
        <v>2.4</v>
      </c>
      <c r="D552" s="843"/>
      <c r="E552" s="435" t="s">
        <v>653</v>
      </c>
      <c r="F552" s="435"/>
      <c r="G552" s="829"/>
      <c r="H552" s="843"/>
      <c r="I552" s="435"/>
      <c r="J552" s="818"/>
    </row>
    <row r="553" spans="1:10" ht="15.75" customHeight="1">
      <c r="A553" s="818"/>
      <c r="B553" s="435"/>
      <c r="C553" s="829">
        <v>3.65</v>
      </c>
      <c r="D553" s="843">
        <f>C552*C553*B552</f>
        <v>8.76</v>
      </c>
      <c r="E553" s="435"/>
      <c r="F553" s="435">
        <v>1</v>
      </c>
      <c r="G553" s="829">
        <v>2.85</v>
      </c>
      <c r="H553" s="843"/>
      <c r="I553" s="435" t="s">
        <v>643</v>
      </c>
      <c r="J553" s="818"/>
    </row>
    <row r="554" spans="1:10">
      <c r="A554" s="818"/>
      <c r="B554" s="435">
        <v>1</v>
      </c>
      <c r="C554" s="829">
        <v>3.25</v>
      </c>
      <c r="D554" s="843"/>
      <c r="E554" s="435" t="s">
        <v>626</v>
      </c>
      <c r="F554" s="435"/>
      <c r="G554" s="829">
        <v>2.5</v>
      </c>
      <c r="H554" s="843">
        <f>G553*G554*F553</f>
        <v>7.125</v>
      </c>
      <c r="I554" s="435"/>
      <c r="J554" s="818"/>
    </row>
    <row r="555" spans="1:10">
      <c r="A555" s="818"/>
      <c r="B555" s="435"/>
      <c r="C555" s="829">
        <v>3.35</v>
      </c>
      <c r="D555" s="843">
        <f>C554*C555*B554</f>
        <v>10.887500000000001</v>
      </c>
      <c r="E555" s="435"/>
      <c r="F555" s="435"/>
      <c r="G555" s="829"/>
      <c r="H555" s="843"/>
      <c r="I555" s="435"/>
      <c r="J555" s="818"/>
    </row>
    <row r="556" spans="1:10">
      <c r="A556" s="818"/>
      <c r="B556" s="435">
        <v>1</v>
      </c>
      <c r="C556" s="829">
        <v>2.4</v>
      </c>
      <c r="D556" s="843"/>
      <c r="E556" s="435" t="s">
        <v>183</v>
      </c>
      <c r="F556" s="435">
        <v>1</v>
      </c>
      <c r="G556" s="829">
        <v>2.7</v>
      </c>
      <c r="H556" s="843"/>
      <c r="I556" s="435" t="s">
        <v>605</v>
      </c>
      <c r="J556" s="818"/>
    </row>
    <row r="557" spans="1:10">
      <c r="A557" s="818"/>
      <c r="B557" s="435"/>
      <c r="C557" s="829">
        <v>3.35</v>
      </c>
      <c r="D557" s="843">
        <f>C556*C557*B556</f>
        <v>8.0399999999999991</v>
      </c>
      <c r="E557" s="435"/>
      <c r="F557" s="435"/>
      <c r="G557" s="829">
        <v>2.5</v>
      </c>
      <c r="H557" s="843">
        <f>G556*G557*F556</f>
        <v>6.75</v>
      </c>
      <c r="I557" s="435"/>
      <c r="J557" s="818"/>
    </row>
    <row r="558" spans="1:10">
      <c r="A558" s="818"/>
      <c r="B558" s="435">
        <v>1</v>
      </c>
      <c r="C558" s="829">
        <v>2.5</v>
      </c>
      <c r="D558" s="843"/>
      <c r="E558" s="435" t="s">
        <v>160</v>
      </c>
      <c r="F558" s="435"/>
      <c r="G558" s="829"/>
      <c r="H558" s="843"/>
      <c r="I558" s="435"/>
      <c r="J558" s="818"/>
    </row>
    <row r="559" spans="1:10">
      <c r="A559" s="818"/>
      <c r="B559" s="435"/>
      <c r="C559" s="829">
        <v>40.700000000000003</v>
      </c>
      <c r="D559" s="843">
        <f>C558*C559*B558</f>
        <v>101.75</v>
      </c>
      <c r="E559" s="435"/>
      <c r="F559" s="435">
        <v>1</v>
      </c>
      <c r="G559" s="829">
        <v>1.55</v>
      </c>
      <c r="H559" s="843"/>
      <c r="I559" s="435" t="s">
        <v>608</v>
      </c>
      <c r="J559" s="818"/>
    </row>
    <row r="560" spans="1:10">
      <c r="A560" s="818"/>
      <c r="B560" s="435"/>
      <c r="C560" s="829"/>
      <c r="D560" s="838">
        <f>SUM('OR Super TOS '!D495:D528,'OR Super TOS '!H476:H527,D533:D559)</f>
        <v>563.84749999999997</v>
      </c>
      <c r="E560" s="839" t="s">
        <v>2144</v>
      </c>
      <c r="F560" s="435"/>
      <c r="G560" s="829">
        <v>2.5</v>
      </c>
      <c r="H560" s="843">
        <f>G559*G560*F559</f>
        <v>3.875</v>
      </c>
      <c r="I560" s="435"/>
      <c r="J560" s="818"/>
    </row>
    <row r="561" spans="1:10">
      <c r="A561" s="818"/>
      <c r="F561" s="435"/>
      <c r="G561" s="829"/>
      <c r="H561" s="843"/>
      <c r="I561" s="435"/>
      <c r="J561" s="818"/>
    </row>
    <row r="562" spans="1:10">
      <c r="A562" s="818"/>
      <c r="F562" s="435">
        <v>1</v>
      </c>
      <c r="G562" s="829">
        <v>5.0999999999999996</v>
      </c>
      <c r="H562" s="843"/>
      <c r="I562" s="435" t="s">
        <v>647</v>
      </c>
      <c r="J562" s="818"/>
    </row>
    <row r="563" spans="1:10">
      <c r="A563" s="818"/>
      <c r="F563" s="435"/>
      <c r="G563" s="829">
        <v>4.95</v>
      </c>
      <c r="H563" s="843">
        <f>G562*G563*F562</f>
        <v>25.244999999999997</v>
      </c>
      <c r="I563" s="435"/>
      <c r="J563" s="818"/>
    </row>
    <row r="564" spans="1:10">
      <c r="A564" s="818"/>
      <c r="F564" s="435"/>
      <c r="G564" s="829"/>
      <c r="H564" s="843"/>
      <c r="I564" s="435"/>
      <c r="J564" s="818"/>
    </row>
    <row r="565" spans="1:10">
      <c r="A565" s="818"/>
      <c r="F565" s="435">
        <v>1</v>
      </c>
      <c r="G565" s="829">
        <v>2.15</v>
      </c>
      <c r="H565" s="843"/>
      <c r="I565" s="435" t="s">
        <v>648</v>
      </c>
      <c r="J565" s="818"/>
    </row>
    <row r="566" spans="1:10">
      <c r="A566" s="818"/>
      <c r="F566" s="435"/>
      <c r="G566" s="829">
        <v>2</v>
      </c>
      <c r="H566" s="843">
        <f>G565*G566*F565</f>
        <v>4.3</v>
      </c>
      <c r="I566" s="435"/>
      <c r="J566" s="818"/>
    </row>
    <row r="567" spans="1:10">
      <c r="A567" s="818"/>
      <c r="F567" s="435"/>
      <c r="G567" s="829"/>
      <c r="H567" s="843"/>
      <c r="I567" s="435"/>
      <c r="J567" s="818"/>
    </row>
    <row r="568" spans="1:10">
      <c r="A568" s="818"/>
      <c r="F568" s="435">
        <v>1</v>
      </c>
      <c r="G568" s="829">
        <v>2.15</v>
      </c>
      <c r="H568" s="843"/>
      <c r="I568" s="435" t="s">
        <v>70</v>
      </c>
      <c r="J568" s="818"/>
    </row>
    <row r="569" spans="1:10">
      <c r="A569" s="818"/>
      <c r="F569" s="435"/>
      <c r="G569" s="829">
        <v>2.8</v>
      </c>
      <c r="H569" s="843">
        <f>G568*G569*F568</f>
        <v>6.02</v>
      </c>
      <c r="I569" s="435"/>
      <c r="J569" s="818"/>
    </row>
    <row r="570" spans="1:10">
      <c r="A570" s="818"/>
      <c r="F570" s="435"/>
      <c r="G570" s="829"/>
      <c r="H570" s="843"/>
      <c r="I570" s="435"/>
      <c r="J570" s="818"/>
    </row>
    <row r="571" spans="1:10">
      <c r="A571" s="818"/>
      <c r="F571" s="435">
        <v>1</v>
      </c>
      <c r="G571" s="829">
        <v>7.4</v>
      </c>
      <c r="H571" s="843"/>
      <c r="I571" s="435" t="s">
        <v>160</v>
      </c>
      <c r="J571" s="818"/>
    </row>
    <row r="572" spans="1:10">
      <c r="A572" s="818"/>
      <c r="F572" s="435"/>
      <c r="G572" s="829">
        <v>1.4</v>
      </c>
      <c r="H572" s="843">
        <f>G571*G572*F571</f>
        <v>10.36</v>
      </c>
      <c r="I572" s="435"/>
      <c r="J572" s="818"/>
    </row>
    <row r="573" spans="1:10">
      <c r="A573" s="818"/>
      <c r="F573" s="435"/>
      <c r="G573" s="829"/>
      <c r="H573" s="843"/>
      <c r="I573" s="435"/>
      <c r="J573" s="818"/>
    </row>
    <row r="574" spans="1:10">
      <c r="A574" s="818"/>
      <c r="F574" s="435">
        <v>1</v>
      </c>
      <c r="G574" s="829">
        <v>1.99</v>
      </c>
      <c r="H574" s="843"/>
      <c r="I574" s="435" t="s">
        <v>636</v>
      </c>
      <c r="J574" s="818"/>
    </row>
    <row r="575" spans="1:10">
      <c r="A575" s="818"/>
      <c r="F575" s="435"/>
      <c r="G575" s="829">
        <v>2.95</v>
      </c>
      <c r="H575" s="843">
        <f>G574*G575*F574</f>
        <v>5.8705000000000007</v>
      </c>
      <c r="I575" s="435"/>
      <c r="J575" s="818"/>
    </row>
    <row r="576" spans="1:10">
      <c r="A576" s="818"/>
      <c r="F576" s="435"/>
      <c r="G576" s="829"/>
      <c r="H576" s="843"/>
      <c r="I576" s="435"/>
      <c r="J576" s="818"/>
    </row>
    <row r="577" spans="1:9">
      <c r="F577" s="435">
        <v>1</v>
      </c>
      <c r="G577" s="829">
        <v>2.5</v>
      </c>
      <c r="H577" s="843"/>
      <c r="I577" s="435" t="s">
        <v>84</v>
      </c>
    </row>
    <row r="578" spans="1:9">
      <c r="F578" s="435"/>
      <c r="G578" s="829">
        <v>1.5</v>
      </c>
      <c r="H578" s="843">
        <f>G577*G578*F577</f>
        <v>3.75</v>
      </c>
      <c r="I578" s="435"/>
    </row>
    <row r="579" spans="1:9">
      <c r="F579" s="435"/>
      <c r="G579" s="829"/>
      <c r="H579" s="843"/>
      <c r="I579" s="435"/>
    </row>
    <row r="580" spans="1:9">
      <c r="F580" s="435">
        <v>1</v>
      </c>
      <c r="G580" s="829">
        <v>2.5499999999999998</v>
      </c>
      <c r="H580" s="843"/>
      <c r="I580" s="435"/>
    </row>
    <row r="581" spans="1:9">
      <c r="B581" s="435"/>
      <c r="C581" s="829"/>
      <c r="D581" s="843"/>
      <c r="E581" s="980" t="s">
        <v>2362</v>
      </c>
      <c r="F581" s="435"/>
      <c r="G581" s="829">
        <v>1.5</v>
      </c>
      <c r="H581" s="843">
        <f>G580*G581*F580</f>
        <v>3.8249999999999997</v>
      </c>
      <c r="I581" s="435"/>
    </row>
    <row r="582" spans="1:9">
      <c r="B582" s="435">
        <v>1</v>
      </c>
      <c r="C582" s="829">
        <v>3.5</v>
      </c>
      <c r="D582" s="843"/>
      <c r="E582" s="435" t="s">
        <v>634</v>
      </c>
      <c r="F582" s="435"/>
      <c r="G582" s="829"/>
      <c r="H582" s="843"/>
      <c r="I582" s="435"/>
    </row>
    <row r="583" spans="1:9">
      <c r="B583" s="435"/>
      <c r="C583" s="829">
        <v>5</v>
      </c>
      <c r="D583" s="843">
        <f>C582*C583*B582</f>
        <v>17.5</v>
      </c>
      <c r="E583" s="435"/>
      <c r="F583" s="435">
        <v>4</v>
      </c>
      <c r="G583" s="829">
        <v>1.24</v>
      </c>
      <c r="H583" s="843"/>
      <c r="I583" s="435"/>
    </row>
    <row r="584" spans="1:9">
      <c r="B584" s="435">
        <v>1</v>
      </c>
      <c r="C584" s="829">
        <v>3.6</v>
      </c>
      <c r="D584" s="843"/>
      <c r="E584" s="435" t="s">
        <v>580</v>
      </c>
      <c r="F584" s="435"/>
      <c r="G584" s="829">
        <v>1.4</v>
      </c>
      <c r="H584" s="843">
        <f>G583*G584*F583</f>
        <v>6.944</v>
      </c>
      <c r="I584" s="435"/>
    </row>
    <row r="585" spans="1:9">
      <c r="B585" s="435"/>
      <c r="C585" s="829">
        <v>5</v>
      </c>
      <c r="D585" s="843">
        <f>C584*C585*B584</f>
        <v>18</v>
      </c>
      <c r="E585" s="435"/>
      <c r="F585" s="435"/>
      <c r="G585" s="829"/>
      <c r="H585" s="843"/>
      <c r="I585" s="435"/>
    </row>
    <row r="586" spans="1:9">
      <c r="B586" s="435">
        <v>1</v>
      </c>
      <c r="C586" s="829">
        <v>3.5</v>
      </c>
      <c r="D586" s="843"/>
      <c r="E586" s="435" t="s">
        <v>584</v>
      </c>
      <c r="F586" s="435">
        <v>1</v>
      </c>
      <c r="G586" s="829">
        <v>5.9</v>
      </c>
      <c r="H586" s="843"/>
      <c r="I586" s="435" t="s">
        <v>615</v>
      </c>
    </row>
    <row r="587" spans="1:9">
      <c r="B587" s="435"/>
      <c r="C587" s="829">
        <v>3.1</v>
      </c>
      <c r="D587" s="843">
        <f>C586*C587*B586</f>
        <v>10.85</v>
      </c>
      <c r="E587" s="435"/>
      <c r="F587" s="435"/>
      <c r="G587" s="829">
        <v>4.5</v>
      </c>
      <c r="H587" s="843">
        <f>G586*G587*F586</f>
        <v>26.55</v>
      </c>
      <c r="I587" s="435"/>
    </row>
    <row r="588" spans="1:9">
      <c r="B588" s="435">
        <v>1</v>
      </c>
      <c r="C588" s="829">
        <v>3.6</v>
      </c>
      <c r="D588" s="843"/>
      <c r="E588" s="435" t="s">
        <v>586</v>
      </c>
      <c r="F588" s="435"/>
      <c r="G588" s="829"/>
      <c r="H588" s="843"/>
      <c r="I588" s="435"/>
    </row>
    <row r="589" spans="1:9">
      <c r="B589" s="435"/>
      <c r="C589" s="829">
        <v>3.1</v>
      </c>
      <c r="D589" s="843">
        <f>C588*C589*B588</f>
        <v>11.16</v>
      </c>
      <c r="E589" s="435"/>
      <c r="F589" s="109"/>
      <c r="G589" s="850"/>
      <c r="H589" s="928"/>
      <c r="I589" s="109"/>
    </row>
    <row r="590" spans="1:9">
      <c r="A590" s="818"/>
      <c r="B590" s="853" t="s">
        <v>1884</v>
      </c>
      <c r="C590" s="854" t="s">
        <v>526</v>
      </c>
      <c r="D590" s="855" t="s">
        <v>1885</v>
      </c>
      <c r="E590" s="854" t="s">
        <v>1886</v>
      </c>
      <c r="F590" s="853" t="s">
        <v>1884</v>
      </c>
      <c r="G590" s="855" t="s">
        <v>526</v>
      </c>
      <c r="H590" s="856" t="s">
        <v>1885</v>
      </c>
      <c r="I590" s="854" t="s">
        <v>1886</v>
      </c>
    </row>
    <row r="591" spans="1:9">
      <c r="B591" s="435">
        <v>1</v>
      </c>
      <c r="C591" s="829">
        <v>5.9</v>
      </c>
      <c r="D591" s="843"/>
      <c r="E591" s="435" t="s">
        <v>652</v>
      </c>
      <c r="F591" s="435">
        <v>1</v>
      </c>
      <c r="G591" s="829">
        <v>2.4</v>
      </c>
      <c r="H591" s="843"/>
      <c r="I591" s="435" t="s">
        <v>183</v>
      </c>
    </row>
    <row r="592" spans="1:9">
      <c r="B592" s="435"/>
      <c r="C592" s="829">
        <v>5.85</v>
      </c>
      <c r="D592" s="843">
        <f>C591*C592*B591</f>
        <v>34.515000000000001</v>
      </c>
      <c r="E592" s="435"/>
      <c r="F592" s="435"/>
      <c r="G592" s="829">
        <v>3.35</v>
      </c>
      <c r="H592" s="843">
        <f>G591*G592</f>
        <v>8.0399999999999991</v>
      </c>
      <c r="I592" s="435"/>
    </row>
    <row r="593" spans="2:9">
      <c r="B593" s="435"/>
      <c r="C593" s="829"/>
      <c r="D593" s="843"/>
      <c r="E593" s="435"/>
      <c r="F593" s="435"/>
      <c r="G593" s="829"/>
      <c r="H593" s="843"/>
      <c r="I593" s="435"/>
    </row>
    <row r="594" spans="2:9">
      <c r="B594" s="435">
        <v>1</v>
      </c>
      <c r="C594" s="829">
        <v>3.28</v>
      </c>
      <c r="D594" s="843"/>
      <c r="E594" s="435" t="s">
        <v>121</v>
      </c>
      <c r="F594" s="435">
        <v>1</v>
      </c>
      <c r="G594" s="829">
        <v>2.5</v>
      </c>
      <c r="H594" s="843"/>
      <c r="I594" s="435" t="s">
        <v>160</v>
      </c>
    </row>
    <row r="595" spans="2:9">
      <c r="B595" s="435"/>
      <c r="C595" s="829">
        <v>0.15</v>
      </c>
      <c r="D595" s="843">
        <f>C594*C595*B594</f>
        <v>0.49199999999999994</v>
      </c>
      <c r="E595" s="435"/>
      <c r="F595" s="435"/>
      <c r="G595" s="829">
        <v>42.1</v>
      </c>
      <c r="H595" s="843">
        <f>G594*G595</f>
        <v>105.25</v>
      </c>
      <c r="I595" s="435"/>
    </row>
    <row r="596" spans="2:9">
      <c r="B596" s="435"/>
      <c r="C596" s="829"/>
      <c r="D596" s="843"/>
      <c r="E596" s="435"/>
      <c r="F596" s="435"/>
      <c r="G596" s="829"/>
      <c r="H596" s="843"/>
      <c r="I596" s="435"/>
    </row>
    <row r="597" spans="2:9">
      <c r="B597" s="435">
        <v>1</v>
      </c>
      <c r="C597" s="829">
        <v>2.4500000000000002</v>
      </c>
      <c r="D597" s="843"/>
      <c r="E597" s="435" t="s">
        <v>163</v>
      </c>
      <c r="F597" s="435">
        <v>2</v>
      </c>
      <c r="G597" s="829">
        <v>1.3</v>
      </c>
      <c r="H597" s="843"/>
      <c r="I597" s="435" t="s">
        <v>582</v>
      </c>
    </row>
    <row r="598" spans="2:9">
      <c r="B598" s="435"/>
      <c r="C598" s="829">
        <v>3.05</v>
      </c>
      <c r="D598" s="843">
        <f>C597*C598*B597</f>
        <v>7.4725000000000001</v>
      </c>
      <c r="E598" s="435"/>
      <c r="F598" s="435"/>
      <c r="G598" s="829">
        <v>0.15</v>
      </c>
      <c r="H598" s="843">
        <f>G597*G598*F597</f>
        <v>0.39</v>
      </c>
      <c r="I598" s="435"/>
    </row>
    <row r="599" spans="2:9">
      <c r="B599" s="435"/>
      <c r="C599" s="829"/>
      <c r="D599" s="843"/>
      <c r="E599" s="435"/>
      <c r="F599" s="435"/>
      <c r="G599" s="829"/>
      <c r="H599" s="843"/>
      <c r="I599" s="435"/>
    </row>
    <row r="600" spans="2:9">
      <c r="B600" s="435">
        <v>1</v>
      </c>
      <c r="C600" s="829">
        <v>3.3</v>
      </c>
      <c r="D600" s="843"/>
      <c r="E600" s="435" t="s">
        <v>612</v>
      </c>
      <c r="F600" s="435">
        <v>21</v>
      </c>
      <c r="G600" s="829">
        <v>0.9</v>
      </c>
      <c r="H600" s="843"/>
      <c r="I600" s="435" t="s">
        <v>682</v>
      </c>
    </row>
    <row r="601" spans="2:9">
      <c r="B601" s="435"/>
      <c r="C601" s="829">
        <v>3.05</v>
      </c>
      <c r="D601" s="843">
        <f>C600*C601*B600</f>
        <v>10.065</v>
      </c>
      <c r="E601" s="435"/>
      <c r="F601" s="435"/>
      <c r="G601" s="829">
        <v>0.15</v>
      </c>
      <c r="H601" s="843">
        <f>G600*G601*F600</f>
        <v>2.835</v>
      </c>
      <c r="I601" s="435"/>
    </row>
    <row r="602" spans="2:9">
      <c r="B602" s="435"/>
      <c r="C602" s="829"/>
      <c r="D602" s="843"/>
      <c r="E602" s="435"/>
      <c r="F602" s="435"/>
      <c r="G602" s="829"/>
      <c r="H602" s="843"/>
      <c r="I602" s="435"/>
    </row>
    <row r="603" spans="2:9">
      <c r="B603" s="435">
        <v>1</v>
      </c>
      <c r="C603" s="829">
        <v>5.9</v>
      </c>
      <c r="D603" s="843"/>
      <c r="E603" s="435" t="s">
        <v>70</v>
      </c>
      <c r="F603" s="435">
        <v>11</v>
      </c>
      <c r="G603" s="829">
        <v>0.8</v>
      </c>
      <c r="H603" s="843"/>
      <c r="I603" s="435" t="s">
        <v>683</v>
      </c>
    </row>
    <row r="604" spans="2:9">
      <c r="B604" s="435"/>
      <c r="C604" s="829">
        <v>2.7</v>
      </c>
      <c r="D604" s="843">
        <f>C603*C604*B603</f>
        <v>15.930000000000001</v>
      </c>
      <c r="E604" s="435"/>
      <c r="F604" s="435"/>
      <c r="G604" s="829">
        <v>0.15</v>
      </c>
      <c r="H604" s="843">
        <f>G603*G604*F603</f>
        <v>1.3199999999999998</v>
      </c>
      <c r="I604" s="435"/>
    </row>
    <row r="605" spans="2:9">
      <c r="B605" s="435"/>
      <c r="C605" s="829"/>
      <c r="D605" s="843"/>
      <c r="E605" s="435"/>
      <c r="F605" s="435"/>
      <c r="G605" s="829"/>
      <c r="H605" s="843"/>
      <c r="I605" s="435"/>
    </row>
    <row r="606" spans="2:9">
      <c r="B606" s="435">
        <v>1</v>
      </c>
      <c r="C606" s="829">
        <v>5.9</v>
      </c>
      <c r="D606" s="843"/>
      <c r="E606" s="435" t="s">
        <v>654</v>
      </c>
      <c r="F606" s="435">
        <v>9</v>
      </c>
      <c r="G606" s="829">
        <v>1.4</v>
      </c>
      <c r="H606" s="843"/>
      <c r="I606" s="435" t="s">
        <v>684</v>
      </c>
    </row>
    <row r="607" spans="2:9">
      <c r="B607" s="435"/>
      <c r="C607" s="829">
        <v>5.8</v>
      </c>
      <c r="D607" s="843">
        <f>C606*C607*B606</f>
        <v>34.22</v>
      </c>
      <c r="E607" s="435"/>
      <c r="F607" s="435"/>
      <c r="G607" s="829">
        <v>0.15</v>
      </c>
      <c r="H607" s="843">
        <f>G606*G607*F606</f>
        <v>1.89</v>
      </c>
      <c r="I607" s="435"/>
    </row>
    <row r="608" spans="2:9">
      <c r="B608" s="435"/>
      <c r="C608" s="829"/>
      <c r="D608" s="843"/>
      <c r="E608" s="435"/>
      <c r="F608" s="435"/>
      <c r="G608" s="829"/>
      <c r="H608" s="843"/>
      <c r="I608" s="435"/>
    </row>
    <row r="609" spans="2:9">
      <c r="B609" s="435">
        <v>1</v>
      </c>
      <c r="C609" s="829">
        <v>5.9</v>
      </c>
      <c r="D609" s="843"/>
      <c r="E609" s="435" t="s">
        <v>586</v>
      </c>
      <c r="F609" s="435">
        <v>1</v>
      </c>
      <c r="G609" s="829">
        <v>1.3</v>
      </c>
      <c r="H609" s="843"/>
      <c r="I609" s="435" t="s">
        <v>685</v>
      </c>
    </row>
    <row r="610" spans="2:9">
      <c r="B610" s="435"/>
      <c r="C610" s="829">
        <v>2.25</v>
      </c>
      <c r="D610" s="843">
        <f>C609*C610*B609</f>
        <v>13.275</v>
      </c>
      <c r="E610" s="435"/>
      <c r="F610" s="435"/>
      <c r="G610" s="829">
        <v>0.2</v>
      </c>
      <c r="H610" s="843">
        <f>G609*G610*F609</f>
        <v>0.26</v>
      </c>
      <c r="I610" s="435"/>
    </row>
    <row r="611" spans="2:9">
      <c r="B611" s="435"/>
      <c r="C611" s="829"/>
      <c r="D611" s="843"/>
      <c r="E611" s="435"/>
      <c r="F611" s="435"/>
      <c r="G611" s="829"/>
      <c r="H611" s="843"/>
      <c r="I611" s="435"/>
    </row>
    <row r="612" spans="2:9">
      <c r="B612" s="435">
        <v>1</v>
      </c>
      <c r="C612" s="829">
        <v>5.85</v>
      </c>
      <c r="D612" s="843"/>
      <c r="E612" s="435" t="s">
        <v>655</v>
      </c>
      <c r="F612" s="435">
        <v>12</v>
      </c>
      <c r="G612" s="829">
        <v>0.7</v>
      </c>
      <c r="H612" s="843"/>
      <c r="I612" s="435" t="s">
        <v>190</v>
      </c>
    </row>
    <row r="613" spans="2:9">
      <c r="B613" s="435"/>
      <c r="C613" s="829">
        <v>3.45</v>
      </c>
      <c r="D613" s="843">
        <f>C612*C613*B612</f>
        <v>20.182500000000001</v>
      </c>
      <c r="E613" s="435"/>
      <c r="F613" s="435"/>
      <c r="G613" s="829">
        <v>0.1</v>
      </c>
      <c r="H613" s="843">
        <f>G612*G613*F612</f>
        <v>0.83999999999999986</v>
      </c>
      <c r="I613" s="435"/>
    </row>
    <row r="614" spans="2:9">
      <c r="B614" s="435"/>
      <c r="C614" s="829"/>
      <c r="D614" s="843"/>
      <c r="E614" s="435"/>
      <c r="F614" s="435"/>
      <c r="G614" s="829"/>
      <c r="H614" s="843"/>
      <c r="I614" s="435"/>
    </row>
    <row r="615" spans="2:9">
      <c r="B615" s="435">
        <v>1</v>
      </c>
      <c r="C615" s="829">
        <v>2.2000000000000002</v>
      </c>
      <c r="D615" s="843"/>
      <c r="E615" s="435" t="s">
        <v>649</v>
      </c>
      <c r="F615" s="435">
        <v>1</v>
      </c>
      <c r="G615" s="829">
        <v>1</v>
      </c>
      <c r="H615" s="843"/>
      <c r="I615" s="435" t="s">
        <v>247</v>
      </c>
    </row>
    <row r="616" spans="2:9">
      <c r="B616" s="435"/>
      <c r="C616" s="829">
        <v>2.2999999999999998</v>
      </c>
      <c r="D616" s="843">
        <f>C615*C616*B615</f>
        <v>5.0599999999999996</v>
      </c>
      <c r="E616" s="435"/>
      <c r="F616" s="435"/>
      <c r="G616" s="829">
        <v>0.15</v>
      </c>
      <c r="H616" s="843">
        <f>G615*G616*F615</f>
        <v>0.15</v>
      </c>
      <c r="I616" s="435"/>
    </row>
    <row r="617" spans="2:9">
      <c r="B617" s="435"/>
      <c r="C617" s="829"/>
      <c r="D617" s="843"/>
      <c r="E617" s="435"/>
      <c r="F617" s="435"/>
      <c r="G617" s="829"/>
      <c r="H617" s="843"/>
      <c r="I617" s="435"/>
    </row>
    <row r="618" spans="2:9">
      <c r="B618" s="435">
        <v>1</v>
      </c>
      <c r="C618" s="829">
        <v>2.5</v>
      </c>
      <c r="D618" s="843"/>
      <c r="E618" s="435"/>
      <c r="F618" s="435">
        <v>1</v>
      </c>
      <c r="G618" s="829">
        <v>7.25</v>
      </c>
      <c r="H618" s="843"/>
      <c r="I618" s="435" t="s">
        <v>657</v>
      </c>
    </row>
    <row r="619" spans="2:9">
      <c r="B619" s="435"/>
      <c r="C619" s="829">
        <v>1.68</v>
      </c>
      <c r="D619" s="843">
        <f>C618*C619*B618</f>
        <v>4.2</v>
      </c>
      <c r="E619" s="435"/>
      <c r="F619" s="435"/>
      <c r="G619" s="829">
        <v>3.45</v>
      </c>
      <c r="H619" s="843">
        <f>G618*G619</f>
        <v>25.012500000000003</v>
      </c>
      <c r="I619" s="435"/>
    </row>
    <row r="620" spans="2:9">
      <c r="B620" s="435"/>
      <c r="C620" s="829"/>
      <c r="D620" s="843"/>
      <c r="E620" s="435"/>
      <c r="F620" s="435"/>
      <c r="G620" s="829"/>
      <c r="H620" s="843"/>
      <c r="I620" s="435"/>
    </row>
    <row r="621" spans="2:9">
      <c r="B621" s="435">
        <v>1</v>
      </c>
      <c r="C621" s="829">
        <v>1.1499999999999999</v>
      </c>
      <c r="D621" s="843"/>
      <c r="E621" s="435"/>
      <c r="F621" s="435">
        <v>1</v>
      </c>
      <c r="G621" s="829">
        <v>7.25</v>
      </c>
      <c r="H621" s="843"/>
      <c r="I621" s="435" t="s">
        <v>659</v>
      </c>
    </row>
    <row r="622" spans="2:9">
      <c r="B622" s="435"/>
      <c r="C622" s="829">
        <v>3.05</v>
      </c>
      <c r="D622" s="843">
        <f>C621*C622*B621</f>
        <v>3.5074999999999994</v>
      </c>
      <c r="E622" s="435"/>
      <c r="F622" s="435"/>
      <c r="G622" s="829">
        <v>5</v>
      </c>
      <c r="H622" s="843">
        <f>G621*G622</f>
        <v>36.25</v>
      </c>
      <c r="I622" s="435"/>
    </row>
    <row r="623" spans="2:9">
      <c r="B623" s="435"/>
      <c r="C623" s="829"/>
      <c r="D623" s="843"/>
      <c r="E623" s="435"/>
      <c r="F623" s="435"/>
      <c r="G623" s="829"/>
      <c r="H623" s="843"/>
      <c r="I623" s="435"/>
    </row>
    <row r="624" spans="2:9">
      <c r="B624" s="435">
        <v>1</v>
      </c>
      <c r="C624" s="829">
        <v>2.2000000000000002</v>
      </c>
      <c r="D624" s="843"/>
      <c r="E624" s="435" t="s">
        <v>650</v>
      </c>
      <c r="F624" s="839"/>
      <c r="G624" s="839"/>
      <c r="H624" s="838">
        <f>SUM(H591:H622)+SUM(D592:D649)+SUM(H533:H587)+SUM(D583:D589)</f>
        <v>641.75350000000003</v>
      </c>
      <c r="I624" s="839" t="s">
        <v>2363</v>
      </c>
    </row>
    <row r="625" spans="2:9">
      <c r="B625" s="435"/>
      <c r="C625" s="829">
        <v>1.25</v>
      </c>
      <c r="D625" s="843">
        <f>C624*C625*B624</f>
        <v>2.75</v>
      </c>
      <c r="E625" s="435"/>
      <c r="F625" s="435"/>
      <c r="G625" s="829"/>
      <c r="H625" s="843"/>
      <c r="I625" s="435"/>
    </row>
    <row r="626" spans="2:9">
      <c r="B626" s="435"/>
      <c r="C626" s="829"/>
      <c r="D626" s="843"/>
      <c r="E626" s="435"/>
      <c r="F626" s="435"/>
      <c r="G626" s="829"/>
      <c r="H626" s="843"/>
      <c r="I626" s="986" t="s">
        <v>2541</v>
      </c>
    </row>
    <row r="627" spans="2:9">
      <c r="B627" s="435">
        <v>1</v>
      </c>
      <c r="C627" s="829">
        <v>2.2000000000000002</v>
      </c>
      <c r="D627" s="843"/>
      <c r="E627" s="435" t="s">
        <v>651</v>
      </c>
      <c r="F627" s="435"/>
      <c r="G627" s="829">
        <v>15.2</v>
      </c>
      <c r="H627" s="843"/>
      <c r="I627" s="435" t="s">
        <v>2364</v>
      </c>
    </row>
    <row r="628" spans="2:9">
      <c r="B628" s="435"/>
      <c r="C628" s="829">
        <v>2.4</v>
      </c>
      <c r="D628" s="843">
        <f>C627*C628*B627</f>
        <v>5.28</v>
      </c>
      <c r="E628" s="435"/>
      <c r="F628" s="435"/>
      <c r="G628" s="829"/>
      <c r="H628" s="843">
        <f>G627</f>
        <v>15.2</v>
      </c>
      <c r="I628" s="435" t="s">
        <v>686</v>
      </c>
    </row>
    <row r="629" spans="2:9">
      <c r="B629" s="435"/>
      <c r="C629" s="829"/>
      <c r="D629" s="843"/>
      <c r="E629" s="435"/>
      <c r="F629" s="435"/>
      <c r="G629" s="829"/>
      <c r="H629" s="843"/>
      <c r="I629" s="435"/>
    </row>
    <row r="630" spans="2:9">
      <c r="B630" s="435">
        <v>1</v>
      </c>
      <c r="C630" s="829">
        <v>2.5</v>
      </c>
      <c r="D630" s="843"/>
      <c r="E630" s="435"/>
      <c r="F630" s="435"/>
      <c r="G630" s="829">
        <v>15.4</v>
      </c>
      <c r="H630" s="843"/>
      <c r="I630" s="435" t="s">
        <v>580</v>
      </c>
    </row>
    <row r="631" spans="2:9">
      <c r="B631" s="435"/>
      <c r="C631" s="829">
        <v>1.68</v>
      </c>
      <c r="D631" s="843">
        <f>C630*C631*B630</f>
        <v>4.2</v>
      </c>
      <c r="E631" s="435"/>
      <c r="F631" s="435"/>
      <c r="G631" s="829"/>
      <c r="H631" s="843">
        <f>G630</f>
        <v>15.4</v>
      </c>
      <c r="I631" s="435" t="s">
        <v>687</v>
      </c>
    </row>
    <row r="632" spans="2:9">
      <c r="B632" s="435"/>
      <c r="C632" s="829"/>
      <c r="D632" s="843"/>
      <c r="E632" s="435"/>
      <c r="F632" s="435"/>
      <c r="G632" s="829"/>
      <c r="H632" s="843"/>
      <c r="I632" s="435"/>
    </row>
    <row r="633" spans="2:9">
      <c r="B633" s="435">
        <v>1</v>
      </c>
      <c r="C633" s="829">
        <v>1.1499999999999999</v>
      </c>
      <c r="D633" s="843"/>
      <c r="E633" s="435"/>
      <c r="F633" s="435"/>
      <c r="G633" s="829">
        <v>11.4</v>
      </c>
      <c r="H633" s="843"/>
      <c r="I633" s="435" t="s">
        <v>584</v>
      </c>
    </row>
    <row r="634" spans="2:9">
      <c r="B634" s="435"/>
      <c r="C634" s="829">
        <v>3.08</v>
      </c>
      <c r="D634" s="843">
        <f>C633*C634*B633</f>
        <v>3.5419999999999998</v>
      </c>
      <c r="E634" s="435"/>
      <c r="F634" s="435"/>
      <c r="G634" s="829"/>
      <c r="H634" s="843">
        <f>G633</f>
        <v>11.4</v>
      </c>
      <c r="I634" s="435" t="s">
        <v>688</v>
      </c>
    </row>
    <row r="635" spans="2:9">
      <c r="B635" s="435"/>
      <c r="C635" s="829"/>
      <c r="D635" s="843"/>
      <c r="E635" s="435"/>
      <c r="F635" s="435"/>
      <c r="G635" s="829"/>
      <c r="H635" s="843"/>
      <c r="I635" s="435"/>
    </row>
    <row r="636" spans="2:9">
      <c r="B636" s="435">
        <v>2</v>
      </c>
      <c r="C636" s="829">
        <v>1</v>
      </c>
      <c r="D636" s="843"/>
      <c r="E636" s="435"/>
      <c r="F636" s="435"/>
      <c r="G636" s="829">
        <v>11.6</v>
      </c>
      <c r="H636" s="843"/>
      <c r="I636" s="435" t="s">
        <v>586</v>
      </c>
    </row>
    <row r="637" spans="2:9">
      <c r="B637" s="435"/>
      <c r="C637" s="829">
        <v>1.3</v>
      </c>
      <c r="D637" s="843">
        <f>C636*C637*B636</f>
        <v>2.6</v>
      </c>
      <c r="E637" s="435"/>
      <c r="F637" s="435"/>
      <c r="G637" s="829"/>
      <c r="H637" s="843">
        <f>G636</f>
        <v>11.6</v>
      </c>
      <c r="I637" s="435" t="s">
        <v>689</v>
      </c>
    </row>
    <row r="638" spans="2:9">
      <c r="B638" s="435"/>
      <c r="C638" s="829"/>
      <c r="D638" s="843"/>
      <c r="E638" s="435"/>
      <c r="F638" s="435"/>
      <c r="G638" s="829"/>
      <c r="H638" s="843"/>
      <c r="I638" s="435"/>
    </row>
    <row r="639" spans="2:9">
      <c r="B639" s="435">
        <v>2</v>
      </c>
      <c r="C639" s="829">
        <v>1.2</v>
      </c>
      <c r="D639" s="843"/>
      <c r="E639" s="435"/>
      <c r="F639" s="435"/>
      <c r="G639" s="829">
        <v>8.1999999999999993</v>
      </c>
      <c r="H639" s="843"/>
      <c r="I639" s="435" t="s">
        <v>121</v>
      </c>
    </row>
    <row r="640" spans="2:9">
      <c r="B640" s="435"/>
      <c r="C640" s="829">
        <v>1.3</v>
      </c>
      <c r="D640" s="843">
        <f>C639*C640*B639</f>
        <v>3.12</v>
      </c>
      <c r="E640" s="435"/>
      <c r="F640" s="435"/>
      <c r="G640" s="829"/>
      <c r="H640" s="843">
        <f>G639</f>
        <v>8.1999999999999993</v>
      </c>
      <c r="I640" s="435" t="s">
        <v>690</v>
      </c>
    </row>
    <row r="641" spans="1:9">
      <c r="B641" s="435"/>
      <c r="C641" s="829"/>
      <c r="D641" s="843"/>
      <c r="E641" s="435"/>
      <c r="F641" s="435"/>
      <c r="G641" s="829"/>
      <c r="H641" s="843"/>
      <c r="I641" s="435"/>
    </row>
    <row r="642" spans="1:9">
      <c r="B642" s="435">
        <v>1</v>
      </c>
      <c r="C642" s="829">
        <v>3.25</v>
      </c>
      <c r="D642" s="843"/>
      <c r="E642" s="435" t="s">
        <v>163</v>
      </c>
      <c r="F642" s="435"/>
      <c r="G642" s="829">
        <v>22.7</v>
      </c>
      <c r="H642" s="843"/>
      <c r="I642" s="435" t="s">
        <v>639</v>
      </c>
    </row>
    <row r="643" spans="1:9">
      <c r="B643" s="435"/>
      <c r="C643" s="829">
        <v>3.65</v>
      </c>
      <c r="D643" s="843">
        <f>C642*C643</f>
        <v>11.862499999999999</v>
      </c>
      <c r="E643" s="435"/>
      <c r="F643" s="435"/>
      <c r="G643" s="829"/>
      <c r="H643" s="843">
        <f>G642</f>
        <v>22.7</v>
      </c>
      <c r="I643" s="435" t="s">
        <v>691</v>
      </c>
    </row>
    <row r="644" spans="1:9">
      <c r="B644" s="435"/>
      <c r="C644" s="829"/>
      <c r="D644" s="843"/>
      <c r="E644" s="435"/>
      <c r="F644" s="435"/>
      <c r="G644" s="829"/>
      <c r="H644" s="843"/>
      <c r="I644" s="435"/>
    </row>
    <row r="645" spans="1:9">
      <c r="B645" s="435">
        <v>1</v>
      </c>
      <c r="C645" s="829">
        <v>2.4</v>
      </c>
      <c r="D645" s="843"/>
      <c r="E645" s="435" t="s">
        <v>653</v>
      </c>
      <c r="F645" s="435"/>
      <c r="G645" s="829">
        <v>9.5</v>
      </c>
      <c r="H645" s="843"/>
      <c r="I645" s="435" t="s">
        <v>594</v>
      </c>
    </row>
    <row r="646" spans="1:9">
      <c r="B646" s="435"/>
      <c r="C646" s="829">
        <v>3.65</v>
      </c>
      <c r="D646" s="843">
        <f>C645*C646</f>
        <v>8.76</v>
      </c>
      <c r="E646" s="435"/>
      <c r="F646" s="435"/>
      <c r="G646" s="829"/>
      <c r="H646" s="843">
        <f>G645</f>
        <v>9.5</v>
      </c>
      <c r="I646" s="435" t="s">
        <v>692</v>
      </c>
    </row>
    <row r="647" spans="1:9">
      <c r="B647" s="435"/>
      <c r="C647" s="829"/>
      <c r="D647" s="843"/>
      <c r="E647" s="435"/>
      <c r="F647" s="435"/>
      <c r="G647" s="829"/>
      <c r="H647" s="843"/>
      <c r="I647" s="435"/>
    </row>
    <row r="648" spans="1:9">
      <c r="B648" s="435">
        <v>1</v>
      </c>
      <c r="C648" s="829">
        <v>3.25</v>
      </c>
      <c r="D648" s="843"/>
      <c r="E648" s="435" t="s">
        <v>626</v>
      </c>
      <c r="F648" s="435"/>
      <c r="G648" s="829">
        <v>8.1999999999999993</v>
      </c>
      <c r="H648" s="843"/>
      <c r="I648" s="435" t="s">
        <v>643</v>
      </c>
    </row>
    <row r="649" spans="1:9">
      <c r="B649" s="109"/>
      <c r="C649" s="850">
        <v>3.35</v>
      </c>
      <c r="D649" s="928">
        <f>C648*C649</f>
        <v>10.887500000000001</v>
      </c>
      <c r="E649" s="109"/>
      <c r="F649" s="109"/>
      <c r="G649" s="850"/>
      <c r="H649" s="928">
        <f>G648</f>
        <v>8.1999999999999993</v>
      </c>
      <c r="I649" s="109" t="s">
        <v>693</v>
      </c>
    </row>
    <row r="650" spans="1:9">
      <c r="A650" s="818"/>
      <c r="B650" s="853" t="s">
        <v>1884</v>
      </c>
      <c r="C650" s="854" t="s">
        <v>526</v>
      </c>
      <c r="D650" s="855" t="s">
        <v>1885</v>
      </c>
      <c r="E650" s="854" t="s">
        <v>1886</v>
      </c>
      <c r="F650" s="853" t="s">
        <v>1884</v>
      </c>
      <c r="G650" s="855" t="s">
        <v>526</v>
      </c>
      <c r="H650" s="856" t="s">
        <v>1885</v>
      </c>
      <c r="I650" s="854" t="s">
        <v>1886</v>
      </c>
    </row>
    <row r="651" spans="1:9">
      <c r="B651" s="435"/>
      <c r="C651" s="829">
        <v>9.6</v>
      </c>
      <c r="D651" s="843"/>
      <c r="E651" s="435" t="s">
        <v>605</v>
      </c>
      <c r="F651" s="435"/>
      <c r="G651" s="829">
        <v>11.4</v>
      </c>
      <c r="H651" s="843"/>
      <c r="I651" s="435" t="s">
        <v>626</v>
      </c>
    </row>
    <row r="652" spans="1:9">
      <c r="B652" s="435"/>
      <c r="C652" s="829"/>
      <c r="D652" s="843">
        <f>C651</f>
        <v>9.6</v>
      </c>
      <c r="E652" s="435" t="s">
        <v>694</v>
      </c>
      <c r="F652" s="435"/>
      <c r="G652" s="829"/>
      <c r="H652" s="843">
        <f>G651</f>
        <v>11.4</v>
      </c>
      <c r="I652" s="435" t="s">
        <v>716</v>
      </c>
    </row>
    <row r="653" spans="1:9">
      <c r="B653" s="435"/>
      <c r="C653" s="829"/>
      <c r="D653" s="843"/>
      <c r="E653" s="435"/>
      <c r="F653" s="435"/>
      <c r="G653" s="829"/>
      <c r="H653" s="843"/>
      <c r="I653" s="435"/>
    </row>
    <row r="654" spans="1:9">
      <c r="B654" s="435"/>
      <c r="C654" s="829">
        <v>18.399999999999999</v>
      </c>
      <c r="D654" s="843"/>
      <c r="E654" s="435" t="s">
        <v>647</v>
      </c>
      <c r="F654" s="435"/>
      <c r="G654" s="829">
        <v>10.6</v>
      </c>
      <c r="H654" s="843"/>
      <c r="I654" s="435" t="s">
        <v>183</v>
      </c>
    </row>
    <row r="655" spans="1:9">
      <c r="B655" s="435"/>
      <c r="C655" s="829"/>
      <c r="D655" s="843">
        <f>C654</f>
        <v>18.399999999999999</v>
      </c>
      <c r="E655" s="435" t="s">
        <v>695</v>
      </c>
      <c r="F655" s="435"/>
      <c r="G655" s="829"/>
      <c r="H655" s="843">
        <f>G654</f>
        <v>10.6</v>
      </c>
      <c r="I655" s="435" t="s">
        <v>717</v>
      </c>
    </row>
    <row r="656" spans="1:9">
      <c r="B656" s="435"/>
      <c r="C656" s="829"/>
      <c r="D656" s="843"/>
      <c r="E656" s="435"/>
      <c r="F656" s="435"/>
      <c r="G656" s="829"/>
      <c r="H656" s="843"/>
      <c r="I656" s="435"/>
    </row>
    <row r="657" spans="2:9">
      <c r="B657" s="435"/>
      <c r="C657" s="829">
        <v>4.9000000000000004</v>
      </c>
      <c r="D657" s="843"/>
      <c r="E657" s="435" t="s">
        <v>648</v>
      </c>
      <c r="F657" s="435"/>
      <c r="G657" s="829">
        <v>23.08</v>
      </c>
      <c r="H657" s="843"/>
      <c r="I657" s="435" t="s">
        <v>160</v>
      </c>
    </row>
    <row r="658" spans="2:9">
      <c r="B658" s="435"/>
      <c r="C658" s="829"/>
      <c r="D658" s="843">
        <f>C657</f>
        <v>4.9000000000000004</v>
      </c>
      <c r="E658" s="435" t="s">
        <v>696</v>
      </c>
      <c r="F658" s="435"/>
      <c r="G658" s="829"/>
      <c r="H658" s="843">
        <f>G657</f>
        <v>23.08</v>
      </c>
      <c r="I658" s="435" t="s">
        <v>719</v>
      </c>
    </row>
    <row r="659" spans="2:9">
      <c r="B659" s="435"/>
      <c r="C659" s="829"/>
      <c r="D659" s="843"/>
      <c r="E659" s="435"/>
      <c r="F659" s="435"/>
      <c r="G659" s="829"/>
      <c r="H659" s="843"/>
      <c r="I659" s="435"/>
    </row>
    <row r="660" spans="2:9">
      <c r="B660" s="435"/>
      <c r="C660" s="829">
        <v>7.1</v>
      </c>
      <c r="D660" s="843"/>
      <c r="E660" s="435" t="s">
        <v>70</v>
      </c>
      <c r="F660" s="435"/>
      <c r="G660" s="829">
        <v>28</v>
      </c>
      <c r="H660" s="843"/>
      <c r="I660" s="435" t="s">
        <v>121</v>
      </c>
    </row>
    <row r="661" spans="2:9">
      <c r="B661" s="435"/>
      <c r="C661" s="829"/>
      <c r="D661" s="843">
        <f>C660</f>
        <v>7.1</v>
      </c>
      <c r="E661" s="435" t="s">
        <v>697</v>
      </c>
      <c r="F661" s="435"/>
      <c r="G661" s="829"/>
      <c r="H661" s="843">
        <f>G660</f>
        <v>28</v>
      </c>
      <c r="I661" s="435" t="s">
        <v>721</v>
      </c>
    </row>
    <row r="662" spans="2:9">
      <c r="B662" s="435"/>
      <c r="C662" s="829"/>
      <c r="D662" s="843"/>
      <c r="E662" s="435"/>
      <c r="F662" s="435"/>
      <c r="G662" s="829"/>
      <c r="H662" s="843"/>
      <c r="I662" s="435" t="s">
        <v>722</v>
      </c>
    </row>
    <row r="663" spans="2:9">
      <c r="B663" s="435"/>
      <c r="C663" s="829">
        <v>13.8</v>
      </c>
      <c r="D663" s="843"/>
      <c r="E663" s="435" t="s">
        <v>698</v>
      </c>
      <c r="F663" s="435"/>
      <c r="G663" s="829"/>
      <c r="H663" s="843"/>
      <c r="I663" s="435"/>
    </row>
    <row r="664" spans="2:9">
      <c r="B664" s="435"/>
      <c r="C664" s="829"/>
      <c r="D664" s="843">
        <f>C663</f>
        <v>13.8</v>
      </c>
      <c r="E664" s="435" t="s">
        <v>699</v>
      </c>
      <c r="F664" s="839"/>
      <c r="G664" s="839"/>
      <c r="H664" s="838">
        <f>SUM(H651:H662)+SUM(D652:D703)+SUM(H628:H649)</f>
        <v>419.09000000000003</v>
      </c>
      <c r="I664" s="839" t="s">
        <v>2365</v>
      </c>
    </row>
    <row r="665" spans="2:9">
      <c r="B665" s="435"/>
      <c r="C665" s="829"/>
      <c r="D665" s="843"/>
      <c r="E665" s="435"/>
      <c r="F665" s="435"/>
      <c r="G665" s="829"/>
      <c r="H665" s="843"/>
      <c r="I665" s="435"/>
    </row>
    <row r="666" spans="2:9">
      <c r="B666" s="435"/>
      <c r="C666" s="829">
        <v>15.84</v>
      </c>
      <c r="D666" s="843"/>
      <c r="E666" s="435" t="s">
        <v>700</v>
      </c>
      <c r="F666" s="435"/>
      <c r="G666" s="829"/>
      <c r="H666" s="843"/>
      <c r="I666" s="986" t="s">
        <v>2542</v>
      </c>
    </row>
    <row r="667" spans="2:9">
      <c r="B667" s="435"/>
      <c r="C667" s="829"/>
      <c r="D667" s="843">
        <f>C666</f>
        <v>15.84</v>
      </c>
      <c r="E667" s="435" t="s">
        <v>701</v>
      </c>
      <c r="F667" s="435"/>
      <c r="G667" s="829"/>
      <c r="H667" s="843"/>
      <c r="I667" s="847" t="s">
        <v>724</v>
      </c>
    </row>
    <row r="668" spans="2:9">
      <c r="B668" s="435"/>
      <c r="C668" s="829"/>
      <c r="D668" s="843"/>
      <c r="E668" s="435"/>
      <c r="F668" s="435">
        <v>24</v>
      </c>
      <c r="G668" s="829">
        <v>1.55</v>
      </c>
      <c r="H668" s="843"/>
      <c r="I668" s="435" t="s">
        <v>725</v>
      </c>
    </row>
    <row r="669" spans="2:9">
      <c r="B669" s="435"/>
      <c r="C669" s="829">
        <v>19.899999999999999</v>
      </c>
      <c r="D669" s="843"/>
      <c r="E669" s="435" t="s">
        <v>615</v>
      </c>
      <c r="F669" s="435"/>
      <c r="G669" s="829"/>
      <c r="H669" s="843">
        <f>G668*F668</f>
        <v>37.200000000000003</v>
      </c>
      <c r="I669" s="435"/>
    </row>
    <row r="670" spans="2:9">
      <c r="B670" s="435"/>
      <c r="C670" s="829"/>
      <c r="D670" s="843">
        <f>C669</f>
        <v>19.899999999999999</v>
      </c>
      <c r="E670" s="435" t="s">
        <v>702</v>
      </c>
      <c r="F670" s="435"/>
      <c r="G670" s="829"/>
      <c r="H670" s="843"/>
      <c r="I670" s="435"/>
    </row>
    <row r="671" spans="2:9">
      <c r="B671" s="435"/>
      <c r="C671" s="829"/>
      <c r="D671" s="843"/>
      <c r="E671" s="435"/>
      <c r="F671" s="435">
        <v>1</v>
      </c>
      <c r="G671" s="829">
        <v>1.05</v>
      </c>
      <c r="H671" s="843"/>
      <c r="I671" s="435" t="s">
        <v>157</v>
      </c>
    </row>
    <row r="672" spans="2:9">
      <c r="B672" s="435"/>
      <c r="C672" s="829">
        <v>20.37</v>
      </c>
      <c r="D672" s="843"/>
      <c r="E672" s="435" t="s">
        <v>652</v>
      </c>
      <c r="F672" s="435"/>
      <c r="G672" s="829"/>
      <c r="H672" s="843">
        <f>G671*F671</f>
        <v>1.05</v>
      </c>
      <c r="I672" s="435"/>
    </row>
    <row r="673" spans="2:9">
      <c r="B673" s="435"/>
      <c r="C673" s="829"/>
      <c r="D673" s="843">
        <f>C672</f>
        <v>20.37</v>
      </c>
      <c r="E673" s="435" t="s">
        <v>703</v>
      </c>
      <c r="F673" s="435"/>
      <c r="G673" s="829"/>
      <c r="H673" s="843"/>
      <c r="I673" s="435"/>
    </row>
    <row r="674" spans="2:9">
      <c r="B674" s="435"/>
      <c r="C674" s="829"/>
      <c r="D674" s="843"/>
      <c r="E674" s="435"/>
      <c r="F674" s="435">
        <v>5</v>
      </c>
      <c r="G674" s="829">
        <v>1.1499999999999999</v>
      </c>
      <c r="H674" s="843"/>
      <c r="I674" s="435" t="s">
        <v>727</v>
      </c>
    </row>
    <row r="675" spans="2:9">
      <c r="B675" s="435"/>
      <c r="C675" s="829">
        <v>9.1999999999999993</v>
      </c>
      <c r="D675" s="843"/>
      <c r="E675" s="435" t="s">
        <v>163</v>
      </c>
      <c r="F675" s="435"/>
      <c r="G675" s="829"/>
      <c r="H675" s="843">
        <f>G674*F674</f>
        <v>5.75</v>
      </c>
      <c r="I675" s="435"/>
    </row>
    <row r="676" spans="2:9">
      <c r="B676" s="435"/>
      <c r="C676" s="829"/>
      <c r="D676" s="843">
        <f>C675</f>
        <v>9.1999999999999993</v>
      </c>
      <c r="E676" s="435" t="s">
        <v>704</v>
      </c>
      <c r="F676" s="435"/>
      <c r="G676" s="829"/>
      <c r="H676" s="843"/>
      <c r="I676" s="435"/>
    </row>
    <row r="677" spans="2:9">
      <c r="B677" s="435"/>
      <c r="C677" s="829"/>
      <c r="D677" s="843"/>
      <c r="E677" s="435"/>
      <c r="F677" s="435">
        <v>2</v>
      </c>
      <c r="G677" s="829">
        <v>1.35</v>
      </c>
      <c r="H677" s="843"/>
      <c r="I677" s="435" t="s">
        <v>728</v>
      </c>
    </row>
    <row r="678" spans="2:9">
      <c r="B678" s="435"/>
      <c r="C678" s="829">
        <v>10.9</v>
      </c>
      <c r="D678" s="843"/>
      <c r="E678" s="435" t="s">
        <v>612</v>
      </c>
      <c r="F678" s="435"/>
      <c r="G678" s="829"/>
      <c r="H678" s="843">
        <f>G677*F677</f>
        <v>2.7</v>
      </c>
      <c r="I678" s="435"/>
    </row>
    <row r="679" spans="2:9">
      <c r="B679" s="435"/>
      <c r="C679" s="829"/>
      <c r="D679" s="843">
        <f>C678</f>
        <v>10.9</v>
      </c>
      <c r="E679" s="435" t="s">
        <v>705</v>
      </c>
      <c r="F679" s="435"/>
      <c r="G679" s="829"/>
      <c r="H679" s="843"/>
      <c r="I679" s="435"/>
    </row>
    <row r="680" spans="2:9">
      <c r="B680" s="435"/>
      <c r="C680" s="829"/>
      <c r="D680" s="843"/>
      <c r="E680" s="435"/>
      <c r="F680" s="435">
        <v>1</v>
      </c>
      <c r="G680" s="829">
        <v>1.55</v>
      </c>
      <c r="H680" s="843"/>
      <c r="I680" s="435" t="s">
        <v>506</v>
      </c>
    </row>
    <row r="681" spans="2:9">
      <c r="B681" s="435"/>
      <c r="C681" s="829">
        <v>16.3</v>
      </c>
      <c r="D681" s="843"/>
      <c r="E681" s="435" t="s">
        <v>70</v>
      </c>
      <c r="F681" s="435"/>
      <c r="G681" s="829"/>
      <c r="H681" s="843">
        <f>G680*F680</f>
        <v>1.55</v>
      </c>
      <c r="I681" s="435"/>
    </row>
    <row r="682" spans="2:9">
      <c r="B682" s="435"/>
      <c r="C682" s="829"/>
      <c r="D682" s="843">
        <f>C681</f>
        <v>16.3</v>
      </c>
      <c r="E682" s="435" t="s">
        <v>706</v>
      </c>
      <c r="F682" s="435"/>
      <c r="G682" s="829"/>
      <c r="H682" s="843"/>
      <c r="I682" s="435"/>
    </row>
    <row r="683" spans="2:9">
      <c r="B683" s="435"/>
      <c r="C683" s="829"/>
      <c r="D683" s="843"/>
      <c r="E683" s="435"/>
      <c r="F683" s="839"/>
      <c r="G683" s="839"/>
      <c r="H683" s="838">
        <f>SUM(H669:H681)</f>
        <v>48.25</v>
      </c>
      <c r="I683" s="839" t="s">
        <v>2366</v>
      </c>
    </row>
    <row r="684" spans="2:9">
      <c r="B684" s="435"/>
      <c r="C684" s="829">
        <v>22</v>
      </c>
      <c r="D684" s="843"/>
      <c r="E684" s="435" t="s">
        <v>654</v>
      </c>
      <c r="F684" s="435"/>
      <c r="G684" s="829"/>
      <c r="H684" s="843"/>
      <c r="I684" s="435"/>
    </row>
    <row r="685" spans="2:9">
      <c r="B685" s="435"/>
      <c r="C685" s="829"/>
      <c r="D685" s="843">
        <f>C684</f>
        <v>22</v>
      </c>
      <c r="E685" s="435" t="s">
        <v>707</v>
      </c>
      <c r="F685" s="435"/>
      <c r="G685" s="829"/>
      <c r="H685" s="843"/>
      <c r="I685" s="847" t="s">
        <v>2367</v>
      </c>
    </row>
    <row r="686" spans="2:9">
      <c r="B686" s="435"/>
      <c r="C686" s="829"/>
      <c r="D686" s="843"/>
      <c r="E686" s="435"/>
      <c r="F686" s="435">
        <v>2</v>
      </c>
      <c r="G686" s="829">
        <v>44.1</v>
      </c>
      <c r="H686" s="843"/>
      <c r="I686" s="435"/>
    </row>
    <row r="687" spans="2:9">
      <c r="B687" s="435"/>
      <c r="C687" s="829">
        <v>15.3</v>
      </c>
      <c r="D687" s="843"/>
      <c r="E687" s="435" t="s">
        <v>586</v>
      </c>
      <c r="F687" s="435"/>
      <c r="G687" s="829">
        <v>1.2</v>
      </c>
      <c r="H687" s="843">
        <f>G687*G686*F686</f>
        <v>105.84</v>
      </c>
      <c r="I687" s="435" t="s">
        <v>712</v>
      </c>
    </row>
    <row r="688" spans="2:9">
      <c r="B688" s="435"/>
      <c r="C688" s="829"/>
      <c r="D688" s="843">
        <f>C687</f>
        <v>15.3</v>
      </c>
      <c r="E688" s="435" t="s">
        <v>708</v>
      </c>
      <c r="F688" s="435"/>
      <c r="G688" s="829"/>
      <c r="H688" s="435"/>
      <c r="I688" s="435"/>
    </row>
    <row r="689" spans="2:9">
      <c r="B689" s="435"/>
      <c r="C689" s="829"/>
      <c r="D689" s="843"/>
      <c r="E689" s="435"/>
      <c r="F689" s="435">
        <v>1</v>
      </c>
      <c r="G689" s="829">
        <v>16.350000000000001</v>
      </c>
      <c r="H689" s="843"/>
      <c r="I689" s="435"/>
    </row>
    <row r="690" spans="2:9">
      <c r="B690" s="435"/>
      <c r="C690" s="829">
        <v>14.4</v>
      </c>
      <c r="D690" s="843"/>
      <c r="E690" s="435"/>
      <c r="F690" s="435"/>
      <c r="G690" s="829">
        <v>1.2</v>
      </c>
      <c r="H690" s="843">
        <f>G690*G689*F689</f>
        <v>19.62</v>
      </c>
      <c r="I690" s="435" t="s">
        <v>714</v>
      </c>
    </row>
    <row r="691" spans="2:9">
      <c r="B691" s="435"/>
      <c r="C691" s="829"/>
      <c r="D691" s="843">
        <f>C690</f>
        <v>14.4</v>
      </c>
      <c r="E691" s="435" t="s">
        <v>709</v>
      </c>
      <c r="F691" s="435"/>
      <c r="G691" s="435"/>
      <c r="H691" s="435"/>
      <c r="I691" s="435"/>
    </row>
    <row r="692" spans="2:9">
      <c r="B692" s="435"/>
      <c r="C692" s="829"/>
      <c r="D692" s="843"/>
      <c r="E692" s="435"/>
      <c r="F692" s="839"/>
      <c r="G692" s="839"/>
      <c r="H692" s="838">
        <f>SUM(H687:H690)</f>
        <v>125.46000000000001</v>
      </c>
      <c r="I692" s="839" t="s">
        <v>2368</v>
      </c>
    </row>
    <row r="693" spans="2:9">
      <c r="B693" s="435"/>
      <c r="C693" s="829">
        <v>17.7</v>
      </c>
      <c r="D693" s="843"/>
      <c r="E693" s="435" t="s">
        <v>655</v>
      </c>
      <c r="F693" s="435"/>
      <c r="G693" s="829"/>
      <c r="H693" s="843"/>
      <c r="I693" s="435"/>
    </row>
    <row r="694" spans="2:9">
      <c r="B694" s="435"/>
      <c r="C694" s="829"/>
      <c r="D694" s="843">
        <f>C693</f>
        <v>17.7</v>
      </c>
      <c r="E694" s="435" t="s">
        <v>710</v>
      </c>
      <c r="F694" s="435"/>
      <c r="G694" s="829"/>
      <c r="H694" s="843"/>
      <c r="I694" s="847" t="s">
        <v>368</v>
      </c>
    </row>
    <row r="695" spans="2:9">
      <c r="B695" s="435"/>
      <c r="C695" s="829"/>
      <c r="D695" s="843"/>
      <c r="E695" s="435"/>
      <c r="F695" s="435"/>
      <c r="G695" s="829"/>
      <c r="H695" s="843"/>
      <c r="I695" s="435"/>
    </row>
    <row r="696" spans="2:9">
      <c r="B696" s="435"/>
      <c r="C696" s="829">
        <v>4.4000000000000004</v>
      </c>
      <c r="D696" s="843"/>
      <c r="E696" s="435"/>
      <c r="F696" s="435">
        <v>1</v>
      </c>
      <c r="G696" s="829">
        <v>44.1</v>
      </c>
      <c r="H696" s="843"/>
      <c r="I696" s="435" t="s">
        <v>718</v>
      </c>
    </row>
    <row r="697" spans="2:9">
      <c r="B697" s="435"/>
      <c r="C697" s="829"/>
      <c r="D697" s="843">
        <f>C696</f>
        <v>4.4000000000000004</v>
      </c>
      <c r="E697" s="435" t="s">
        <v>711</v>
      </c>
      <c r="F697" s="435"/>
      <c r="G697" s="829"/>
      <c r="H697" s="843">
        <f>G696*F696</f>
        <v>44.1</v>
      </c>
      <c r="I697" s="435"/>
    </row>
    <row r="698" spans="2:9">
      <c r="B698" s="435"/>
      <c r="C698" s="829"/>
      <c r="D698" s="843"/>
      <c r="E698" s="435"/>
      <c r="F698" s="435">
        <v>1</v>
      </c>
      <c r="G698" s="829">
        <v>18.75</v>
      </c>
      <c r="H698" s="843"/>
      <c r="I698" s="435" t="s">
        <v>720</v>
      </c>
    </row>
    <row r="699" spans="2:9">
      <c r="B699" s="435"/>
      <c r="C699" s="829">
        <v>12.9</v>
      </c>
      <c r="D699" s="843"/>
      <c r="E699" s="435" t="s">
        <v>163</v>
      </c>
      <c r="F699" s="435"/>
      <c r="G699" s="829"/>
      <c r="H699" s="843">
        <f>G698*F698</f>
        <v>18.75</v>
      </c>
      <c r="I699" s="435"/>
    </row>
    <row r="700" spans="2:9">
      <c r="B700" s="435"/>
      <c r="C700" s="829"/>
      <c r="D700" s="843">
        <f>C699</f>
        <v>12.9</v>
      </c>
      <c r="E700" s="435" t="s">
        <v>713</v>
      </c>
      <c r="F700" s="435"/>
      <c r="G700" s="435"/>
      <c r="H700" s="435"/>
      <c r="I700" s="435"/>
    </row>
    <row r="701" spans="2:9">
      <c r="B701" s="435"/>
      <c r="C701" s="829"/>
      <c r="D701" s="843"/>
      <c r="E701" s="435"/>
      <c r="F701" s="839"/>
      <c r="G701" s="839"/>
      <c r="H701" s="838">
        <f>SUM(H696:H699)</f>
        <v>62.85</v>
      </c>
      <c r="I701" s="839" t="s">
        <v>2369</v>
      </c>
    </row>
    <row r="702" spans="2:9">
      <c r="B702" s="435"/>
      <c r="C702" s="829">
        <v>10.8</v>
      </c>
      <c r="D702" s="843"/>
      <c r="E702" s="435" t="s">
        <v>653</v>
      </c>
      <c r="F702" s="435"/>
      <c r="G702" s="435"/>
      <c r="H702" s="435"/>
      <c r="I702" s="435"/>
    </row>
    <row r="703" spans="2:9">
      <c r="B703" s="435"/>
      <c r="C703" s="829"/>
      <c r="D703" s="843">
        <f>C702</f>
        <v>10.8</v>
      </c>
      <c r="E703" s="435" t="s">
        <v>715</v>
      </c>
      <c r="F703" s="435"/>
      <c r="G703" s="435"/>
      <c r="H703" s="435"/>
      <c r="I703" s="435"/>
    </row>
    <row r="704" spans="2:9">
      <c r="B704" s="1"/>
      <c r="C704" s="3"/>
      <c r="D704" s="3"/>
      <c r="E704" s="27"/>
      <c r="F704" s="435"/>
      <c r="G704" s="435"/>
      <c r="H704" s="435"/>
      <c r="I704" s="435"/>
    </row>
    <row r="705" spans="1:9">
      <c r="B705" s="849"/>
      <c r="C705" s="850"/>
      <c r="D705" s="851"/>
      <c r="E705" s="852"/>
      <c r="F705" s="109"/>
      <c r="G705" s="109"/>
      <c r="H705" s="109"/>
      <c r="I705" s="109"/>
    </row>
    <row r="706" spans="1:9">
      <c r="A706" s="818"/>
      <c r="B706" s="853" t="s">
        <v>1884</v>
      </c>
      <c r="C706" s="854" t="s">
        <v>526</v>
      </c>
      <c r="D706" s="855" t="s">
        <v>1885</v>
      </c>
      <c r="E706" s="854" t="s">
        <v>1886</v>
      </c>
      <c r="F706" s="853" t="s">
        <v>1884</v>
      </c>
      <c r="G706" s="855" t="s">
        <v>526</v>
      </c>
      <c r="H706" s="856" t="s">
        <v>1885</v>
      </c>
      <c r="I706" s="854" t="s">
        <v>1886</v>
      </c>
    </row>
    <row r="707" spans="1:9">
      <c r="B707" s="435"/>
      <c r="C707" s="829"/>
      <c r="D707" s="843"/>
      <c r="E707" s="847" t="s">
        <v>2370</v>
      </c>
      <c r="F707" s="435">
        <v>1</v>
      </c>
      <c r="G707" s="829">
        <v>55.79</v>
      </c>
      <c r="H707" s="843"/>
      <c r="I707" s="847" t="s">
        <v>730</v>
      </c>
    </row>
    <row r="708" spans="1:9">
      <c r="B708" s="435">
        <v>2</v>
      </c>
      <c r="C708" s="829">
        <v>0</v>
      </c>
      <c r="D708" s="843"/>
      <c r="E708" s="435" t="s">
        <v>723</v>
      </c>
      <c r="F708" s="839"/>
      <c r="G708" s="839"/>
      <c r="H708" s="838">
        <f>F707*G707</f>
        <v>55.79</v>
      </c>
      <c r="I708" s="845" t="s">
        <v>2386</v>
      </c>
    </row>
    <row r="709" spans="1:9">
      <c r="B709" s="435"/>
      <c r="C709" s="829"/>
      <c r="D709" s="843">
        <f>C708*B708</f>
        <v>0</v>
      </c>
      <c r="E709" s="435"/>
      <c r="F709" s="435"/>
      <c r="G709" s="829"/>
      <c r="H709" s="843"/>
      <c r="I709" s="847"/>
    </row>
    <row r="710" spans="1:9">
      <c r="B710" s="435"/>
      <c r="C710" s="829"/>
      <c r="D710" s="843"/>
      <c r="E710" s="435"/>
      <c r="F710" s="435">
        <v>1</v>
      </c>
      <c r="G710" s="829">
        <v>38.369999999999997</v>
      </c>
      <c r="H710" s="843"/>
      <c r="I710" s="847" t="s">
        <v>731</v>
      </c>
    </row>
    <row r="711" spans="1:9">
      <c r="B711" s="435">
        <v>1</v>
      </c>
      <c r="C711" s="829">
        <v>29.5</v>
      </c>
      <c r="D711" s="843"/>
      <c r="E711" s="435" t="s">
        <v>726</v>
      </c>
      <c r="F711" s="839"/>
      <c r="G711" s="839"/>
      <c r="H711" s="838">
        <f>F710*G710</f>
        <v>38.369999999999997</v>
      </c>
      <c r="I711" s="845" t="s">
        <v>2387</v>
      </c>
    </row>
    <row r="712" spans="1:9">
      <c r="B712" s="435"/>
      <c r="C712" s="829"/>
      <c r="D712" s="843">
        <f>C711*B711</f>
        <v>29.5</v>
      </c>
      <c r="E712" s="435"/>
      <c r="F712" s="435"/>
      <c r="G712" s="829"/>
      <c r="H712" s="843"/>
      <c r="I712" s="847"/>
    </row>
    <row r="713" spans="1:9">
      <c r="B713" s="435"/>
      <c r="C713" s="829"/>
      <c r="D713" s="843"/>
      <c r="E713" s="435"/>
      <c r="F713" s="435"/>
      <c r="G713" s="829"/>
      <c r="H713" s="843"/>
      <c r="I713" s="847" t="s">
        <v>372</v>
      </c>
    </row>
    <row r="714" spans="1:9">
      <c r="B714" s="839"/>
      <c r="C714" s="839"/>
      <c r="D714" s="838">
        <f>SUM(D708:D713)</f>
        <v>29.5</v>
      </c>
      <c r="E714" s="839" t="s">
        <v>2371</v>
      </c>
      <c r="F714" s="435">
        <v>9</v>
      </c>
      <c r="G714" s="829">
        <v>1</v>
      </c>
      <c r="H714" s="843"/>
      <c r="I714" s="847"/>
    </row>
    <row r="715" spans="1:9">
      <c r="B715" s="435"/>
      <c r="C715" s="435"/>
      <c r="D715" s="435"/>
      <c r="E715" s="435"/>
      <c r="F715" s="839"/>
      <c r="G715" s="839"/>
      <c r="H715" s="838">
        <f>F714*G714</f>
        <v>9</v>
      </c>
      <c r="I715" s="845" t="s">
        <v>2388</v>
      </c>
    </row>
    <row r="716" spans="1:9">
      <c r="B716" s="831"/>
      <c r="C716" s="829"/>
      <c r="D716" s="832"/>
      <c r="E716" s="844" t="s">
        <v>369</v>
      </c>
      <c r="F716" s="435"/>
      <c r="G716" s="829"/>
      <c r="H716" s="843"/>
      <c r="I716" s="435"/>
    </row>
    <row r="717" spans="1:9" ht="18.75">
      <c r="B717" s="831"/>
      <c r="C717" s="829"/>
      <c r="D717" s="832"/>
      <c r="E717" s="844" t="s">
        <v>2329</v>
      </c>
      <c r="F717" s="435"/>
      <c r="G717" s="435"/>
      <c r="H717" s="435"/>
      <c r="I717" s="1014" t="s">
        <v>19</v>
      </c>
    </row>
    <row r="718" spans="1:9">
      <c r="B718" s="831"/>
      <c r="C718" s="829"/>
      <c r="D718" s="832"/>
      <c r="E718" s="844"/>
      <c r="F718" s="435"/>
      <c r="G718" s="829"/>
      <c r="H718" s="843"/>
      <c r="I718" s="847" t="s">
        <v>2334</v>
      </c>
    </row>
    <row r="719" spans="1:9">
      <c r="B719" s="839"/>
      <c r="C719" s="839"/>
      <c r="D719" s="838">
        <f>D491</f>
        <v>1516.6472000000003</v>
      </c>
      <c r="E719" s="845" t="s">
        <v>2156</v>
      </c>
      <c r="F719" s="435"/>
      <c r="G719" s="829"/>
      <c r="H719" s="843"/>
      <c r="I719" s="847" t="s">
        <v>2389</v>
      </c>
    </row>
    <row r="720" spans="1:9">
      <c r="B720" s="831"/>
      <c r="C720" s="829"/>
      <c r="D720" s="832"/>
      <c r="E720" s="833"/>
      <c r="F720" s="435">
        <v>104</v>
      </c>
      <c r="G720" s="829">
        <v>1</v>
      </c>
      <c r="H720" s="843"/>
      <c r="I720" s="435"/>
    </row>
    <row r="721" spans="2:9">
      <c r="B721" s="831"/>
      <c r="C721" s="829"/>
      <c r="D721" s="832"/>
      <c r="E721" s="844" t="s">
        <v>272</v>
      </c>
      <c r="F721" s="839"/>
      <c r="G721" s="839"/>
      <c r="H721" s="838">
        <f>F720*G720</f>
        <v>104</v>
      </c>
      <c r="I721" s="845" t="s">
        <v>2390</v>
      </c>
    </row>
    <row r="722" spans="2:9">
      <c r="B722" s="839"/>
      <c r="C722" s="839"/>
      <c r="D722" s="838">
        <f>D560</f>
        <v>563.84749999999997</v>
      </c>
      <c r="E722" s="845" t="s">
        <v>2157</v>
      </c>
      <c r="F722" s="435"/>
      <c r="G722" s="829"/>
      <c r="H722" s="843"/>
      <c r="I722" s="435"/>
    </row>
    <row r="723" spans="2:9">
      <c r="B723" s="831"/>
      <c r="C723" s="829"/>
      <c r="D723" s="832"/>
      <c r="E723" s="833"/>
      <c r="F723" s="435"/>
      <c r="G723" s="829"/>
      <c r="H723" s="843"/>
      <c r="I723" s="847" t="s">
        <v>2337</v>
      </c>
    </row>
    <row r="724" spans="2:9">
      <c r="B724" s="831"/>
      <c r="C724" s="829"/>
      <c r="D724" s="832"/>
      <c r="E724" s="844" t="s">
        <v>273</v>
      </c>
      <c r="F724" s="435"/>
      <c r="G724" s="829"/>
      <c r="H724" s="843"/>
      <c r="I724" s="847" t="s">
        <v>382</v>
      </c>
    </row>
    <row r="725" spans="2:9">
      <c r="B725" s="839"/>
      <c r="C725" s="839"/>
      <c r="D725" s="838">
        <f>H282</f>
        <v>267.30100000000004</v>
      </c>
      <c r="E725" s="845" t="s">
        <v>2158</v>
      </c>
      <c r="F725" s="435">
        <v>38</v>
      </c>
      <c r="G725" s="829">
        <v>1</v>
      </c>
      <c r="H725" s="843"/>
      <c r="I725" s="847"/>
    </row>
    <row r="726" spans="2:9">
      <c r="B726" s="831"/>
      <c r="C726" s="829"/>
      <c r="D726" s="832"/>
      <c r="E726" s="833"/>
      <c r="F726" s="839"/>
      <c r="G726" s="839"/>
      <c r="H726" s="838">
        <f>F725*G725</f>
        <v>38</v>
      </c>
      <c r="I726" s="845" t="s">
        <v>2391</v>
      </c>
    </row>
    <row r="727" spans="2:9" ht="18.75">
      <c r="B727" s="435"/>
      <c r="C727" s="829"/>
      <c r="D727" s="843"/>
      <c r="E727" s="1014" t="s">
        <v>2372</v>
      </c>
      <c r="F727" s="435"/>
      <c r="G727" s="829"/>
      <c r="H727" s="843"/>
      <c r="I727" s="847"/>
    </row>
    <row r="728" spans="2:9">
      <c r="B728" s="435"/>
      <c r="C728" s="829"/>
      <c r="D728" s="843"/>
      <c r="E728" s="847" t="s">
        <v>2373</v>
      </c>
      <c r="F728" s="435"/>
      <c r="G728" s="829"/>
      <c r="H728" s="843"/>
      <c r="I728" s="847" t="s">
        <v>384</v>
      </c>
    </row>
    <row r="729" spans="2:9">
      <c r="B729" s="435"/>
      <c r="C729" s="829"/>
      <c r="D729" s="843"/>
      <c r="E729" s="847" t="s">
        <v>2374</v>
      </c>
      <c r="F729" s="435">
        <v>23</v>
      </c>
      <c r="G729" s="829">
        <v>1</v>
      </c>
      <c r="H729" s="843"/>
      <c r="I729" s="847"/>
    </row>
    <row r="730" spans="2:9">
      <c r="B730" s="435">
        <v>1</v>
      </c>
      <c r="C730" s="829">
        <v>16</v>
      </c>
      <c r="D730" s="843"/>
      <c r="E730" s="435" t="s">
        <v>2375</v>
      </c>
      <c r="F730" s="839"/>
      <c r="G730" s="839"/>
      <c r="H730" s="838">
        <f>F729*G729</f>
        <v>23</v>
      </c>
      <c r="I730" s="845" t="s">
        <v>2392</v>
      </c>
    </row>
    <row r="731" spans="2:9">
      <c r="B731" s="435"/>
      <c r="C731" s="829"/>
      <c r="D731" s="843">
        <f>C730*B730</f>
        <v>16</v>
      </c>
      <c r="E731" s="435"/>
      <c r="F731" s="435"/>
      <c r="G731" s="829"/>
      <c r="H731" s="843"/>
      <c r="I731" s="847"/>
    </row>
    <row r="732" spans="2:9">
      <c r="B732" s="435"/>
      <c r="C732" s="829"/>
      <c r="D732" s="843"/>
      <c r="E732" s="435"/>
      <c r="F732" s="435"/>
      <c r="G732" s="829"/>
      <c r="H732" s="843"/>
      <c r="I732" s="847" t="s">
        <v>2393</v>
      </c>
    </row>
    <row r="733" spans="2:9">
      <c r="B733" s="435">
        <v>1</v>
      </c>
      <c r="C733" s="829">
        <v>9.6</v>
      </c>
      <c r="D733" s="843"/>
      <c r="E733" s="435" t="s">
        <v>2376</v>
      </c>
      <c r="F733" s="435"/>
      <c r="G733" s="829"/>
      <c r="H733" s="843"/>
      <c r="I733" s="847" t="s">
        <v>288</v>
      </c>
    </row>
    <row r="734" spans="2:9">
      <c r="B734" s="435"/>
      <c r="C734" s="829"/>
      <c r="D734" s="843">
        <f>C733*B733</f>
        <v>9.6</v>
      </c>
      <c r="E734" s="435"/>
      <c r="F734" s="435">
        <v>64</v>
      </c>
      <c r="G734" s="829">
        <v>1</v>
      </c>
      <c r="H734" s="843"/>
      <c r="I734" s="847"/>
    </row>
    <row r="735" spans="2:9">
      <c r="B735" s="435"/>
      <c r="C735" s="829"/>
      <c r="D735" s="843"/>
      <c r="E735" s="435"/>
      <c r="F735" s="839"/>
      <c r="G735" s="839"/>
      <c r="H735" s="838">
        <f>F734*G734</f>
        <v>64</v>
      </c>
      <c r="I735" s="845" t="s">
        <v>2394</v>
      </c>
    </row>
    <row r="736" spans="2:9">
      <c r="B736" s="839"/>
      <c r="C736" s="839"/>
      <c r="D736" s="838">
        <f>D734+D731</f>
        <v>25.6</v>
      </c>
      <c r="E736" s="845" t="s">
        <v>2380</v>
      </c>
      <c r="F736" s="435"/>
      <c r="G736" s="829"/>
      <c r="H736" s="843"/>
      <c r="I736" s="847"/>
    </row>
    <row r="737" spans="2:9">
      <c r="B737" s="435"/>
      <c r="C737" s="829"/>
      <c r="D737" s="843"/>
      <c r="E737" s="435"/>
      <c r="F737" s="435"/>
      <c r="G737" s="829"/>
      <c r="H737" s="843"/>
      <c r="I737" s="847" t="s">
        <v>289</v>
      </c>
    </row>
    <row r="738" spans="2:9">
      <c r="B738" s="435"/>
      <c r="C738" s="829"/>
      <c r="D738" s="843"/>
      <c r="E738" s="847" t="s">
        <v>2377</v>
      </c>
      <c r="F738" s="435">
        <v>11</v>
      </c>
      <c r="G738" s="829">
        <v>1</v>
      </c>
      <c r="H738" s="843"/>
      <c r="I738" s="847"/>
    </row>
    <row r="739" spans="2:9">
      <c r="B739" s="435">
        <v>1</v>
      </c>
      <c r="C739" s="829">
        <v>10.5</v>
      </c>
      <c r="D739" s="843"/>
      <c r="E739" s="435" t="s">
        <v>2375</v>
      </c>
      <c r="F739" s="839"/>
      <c r="G739" s="839"/>
      <c r="H739" s="838">
        <f>F738*G738</f>
        <v>11</v>
      </c>
      <c r="I739" s="845" t="s">
        <v>2395</v>
      </c>
    </row>
    <row r="740" spans="2:9">
      <c r="B740" s="435"/>
      <c r="C740" s="829"/>
      <c r="D740" s="843">
        <f>C739*B739</f>
        <v>10.5</v>
      </c>
      <c r="E740" s="435"/>
      <c r="F740" s="435"/>
      <c r="G740" s="829"/>
      <c r="H740" s="843"/>
      <c r="I740" s="847"/>
    </row>
    <row r="741" spans="2:9">
      <c r="B741" s="435"/>
      <c r="C741" s="435"/>
      <c r="D741" s="435"/>
      <c r="E741" s="435"/>
      <c r="F741" s="435"/>
      <c r="G741" s="829"/>
      <c r="H741" s="843"/>
      <c r="I741" s="847" t="s">
        <v>2396</v>
      </c>
    </row>
    <row r="742" spans="2:9">
      <c r="B742" s="435">
        <v>1</v>
      </c>
      <c r="C742" s="829">
        <v>8.1999999999999993</v>
      </c>
      <c r="D742" s="843"/>
      <c r="E742" s="435" t="s">
        <v>2376</v>
      </c>
      <c r="F742" s="435">
        <v>1</v>
      </c>
      <c r="G742" s="829">
        <v>1</v>
      </c>
      <c r="H742" s="843"/>
      <c r="I742" s="847"/>
    </row>
    <row r="743" spans="2:9">
      <c r="B743" s="435"/>
      <c r="C743" s="829"/>
      <c r="D743" s="843">
        <f>C742*B742</f>
        <v>8.1999999999999993</v>
      </c>
      <c r="E743" s="435"/>
      <c r="F743" s="839"/>
      <c r="G743" s="839"/>
      <c r="H743" s="838">
        <f>F742*G742</f>
        <v>1</v>
      </c>
      <c r="I743" s="845" t="s">
        <v>2397</v>
      </c>
    </row>
    <row r="744" spans="2:9">
      <c r="B744" s="435"/>
      <c r="C744" s="435"/>
      <c r="D744" s="435"/>
      <c r="E744" s="435"/>
      <c r="F744" s="435"/>
      <c r="G744" s="829"/>
      <c r="H744" s="843"/>
      <c r="I744" s="847"/>
    </row>
    <row r="745" spans="2:9">
      <c r="B745" s="839"/>
      <c r="C745" s="839"/>
      <c r="D745" s="838">
        <f>D743+D740</f>
        <v>18.7</v>
      </c>
      <c r="E745" s="845" t="s">
        <v>2381</v>
      </c>
      <c r="F745" s="435"/>
      <c r="G745" s="829"/>
      <c r="H745" s="843"/>
      <c r="I745" s="847" t="s">
        <v>390</v>
      </c>
    </row>
    <row r="746" spans="2:9">
      <c r="B746" s="435"/>
      <c r="C746" s="829"/>
      <c r="D746" s="843"/>
      <c r="E746" s="435"/>
      <c r="F746" s="435"/>
      <c r="G746" s="435"/>
      <c r="H746" s="435"/>
      <c r="I746" s="847" t="s">
        <v>391</v>
      </c>
    </row>
    <row r="747" spans="2:9">
      <c r="B747" s="435"/>
      <c r="C747" s="829"/>
      <c r="D747" s="843"/>
      <c r="E747" s="847" t="s">
        <v>2378</v>
      </c>
      <c r="F747" s="435">
        <v>64</v>
      </c>
      <c r="G747" s="829">
        <v>1</v>
      </c>
      <c r="H747" s="843"/>
      <c r="I747" s="847"/>
    </row>
    <row r="748" spans="2:9">
      <c r="B748" s="435">
        <v>1</v>
      </c>
      <c r="C748" s="829">
        <v>4.55</v>
      </c>
      <c r="D748" s="843"/>
      <c r="E748" s="435" t="s">
        <v>2375</v>
      </c>
      <c r="F748" s="839"/>
      <c r="G748" s="839"/>
      <c r="H748" s="838">
        <f>F747*G747</f>
        <v>64</v>
      </c>
      <c r="I748" s="845" t="s">
        <v>2398</v>
      </c>
    </row>
    <row r="749" spans="2:9">
      <c r="B749" s="839"/>
      <c r="C749" s="839"/>
      <c r="D749" s="838">
        <f>C748*B748</f>
        <v>4.55</v>
      </c>
      <c r="E749" s="845" t="s">
        <v>2382</v>
      </c>
      <c r="F749" s="435"/>
      <c r="G749" s="435"/>
      <c r="H749" s="435"/>
      <c r="I749" s="435"/>
    </row>
    <row r="750" spans="2:9">
      <c r="B750" s="435"/>
      <c r="C750" s="435"/>
      <c r="D750" s="435"/>
      <c r="E750" s="435"/>
      <c r="F750" s="435"/>
      <c r="G750" s="829"/>
      <c r="H750" s="843"/>
      <c r="I750" s="847" t="s">
        <v>734</v>
      </c>
    </row>
    <row r="751" spans="2:9">
      <c r="B751" s="435"/>
      <c r="C751" s="829"/>
      <c r="D751" s="843"/>
      <c r="E751" s="847" t="s">
        <v>2331</v>
      </c>
      <c r="F751" s="435">
        <v>11</v>
      </c>
      <c r="G751" s="829">
        <v>1</v>
      </c>
      <c r="H751" s="843"/>
      <c r="I751" s="847"/>
    </row>
    <row r="752" spans="2:9">
      <c r="B752" s="435">
        <v>1</v>
      </c>
      <c r="C752" s="829">
        <v>1.6</v>
      </c>
      <c r="D752" s="843"/>
      <c r="E752" s="435" t="s">
        <v>2375</v>
      </c>
      <c r="F752" s="839"/>
      <c r="G752" s="839"/>
      <c r="H752" s="838">
        <f>F751*G751</f>
        <v>11</v>
      </c>
      <c r="I752" s="845" t="s">
        <v>2399</v>
      </c>
    </row>
    <row r="753" spans="1:9">
      <c r="B753" s="839"/>
      <c r="C753" s="839"/>
      <c r="D753" s="838">
        <f>C752*B752</f>
        <v>1.6</v>
      </c>
      <c r="E753" s="845" t="s">
        <v>2383</v>
      </c>
      <c r="F753" s="435"/>
      <c r="G753" s="829"/>
      <c r="H753" s="843"/>
      <c r="I753" s="847"/>
    </row>
    <row r="754" spans="1:9">
      <c r="B754" s="435"/>
      <c r="C754" s="829"/>
      <c r="D754" s="843"/>
      <c r="E754" s="435"/>
      <c r="F754" s="435"/>
      <c r="G754" s="829"/>
      <c r="H754" s="843"/>
      <c r="I754" s="847" t="s">
        <v>732</v>
      </c>
    </row>
    <row r="755" spans="1:9">
      <c r="B755" s="435"/>
      <c r="C755" s="829"/>
      <c r="D755" s="843"/>
      <c r="E755" s="847" t="s">
        <v>374</v>
      </c>
      <c r="F755" s="435">
        <v>1</v>
      </c>
      <c r="G755" s="829">
        <v>1</v>
      </c>
      <c r="H755" s="843"/>
      <c r="I755" s="847"/>
    </row>
    <row r="756" spans="1:9">
      <c r="B756" s="435">
        <v>1</v>
      </c>
      <c r="C756" s="829">
        <v>5</v>
      </c>
      <c r="D756" s="843"/>
      <c r="E756" s="847" t="s">
        <v>373</v>
      </c>
      <c r="F756" s="839"/>
      <c r="G756" s="839"/>
      <c r="H756" s="838">
        <f>F755*G755</f>
        <v>1</v>
      </c>
      <c r="I756" s="845" t="s">
        <v>2401</v>
      </c>
    </row>
    <row r="757" spans="1:9">
      <c r="B757" s="839"/>
      <c r="C757" s="839"/>
      <c r="D757" s="838">
        <f>B756*C756</f>
        <v>5</v>
      </c>
      <c r="E757" s="845" t="s">
        <v>2384</v>
      </c>
      <c r="F757" s="435"/>
      <c r="G757" s="829"/>
      <c r="H757" s="843"/>
      <c r="I757" s="847"/>
    </row>
    <row r="758" spans="1:9">
      <c r="B758" s="435"/>
      <c r="C758" s="435"/>
      <c r="D758" s="435"/>
      <c r="E758" s="435"/>
      <c r="F758" s="435"/>
      <c r="G758" s="829"/>
      <c r="H758" s="843"/>
      <c r="I758" s="847" t="s">
        <v>2402</v>
      </c>
    </row>
    <row r="759" spans="1:9">
      <c r="B759" s="435"/>
      <c r="C759" s="829"/>
      <c r="D759" s="843"/>
      <c r="E759" s="847" t="s">
        <v>2379</v>
      </c>
      <c r="F759" s="435"/>
      <c r="G759" s="829"/>
      <c r="H759" s="843"/>
      <c r="I759" s="847" t="s">
        <v>2400</v>
      </c>
    </row>
    <row r="760" spans="1:9">
      <c r="B760" s="435">
        <v>1</v>
      </c>
      <c r="C760" s="829">
        <v>65.790000000000006</v>
      </c>
      <c r="D760" s="843"/>
      <c r="E760" s="847" t="s">
        <v>729</v>
      </c>
      <c r="F760" s="435">
        <v>17</v>
      </c>
      <c r="G760" s="829">
        <v>1</v>
      </c>
      <c r="H760" s="843"/>
      <c r="I760" s="847"/>
    </row>
    <row r="761" spans="1:9">
      <c r="B761" s="839"/>
      <c r="C761" s="839"/>
      <c r="D761" s="838">
        <f>B760*C760</f>
        <v>65.790000000000006</v>
      </c>
      <c r="E761" s="845" t="s">
        <v>2385</v>
      </c>
      <c r="F761" s="839"/>
      <c r="G761" s="839"/>
      <c r="H761" s="838">
        <f>F760*G760</f>
        <v>17</v>
      </c>
      <c r="I761" s="845" t="s">
        <v>2403</v>
      </c>
    </row>
    <row r="762" spans="1:9">
      <c r="B762" s="109"/>
      <c r="C762" s="860"/>
      <c r="D762" s="860"/>
      <c r="E762" s="109"/>
      <c r="F762" s="860"/>
      <c r="G762" s="927"/>
      <c r="H762" s="928"/>
      <c r="I762" s="109"/>
    </row>
    <row r="763" spans="1:9">
      <c r="A763" s="818"/>
      <c r="B763" s="853" t="s">
        <v>1884</v>
      </c>
      <c r="C763" s="854" t="s">
        <v>526</v>
      </c>
      <c r="D763" s="855" t="s">
        <v>1885</v>
      </c>
      <c r="E763" s="854" t="s">
        <v>1886</v>
      </c>
      <c r="F763" s="853" t="s">
        <v>1884</v>
      </c>
      <c r="G763" s="855" t="s">
        <v>526</v>
      </c>
      <c r="H763" s="856" t="s">
        <v>1885</v>
      </c>
      <c r="I763" s="854" t="s">
        <v>1886</v>
      </c>
    </row>
    <row r="764" spans="1:9">
      <c r="B764" s="435"/>
      <c r="C764" s="829"/>
      <c r="D764" s="843"/>
      <c r="E764" s="847" t="s">
        <v>8</v>
      </c>
      <c r="F764" s="435"/>
      <c r="G764" s="829"/>
      <c r="H764" s="843"/>
      <c r="I764" s="847"/>
    </row>
    <row r="765" spans="1:9">
      <c r="B765" s="435">
        <v>32</v>
      </c>
      <c r="C765" s="829">
        <v>1</v>
      </c>
      <c r="D765" s="843"/>
      <c r="E765" s="847" t="s">
        <v>380</v>
      </c>
      <c r="F765" s="839"/>
      <c r="G765" s="839"/>
      <c r="H765" s="838"/>
      <c r="I765" s="845"/>
    </row>
    <row r="766" spans="1:9">
      <c r="B766" s="839"/>
      <c r="C766" s="839"/>
      <c r="D766" s="838">
        <f>B765*C765</f>
        <v>32</v>
      </c>
      <c r="E766" s="845" t="s">
        <v>2409</v>
      </c>
      <c r="F766" s="435"/>
      <c r="G766" s="829"/>
      <c r="H766" s="843"/>
      <c r="I766" s="847"/>
    </row>
    <row r="767" spans="1:9">
      <c r="B767" s="435"/>
      <c r="C767" s="829"/>
      <c r="D767" s="843"/>
      <c r="E767" s="847"/>
      <c r="F767" s="435"/>
      <c r="G767" s="829"/>
      <c r="H767" s="843"/>
      <c r="I767" s="847"/>
    </row>
    <row r="768" spans="1:9">
      <c r="B768" s="435">
        <v>24</v>
      </c>
      <c r="C768" s="829">
        <v>1</v>
      </c>
      <c r="D768" s="843"/>
      <c r="E768" s="847" t="s">
        <v>378</v>
      </c>
      <c r="F768" s="839"/>
      <c r="G768" s="839"/>
      <c r="H768" s="838"/>
      <c r="I768" s="845"/>
    </row>
    <row r="769" spans="2:9">
      <c r="B769" s="839"/>
      <c r="C769" s="839"/>
      <c r="D769" s="838">
        <f>B768*C768</f>
        <v>24</v>
      </c>
      <c r="E769" s="845" t="s">
        <v>2408</v>
      </c>
      <c r="F769" s="435"/>
      <c r="G769" s="829"/>
      <c r="H769" s="843"/>
      <c r="I769" s="847"/>
    </row>
    <row r="770" spans="2:9">
      <c r="B770" s="435"/>
      <c r="C770" s="829"/>
      <c r="D770" s="843"/>
      <c r="E770" s="847"/>
      <c r="F770" s="435"/>
      <c r="G770" s="829"/>
      <c r="H770" s="843"/>
      <c r="I770" s="847"/>
    </row>
    <row r="771" spans="2:9">
      <c r="B771" s="435"/>
      <c r="C771" s="829"/>
      <c r="D771" s="843"/>
      <c r="E771" s="847" t="s">
        <v>383</v>
      </c>
      <c r="F771" s="435"/>
      <c r="G771" s="829"/>
      <c r="H771" s="843"/>
      <c r="I771" s="847"/>
    </row>
    <row r="772" spans="2:9">
      <c r="B772" s="435">
        <v>21</v>
      </c>
      <c r="C772" s="829">
        <v>1</v>
      </c>
      <c r="D772" s="843"/>
      <c r="E772" s="847"/>
      <c r="F772" s="839"/>
      <c r="G772" s="839"/>
      <c r="H772" s="838"/>
      <c r="I772" s="845"/>
    </row>
    <row r="773" spans="2:9">
      <c r="B773" s="839"/>
      <c r="C773" s="839"/>
      <c r="D773" s="838">
        <f>B772*C772</f>
        <v>21</v>
      </c>
      <c r="E773" s="845" t="s">
        <v>2407</v>
      </c>
      <c r="F773" s="435"/>
      <c r="G773" s="829"/>
      <c r="H773" s="843"/>
      <c r="I773" s="435"/>
    </row>
    <row r="774" spans="2:9">
      <c r="B774" s="435"/>
      <c r="C774" s="829"/>
      <c r="D774" s="843"/>
      <c r="E774" s="847"/>
      <c r="F774" s="435"/>
      <c r="G774" s="435"/>
      <c r="H774" s="435"/>
      <c r="I774" s="435"/>
    </row>
    <row r="775" spans="2:9">
      <c r="B775" s="435"/>
      <c r="C775" s="829"/>
      <c r="D775" s="843"/>
      <c r="E775" s="847" t="s">
        <v>385</v>
      </c>
      <c r="F775" s="435"/>
      <c r="G775" s="435"/>
      <c r="H775" s="435"/>
      <c r="I775" s="435"/>
    </row>
    <row r="776" spans="2:9">
      <c r="B776" s="435">
        <v>13</v>
      </c>
      <c r="C776" s="829">
        <v>1</v>
      </c>
      <c r="D776" s="843"/>
      <c r="E776" s="847"/>
      <c r="F776" s="435"/>
      <c r="G776" s="435"/>
      <c r="H776" s="435"/>
      <c r="I776" s="435"/>
    </row>
    <row r="777" spans="2:9">
      <c r="B777" s="839"/>
      <c r="C777" s="839"/>
      <c r="D777" s="838">
        <f>B776*C776</f>
        <v>13</v>
      </c>
      <c r="E777" s="845" t="s">
        <v>2406</v>
      </c>
      <c r="F777" s="435"/>
      <c r="G777" s="435"/>
      <c r="H777" s="435"/>
      <c r="I777" s="435"/>
    </row>
    <row r="778" spans="2:9">
      <c r="B778" s="435"/>
      <c r="C778" s="829"/>
      <c r="D778" s="843"/>
      <c r="E778" s="847"/>
      <c r="F778" s="435"/>
      <c r="G778" s="435"/>
      <c r="H778" s="435"/>
      <c r="I778" s="435"/>
    </row>
    <row r="779" spans="2:9">
      <c r="B779" s="435"/>
      <c r="C779" s="829"/>
      <c r="D779" s="843"/>
      <c r="E779" s="847" t="s">
        <v>733</v>
      </c>
      <c r="F779" s="435"/>
      <c r="G779" s="435"/>
      <c r="H779" s="435"/>
      <c r="I779" s="435"/>
    </row>
    <row r="780" spans="2:9">
      <c r="B780" s="435">
        <v>14</v>
      </c>
      <c r="C780" s="829">
        <v>1</v>
      </c>
      <c r="D780" s="843"/>
      <c r="E780" s="847"/>
      <c r="F780" s="435"/>
      <c r="G780" s="435"/>
      <c r="H780" s="435"/>
      <c r="I780" s="435"/>
    </row>
    <row r="781" spans="2:9">
      <c r="B781" s="839"/>
      <c r="C781" s="839"/>
      <c r="D781" s="838">
        <f>B780*C780</f>
        <v>14</v>
      </c>
      <c r="E781" s="845" t="s">
        <v>2405</v>
      </c>
      <c r="F781" s="435"/>
      <c r="G781" s="435"/>
      <c r="H781" s="435"/>
      <c r="I781" s="435"/>
    </row>
    <row r="782" spans="2:9">
      <c r="B782" s="435"/>
      <c r="C782" s="829"/>
      <c r="D782" s="843"/>
      <c r="E782" s="847"/>
      <c r="F782" s="435"/>
      <c r="G782" s="435"/>
      <c r="H782" s="435"/>
      <c r="I782" s="435"/>
    </row>
    <row r="783" spans="2:9">
      <c r="B783" s="435"/>
      <c r="C783" s="829"/>
      <c r="D783" s="843"/>
      <c r="E783" s="847" t="s">
        <v>387</v>
      </c>
      <c r="F783" s="435"/>
      <c r="G783" s="435"/>
      <c r="H783" s="435"/>
      <c r="I783" s="435"/>
    </row>
    <row r="784" spans="2:9">
      <c r="B784" s="435"/>
      <c r="C784" s="829"/>
      <c r="D784" s="843"/>
      <c r="E784" s="847" t="s">
        <v>388</v>
      </c>
      <c r="F784" s="435"/>
      <c r="G784" s="435"/>
      <c r="H784" s="435"/>
      <c r="I784" s="435"/>
    </row>
    <row r="785" spans="2:9">
      <c r="B785" s="435">
        <v>1</v>
      </c>
      <c r="C785" s="829">
        <v>1</v>
      </c>
      <c r="D785" s="843"/>
      <c r="E785" s="847" t="s">
        <v>389</v>
      </c>
      <c r="F785" s="435"/>
      <c r="G785" s="435"/>
      <c r="H785" s="435"/>
      <c r="I785" s="435"/>
    </row>
    <row r="786" spans="2:9">
      <c r="B786" s="839"/>
      <c r="C786" s="839"/>
      <c r="D786" s="838">
        <f>B785*C785</f>
        <v>1</v>
      </c>
      <c r="E786" s="845" t="s">
        <v>2404</v>
      </c>
      <c r="F786" s="435"/>
      <c r="G786" s="435"/>
      <c r="H786" s="435"/>
      <c r="I786" s="435"/>
    </row>
    <row r="787" spans="2:9">
      <c r="B787" s="435"/>
      <c r="C787" s="829"/>
      <c r="D787" s="843"/>
      <c r="E787" s="847"/>
      <c r="F787" s="435"/>
      <c r="G787" s="435"/>
      <c r="H787" s="435"/>
      <c r="I787" s="435"/>
    </row>
    <row r="788" spans="2:9">
      <c r="B788" s="435"/>
      <c r="C788" s="829"/>
      <c r="D788" s="843"/>
      <c r="E788" s="847" t="s">
        <v>1234</v>
      </c>
      <c r="F788" s="435"/>
      <c r="G788" s="435"/>
      <c r="H788" s="435"/>
      <c r="I788" s="435"/>
    </row>
    <row r="789" spans="2:9">
      <c r="B789" s="435"/>
      <c r="C789" s="829"/>
      <c r="D789" s="843"/>
      <c r="E789" s="847" t="s">
        <v>2410</v>
      </c>
      <c r="F789" s="435"/>
      <c r="G789" s="435"/>
      <c r="H789" s="435"/>
      <c r="I789" s="435"/>
    </row>
    <row r="790" spans="2:9">
      <c r="B790" s="435">
        <v>1</v>
      </c>
      <c r="C790" s="829">
        <v>35</v>
      </c>
      <c r="D790" s="843"/>
      <c r="E790" s="847"/>
      <c r="F790" s="435"/>
      <c r="G790" s="435"/>
      <c r="H790" s="435"/>
      <c r="I790" s="435"/>
    </row>
    <row r="791" spans="2:9">
      <c r="B791" s="839"/>
      <c r="C791" s="839"/>
      <c r="D791" s="838">
        <f>B790*C790</f>
        <v>35</v>
      </c>
      <c r="E791" s="845" t="s">
        <v>2411</v>
      </c>
      <c r="F791" s="435"/>
      <c r="G791" s="435"/>
      <c r="H791" s="435"/>
      <c r="I791" s="435"/>
    </row>
    <row r="792" spans="2:9">
      <c r="B792" s="435"/>
      <c r="C792" s="435"/>
      <c r="D792" s="435"/>
      <c r="E792" s="435"/>
      <c r="F792" s="435"/>
      <c r="G792" s="435"/>
      <c r="H792" s="435"/>
      <c r="I792" s="435"/>
    </row>
    <row r="793" spans="2:9">
      <c r="B793" s="435"/>
      <c r="C793" s="829"/>
      <c r="D793" s="843"/>
      <c r="E793" s="847" t="s">
        <v>1236</v>
      </c>
      <c r="F793" s="435"/>
      <c r="G793" s="435"/>
      <c r="H793" s="435"/>
      <c r="I793" s="435"/>
    </row>
    <row r="794" spans="2:9">
      <c r="B794" s="435"/>
      <c r="C794" s="829"/>
      <c r="D794" s="843"/>
      <c r="E794" s="847" t="s">
        <v>1235</v>
      </c>
      <c r="F794" s="435"/>
      <c r="G794" s="435"/>
      <c r="H794" s="435"/>
      <c r="I794" s="435"/>
    </row>
    <row r="795" spans="2:9">
      <c r="B795" s="435">
        <v>1</v>
      </c>
      <c r="C795" s="829">
        <v>13.45</v>
      </c>
      <c r="D795" s="843"/>
      <c r="E795" s="847"/>
      <c r="F795" s="435"/>
      <c r="G795" s="435"/>
      <c r="H795" s="435"/>
      <c r="I795" s="435"/>
    </row>
    <row r="796" spans="2:9">
      <c r="B796" s="839"/>
      <c r="C796" s="839"/>
      <c r="D796" s="838">
        <f>B795*C795</f>
        <v>13.45</v>
      </c>
      <c r="E796" s="845" t="s">
        <v>2412</v>
      </c>
      <c r="F796" s="435"/>
      <c r="G796" s="435"/>
      <c r="H796" s="435"/>
      <c r="I796" s="435"/>
    </row>
    <row r="797" spans="2:9">
      <c r="B797" s="435"/>
      <c r="C797" s="829"/>
      <c r="D797" s="843"/>
      <c r="E797" s="435"/>
      <c r="F797" s="435"/>
      <c r="G797" s="435"/>
      <c r="H797" s="435"/>
      <c r="I797" s="435"/>
    </row>
    <row r="798" spans="2:9">
      <c r="B798" s="435"/>
      <c r="C798" s="829"/>
      <c r="D798" s="843"/>
      <c r="E798" s="435"/>
      <c r="F798" s="435"/>
      <c r="G798" s="435"/>
      <c r="H798" s="435"/>
      <c r="I798" s="435"/>
    </row>
    <row r="799" spans="2:9">
      <c r="B799" s="435"/>
      <c r="C799" s="829"/>
      <c r="D799" s="843"/>
      <c r="E799" s="435"/>
      <c r="F799" s="435"/>
      <c r="G799" s="435"/>
      <c r="H799" s="435"/>
      <c r="I799" s="435"/>
    </row>
    <row r="800" spans="2:9">
      <c r="B800" s="435"/>
      <c r="C800" s="829"/>
      <c r="D800" s="843"/>
      <c r="E800" s="435"/>
      <c r="F800" s="435"/>
      <c r="G800" s="435"/>
      <c r="H800" s="435"/>
      <c r="I800" s="435"/>
    </row>
    <row r="801" spans="2:9">
      <c r="B801" s="435"/>
      <c r="C801" s="829"/>
      <c r="D801" s="843"/>
      <c r="E801" s="435"/>
      <c r="F801" s="435"/>
      <c r="G801" s="435"/>
      <c r="H801" s="435"/>
      <c r="I801" s="435"/>
    </row>
    <row r="802" spans="2:9">
      <c r="B802" s="435"/>
      <c r="C802" s="829"/>
      <c r="D802" s="843"/>
      <c r="E802" s="435"/>
      <c r="F802" s="435"/>
      <c r="G802" s="435"/>
      <c r="H802" s="435"/>
      <c r="I802" s="435"/>
    </row>
    <row r="803" spans="2:9">
      <c r="B803" s="435"/>
      <c r="C803" s="829"/>
      <c r="D803" s="843"/>
      <c r="E803" s="435"/>
      <c r="F803" s="435"/>
      <c r="G803" s="435"/>
      <c r="H803" s="435"/>
      <c r="I803" s="435"/>
    </row>
    <row r="804" spans="2:9">
      <c r="B804" s="435"/>
      <c r="C804" s="829"/>
      <c r="D804" s="843"/>
      <c r="E804" s="435"/>
      <c r="F804" s="435"/>
      <c r="G804" s="435"/>
      <c r="H804" s="435"/>
      <c r="I804" s="435"/>
    </row>
    <row r="805" spans="2:9">
      <c r="B805" s="435"/>
      <c r="C805" s="829"/>
      <c r="D805" s="843"/>
      <c r="E805" s="435"/>
      <c r="F805" s="435"/>
      <c r="G805" s="435"/>
      <c r="H805" s="435"/>
      <c r="I805" s="435"/>
    </row>
    <row r="806" spans="2:9">
      <c r="B806" s="435"/>
      <c r="C806" s="829"/>
      <c r="D806" s="843"/>
      <c r="E806" s="435"/>
      <c r="F806" s="435"/>
      <c r="G806" s="435"/>
      <c r="H806" s="435"/>
      <c r="I806" s="435"/>
    </row>
    <row r="807" spans="2:9">
      <c r="B807" s="435"/>
      <c r="C807" s="829"/>
      <c r="D807" s="843"/>
      <c r="E807" s="435"/>
      <c r="F807" s="435"/>
      <c r="G807" s="435"/>
      <c r="H807" s="435"/>
      <c r="I807" s="435"/>
    </row>
    <row r="808" spans="2:9">
      <c r="B808" s="435"/>
      <c r="C808" s="829"/>
      <c r="D808" s="843"/>
      <c r="E808" s="435"/>
      <c r="F808" s="435"/>
      <c r="G808" s="435"/>
      <c r="H808" s="435"/>
      <c r="I808" s="435"/>
    </row>
    <row r="809" spans="2:9">
      <c r="B809" s="435"/>
      <c r="C809" s="829"/>
      <c r="D809" s="843"/>
      <c r="E809" s="435"/>
      <c r="F809" s="435"/>
      <c r="G809" s="435"/>
      <c r="H809" s="435"/>
      <c r="I809" s="435"/>
    </row>
    <row r="810" spans="2:9">
      <c r="B810" s="435"/>
      <c r="C810" s="829"/>
      <c r="D810" s="843"/>
      <c r="E810" s="435"/>
      <c r="F810" s="435"/>
      <c r="G810" s="435"/>
      <c r="H810" s="435"/>
      <c r="I810" s="435"/>
    </row>
    <row r="811" spans="2:9">
      <c r="B811" s="435"/>
      <c r="C811" s="829"/>
      <c r="D811" s="843"/>
      <c r="E811" s="435"/>
      <c r="F811" s="435"/>
      <c r="G811" s="435"/>
      <c r="H811" s="435"/>
      <c r="I811" s="435"/>
    </row>
    <row r="812" spans="2:9">
      <c r="B812" s="435"/>
      <c r="C812" s="829"/>
      <c r="D812" s="843"/>
      <c r="E812" s="435"/>
      <c r="F812" s="435"/>
      <c r="G812" s="435"/>
      <c r="H812" s="435"/>
      <c r="I812" s="435"/>
    </row>
    <row r="813" spans="2:9">
      <c r="B813" s="435"/>
      <c r="C813" s="829"/>
      <c r="D813" s="843"/>
      <c r="E813" s="435"/>
      <c r="F813" s="435"/>
      <c r="G813" s="435"/>
      <c r="H813" s="435"/>
      <c r="I813" s="435"/>
    </row>
    <row r="814" spans="2:9">
      <c r="B814" s="435"/>
      <c r="C814" s="829"/>
      <c r="D814" s="843"/>
      <c r="E814" s="435"/>
      <c r="F814" s="435"/>
      <c r="G814" s="435"/>
      <c r="H814" s="435"/>
      <c r="I814" s="435"/>
    </row>
    <row r="815" spans="2:9">
      <c r="B815" s="435"/>
      <c r="C815" s="829"/>
      <c r="D815" s="843"/>
      <c r="E815" s="435"/>
      <c r="F815" s="435"/>
      <c r="G815" s="435"/>
      <c r="H815" s="435"/>
      <c r="I815" s="435"/>
    </row>
    <row r="816" spans="2:9">
      <c r="B816" s="435"/>
      <c r="C816" s="829"/>
      <c r="D816" s="843"/>
      <c r="E816" s="435"/>
      <c r="F816" s="435"/>
      <c r="G816" s="435"/>
      <c r="H816" s="435"/>
      <c r="I816" s="435"/>
    </row>
    <row r="817" spans="2:9">
      <c r="B817" s="435"/>
      <c r="C817" s="829"/>
      <c r="D817" s="843"/>
      <c r="E817" s="435"/>
      <c r="F817" s="435"/>
      <c r="G817" s="435"/>
      <c r="H817" s="435"/>
      <c r="I817" s="435"/>
    </row>
    <row r="818" spans="2:9">
      <c r="B818" s="435"/>
      <c r="C818" s="829"/>
      <c r="D818" s="843"/>
      <c r="E818" s="435"/>
      <c r="F818" s="435"/>
      <c r="G818" s="435"/>
      <c r="H818" s="435"/>
      <c r="I818" s="435"/>
    </row>
    <row r="819" spans="2:9">
      <c r="B819" s="109"/>
      <c r="C819" s="850"/>
      <c r="D819" s="928"/>
      <c r="E819" s="109"/>
      <c r="F819" s="109"/>
      <c r="G819" s="109"/>
      <c r="H819" s="109"/>
      <c r="I819" s="109"/>
    </row>
    <row r="820" spans="2:9" ht="16.5" thickBot="1"/>
    <row r="821" spans="2:9" ht="16.5" thickTop="1">
      <c r="B821" s="2151" t="s">
        <v>1230</v>
      </c>
      <c r="C821" s="982" t="s">
        <v>1204</v>
      </c>
      <c r="D821" s="982" t="s">
        <v>1205</v>
      </c>
      <c r="E821" s="984" t="s">
        <v>0</v>
      </c>
      <c r="F821" s="982" t="s">
        <v>1230</v>
      </c>
      <c r="G821" s="982" t="s">
        <v>1204</v>
      </c>
      <c r="H821" s="982" t="s">
        <v>1205</v>
      </c>
      <c r="I821" s="984" t="s">
        <v>0</v>
      </c>
    </row>
    <row r="822" spans="2:9" ht="16.5" thickBot="1">
      <c r="B822" s="2152"/>
      <c r="C822" s="983"/>
      <c r="D822" s="983"/>
      <c r="E822" s="985"/>
      <c r="F822" s="983"/>
      <c r="G822" s="983"/>
      <c r="H822" s="983"/>
      <c r="I822" s="985"/>
    </row>
    <row r="823" spans="2:9" ht="16.5" thickTop="1">
      <c r="B823" s="1007"/>
      <c r="C823" s="1008"/>
      <c r="D823" s="1008"/>
      <c r="E823" s="1009"/>
      <c r="F823" s="1010"/>
      <c r="G823" s="1011"/>
      <c r="H823" s="1012"/>
      <c r="I823" s="1013"/>
    </row>
    <row r="824" spans="2:9">
      <c r="B824" s="10"/>
      <c r="C824" s="3"/>
      <c r="D824" s="3"/>
      <c r="E824" s="29" t="s">
        <v>661</v>
      </c>
      <c r="F824" s="1"/>
      <c r="G824" s="3">
        <v>4.58</v>
      </c>
      <c r="H824" s="3">
        <f>C869*C868*B869</f>
        <v>0</v>
      </c>
      <c r="I824" s="35"/>
    </row>
    <row r="825" spans="2:9">
      <c r="B825" s="10"/>
      <c r="C825" s="3">
        <v>9</v>
      </c>
      <c r="D825" s="3"/>
      <c r="E825" s="20" t="s">
        <v>662</v>
      </c>
      <c r="F825" s="1">
        <v>1</v>
      </c>
      <c r="G825" s="3">
        <v>1.8</v>
      </c>
      <c r="H825" s="3">
        <f>G824*C869*F824</f>
        <v>0</v>
      </c>
      <c r="I825" s="19" t="s">
        <v>660</v>
      </c>
    </row>
    <row r="826" spans="2:9">
      <c r="B826" s="10">
        <v>1</v>
      </c>
      <c r="C826" s="3">
        <v>1.8</v>
      </c>
      <c r="D826" s="3"/>
      <c r="E826" s="20" t="s">
        <v>663</v>
      </c>
      <c r="F826" s="1"/>
      <c r="G826" s="3"/>
      <c r="H826" s="3">
        <f t="shared" ref="H826:H832" si="2">G825*G824*F825</f>
        <v>8.2439999999999998</v>
      </c>
      <c r="I826" s="19"/>
    </row>
    <row r="827" spans="2:9">
      <c r="B827" s="10"/>
      <c r="C827" s="3"/>
      <c r="D827" s="3">
        <f t="shared" ref="D827:D850" si="3">C826*C825*B826</f>
        <v>16.2</v>
      </c>
      <c r="E827" s="20"/>
      <c r="F827" s="1"/>
      <c r="G827" s="3">
        <v>4.62</v>
      </c>
      <c r="H827" s="3">
        <f t="shared" si="2"/>
        <v>0</v>
      </c>
      <c r="I827" s="19"/>
    </row>
    <row r="828" spans="2:9">
      <c r="B828" s="10"/>
      <c r="C828" s="3">
        <v>8.4</v>
      </c>
      <c r="D828" s="3">
        <f t="shared" si="3"/>
        <v>0</v>
      </c>
      <c r="E828" s="20"/>
      <c r="F828" s="1">
        <v>1</v>
      </c>
      <c r="G828" s="3">
        <v>1.8</v>
      </c>
      <c r="H828" s="3">
        <f t="shared" si="2"/>
        <v>0</v>
      </c>
      <c r="I828" s="19" t="s">
        <v>664</v>
      </c>
    </row>
    <row r="829" spans="2:9">
      <c r="B829" s="10">
        <v>1</v>
      </c>
      <c r="C829" s="3">
        <v>1.8</v>
      </c>
      <c r="D829" s="3">
        <f t="shared" si="3"/>
        <v>0</v>
      </c>
      <c r="E829" s="20" t="s">
        <v>665</v>
      </c>
      <c r="F829" s="1"/>
      <c r="G829" s="3"/>
      <c r="H829" s="3">
        <f t="shared" si="2"/>
        <v>8.3160000000000007</v>
      </c>
      <c r="I829" s="19"/>
    </row>
    <row r="830" spans="2:9">
      <c r="B830" s="10"/>
      <c r="C830" s="3"/>
      <c r="D830" s="3">
        <f t="shared" si="3"/>
        <v>15.120000000000001</v>
      </c>
      <c r="E830" s="29"/>
      <c r="F830" s="1"/>
      <c r="G830" s="3">
        <v>0.8</v>
      </c>
      <c r="H830" s="3">
        <f t="shared" si="2"/>
        <v>0</v>
      </c>
      <c r="I830" s="19" t="s">
        <v>666</v>
      </c>
    </row>
    <row r="831" spans="2:9">
      <c r="B831" s="10"/>
      <c r="C831" s="3">
        <v>4.58</v>
      </c>
      <c r="D831" s="3">
        <f t="shared" si="3"/>
        <v>0</v>
      </c>
      <c r="E831" s="20"/>
      <c r="F831" s="7">
        <v>8</v>
      </c>
      <c r="G831" s="16">
        <v>0.6</v>
      </c>
      <c r="H831" s="3">
        <f t="shared" si="2"/>
        <v>0</v>
      </c>
      <c r="I831" s="8"/>
    </row>
    <row r="832" spans="2:9">
      <c r="B832" s="10">
        <v>2</v>
      </c>
      <c r="C832" s="3">
        <v>1.8</v>
      </c>
      <c r="D832" s="3">
        <f t="shared" si="3"/>
        <v>0</v>
      </c>
      <c r="E832" s="4" t="s">
        <v>667</v>
      </c>
      <c r="F832" s="7"/>
      <c r="G832" s="7"/>
      <c r="H832" s="3">
        <f t="shared" si="2"/>
        <v>3.84</v>
      </c>
      <c r="I832" s="8"/>
    </row>
    <row r="833" spans="2:9">
      <c r="B833" s="10"/>
      <c r="C833" s="3"/>
      <c r="D833" s="3">
        <f t="shared" si="3"/>
        <v>16.488</v>
      </c>
      <c r="E833" s="15"/>
      <c r="F833" s="1"/>
      <c r="G833" s="3">
        <v>4.3</v>
      </c>
      <c r="H833" s="3"/>
      <c r="I833" s="19"/>
    </row>
    <row r="834" spans="2:9">
      <c r="B834" s="10"/>
      <c r="C834" s="3">
        <v>4.58</v>
      </c>
      <c r="D834" s="3">
        <f t="shared" si="3"/>
        <v>0</v>
      </c>
      <c r="E834" s="15"/>
      <c r="F834" s="1">
        <v>2</v>
      </c>
      <c r="G834" s="16">
        <v>1.8</v>
      </c>
      <c r="H834" s="3"/>
      <c r="I834" s="21" t="s">
        <v>668</v>
      </c>
    </row>
    <row r="835" spans="2:9">
      <c r="B835" s="10">
        <v>2</v>
      </c>
      <c r="C835" s="3">
        <v>1.8</v>
      </c>
      <c r="D835" s="3">
        <f t="shared" si="3"/>
        <v>0</v>
      </c>
      <c r="E835" s="27" t="s">
        <v>669</v>
      </c>
      <c r="F835" s="1"/>
      <c r="G835" s="3"/>
      <c r="H835" s="3">
        <f t="shared" ref="H835:H843" si="4">G834*G833*F834</f>
        <v>15.48</v>
      </c>
      <c r="I835" s="23"/>
    </row>
    <row r="836" spans="2:9">
      <c r="B836" s="10"/>
      <c r="C836" s="3"/>
      <c r="D836" s="3">
        <f t="shared" si="3"/>
        <v>16.488</v>
      </c>
      <c r="E836" s="28"/>
      <c r="F836" s="1"/>
      <c r="G836" s="3">
        <v>3.9</v>
      </c>
      <c r="H836" s="3">
        <f t="shared" si="4"/>
        <v>0</v>
      </c>
      <c r="I836" s="24"/>
    </row>
    <row r="837" spans="2:9">
      <c r="B837" s="10"/>
      <c r="C837" s="3">
        <v>9.8000000000000007</v>
      </c>
      <c r="D837" s="3">
        <f t="shared" si="3"/>
        <v>0</v>
      </c>
      <c r="E837" s="27"/>
      <c r="F837" s="1">
        <v>2</v>
      </c>
      <c r="G837" s="3">
        <v>1.8</v>
      </c>
      <c r="H837" s="3">
        <f t="shared" si="4"/>
        <v>0</v>
      </c>
      <c r="I837" s="19" t="s">
        <v>670</v>
      </c>
    </row>
    <row r="838" spans="2:9">
      <c r="B838" s="10">
        <v>1</v>
      </c>
      <c r="C838" s="3">
        <v>1.8</v>
      </c>
      <c r="D838" s="3">
        <f t="shared" si="3"/>
        <v>0</v>
      </c>
      <c r="E838" s="27" t="s">
        <v>671</v>
      </c>
      <c r="F838" s="1"/>
      <c r="G838" s="3"/>
      <c r="H838" s="3">
        <f t="shared" si="4"/>
        <v>14.04</v>
      </c>
      <c r="I838" s="21"/>
    </row>
    <row r="839" spans="2:9">
      <c r="B839" s="10"/>
      <c r="C839" s="3"/>
      <c r="D839" s="3">
        <f t="shared" si="3"/>
        <v>17.64</v>
      </c>
      <c r="E839" s="29"/>
      <c r="F839" s="1"/>
      <c r="G839" s="3">
        <v>5.26</v>
      </c>
      <c r="H839" s="3">
        <f t="shared" si="4"/>
        <v>0</v>
      </c>
      <c r="I839" s="23"/>
    </row>
    <row r="840" spans="2:9">
      <c r="B840" s="10"/>
      <c r="C840" s="3">
        <v>7.2</v>
      </c>
      <c r="D840" s="3">
        <f t="shared" si="3"/>
        <v>0</v>
      </c>
      <c r="E840" s="27" t="s">
        <v>672</v>
      </c>
      <c r="F840" s="1">
        <v>2</v>
      </c>
      <c r="G840" s="3">
        <v>1.8</v>
      </c>
      <c r="H840" s="3">
        <f t="shared" si="4"/>
        <v>0</v>
      </c>
      <c r="I840" s="21" t="s">
        <v>673</v>
      </c>
    </row>
    <row r="841" spans="2:9">
      <c r="B841" s="10">
        <v>1</v>
      </c>
      <c r="C841" s="3">
        <v>1.8</v>
      </c>
      <c r="D841" s="3">
        <f t="shared" si="3"/>
        <v>0</v>
      </c>
      <c r="E841" s="27" t="s">
        <v>674</v>
      </c>
      <c r="F841" s="1"/>
      <c r="G841" s="3"/>
      <c r="H841" s="3">
        <f t="shared" si="4"/>
        <v>18.936</v>
      </c>
      <c r="I841" s="39"/>
    </row>
    <row r="842" spans="2:9">
      <c r="B842" s="10"/>
      <c r="C842" s="3"/>
      <c r="D842" s="3">
        <f t="shared" si="3"/>
        <v>12.96</v>
      </c>
      <c r="E842" s="29"/>
      <c r="F842" s="1"/>
      <c r="G842" s="3">
        <v>2.1800000000000002</v>
      </c>
      <c r="H842" s="3">
        <f t="shared" si="4"/>
        <v>0</v>
      </c>
      <c r="I842" s="23"/>
    </row>
    <row r="843" spans="2:9">
      <c r="B843" s="10"/>
      <c r="C843" s="3">
        <v>4.7</v>
      </c>
      <c r="D843" s="3">
        <f t="shared" si="3"/>
        <v>0</v>
      </c>
      <c r="E843" s="29" t="s">
        <v>608</v>
      </c>
      <c r="F843" s="25">
        <v>2</v>
      </c>
      <c r="G843" s="3">
        <v>0.9</v>
      </c>
      <c r="H843" s="3">
        <f t="shared" si="4"/>
        <v>0</v>
      </c>
      <c r="I843" s="8"/>
    </row>
    <row r="844" spans="2:9">
      <c r="B844" s="10">
        <v>1</v>
      </c>
      <c r="C844" s="3">
        <v>1.8</v>
      </c>
      <c r="D844" s="3">
        <f t="shared" si="3"/>
        <v>0</v>
      </c>
      <c r="E844" s="27" t="s">
        <v>675</v>
      </c>
      <c r="F844" s="1"/>
      <c r="G844" s="1"/>
      <c r="H844" s="3">
        <f>G843*F843*G842</f>
        <v>3.9240000000000004</v>
      </c>
      <c r="I844" s="8"/>
    </row>
    <row r="845" spans="2:9">
      <c r="B845" s="10"/>
      <c r="C845" s="3"/>
      <c r="D845" s="3">
        <f t="shared" si="3"/>
        <v>8.4600000000000009</v>
      </c>
      <c r="E845" s="27"/>
      <c r="F845" s="7"/>
      <c r="G845" s="7"/>
      <c r="H845" s="7"/>
      <c r="I845" s="18"/>
    </row>
    <row r="846" spans="2:9">
      <c r="B846" s="10"/>
      <c r="C846" s="3">
        <v>19.2</v>
      </c>
      <c r="D846" s="3">
        <f t="shared" si="3"/>
        <v>0</v>
      </c>
      <c r="E846" s="27" t="s">
        <v>676</v>
      </c>
      <c r="F846" s="1"/>
      <c r="G846" s="3"/>
      <c r="H846" s="3">
        <f>SUM(D827:D869,H824:H844)</f>
        <v>346.39750000000004</v>
      </c>
      <c r="I846" s="38"/>
    </row>
    <row r="847" spans="2:9">
      <c r="B847" s="10">
        <v>1</v>
      </c>
      <c r="C847" s="3">
        <v>2.93</v>
      </c>
      <c r="D847" s="3">
        <f t="shared" si="3"/>
        <v>0</v>
      </c>
      <c r="E847" s="29" t="s">
        <v>677</v>
      </c>
      <c r="F847" s="1"/>
      <c r="G847" s="3"/>
      <c r="H847" s="3"/>
      <c r="I847" s="26" t="s">
        <v>1232</v>
      </c>
    </row>
    <row r="848" spans="2:9">
      <c r="B848" s="10"/>
      <c r="C848" s="3"/>
      <c r="D848" s="3">
        <f t="shared" si="3"/>
        <v>56.256</v>
      </c>
      <c r="E848" s="28"/>
      <c r="F848" s="986"/>
      <c r="G848" s="848"/>
      <c r="H848" s="843"/>
      <c r="I848" s="439"/>
    </row>
    <row r="849" spans="2:9">
      <c r="B849" s="6"/>
      <c r="C849" s="16">
        <v>1.5</v>
      </c>
      <c r="D849" s="3">
        <f t="shared" si="3"/>
        <v>0</v>
      </c>
      <c r="E849" s="7"/>
      <c r="F849" s="986"/>
      <c r="G849" s="848"/>
      <c r="H849" s="843"/>
      <c r="I849" s="439"/>
    </row>
    <row r="850" spans="2:9">
      <c r="B850" s="6">
        <v>1</v>
      </c>
      <c r="C850" s="16">
        <v>1.73</v>
      </c>
      <c r="D850" s="3">
        <f t="shared" si="3"/>
        <v>0</v>
      </c>
      <c r="E850" s="7" t="s">
        <v>464</v>
      </c>
      <c r="F850" s="986"/>
      <c r="G850" s="848"/>
      <c r="H850" s="843"/>
      <c r="I850" s="439"/>
    </row>
    <row r="851" spans="2:9">
      <c r="B851" s="6"/>
      <c r="C851" s="7"/>
      <c r="D851" s="3">
        <f>-C850*C849*B850</f>
        <v>-2.5949999999999998</v>
      </c>
      <c r="E851" s="7"/>
      <c r="F851" s="986"/>
      <c r="G851" s="848"/>
      <c r="H851" s="843"/>
      <c r="I851" s="439"/>
    </row>
    <row r="852" spans="2:9">
      <c r="B852" s="10"/>
      <c r="C852" s="3">
        <v>22.3</v>
      </c>
      <c r="D852" s="3"/>
      <c r="E852" s="27" t="s">
        <v>678</v>
      </c>
      <c r="F852" s="986"/>
      <c r="G852" s="848"/>
      <c r="H852" s="843"/>
      <c r="I852" s="439"/>
    </row>
    <row r="853" spans="2:9">
      <c r="B853" s="10">
        <v>1</v>
      </c>
      <c r="C853" s="3">
        <v>2.93</v>
      </c>
      <c r="D853" s="3"/>
      <c r="E853" s="29" t="s">
        <v>679</v>
      </c>
      <c r="F853" s="986"/>
      <c r="G853" s="848"/>
      <c r="H853" s="843"/>
      <c r="I853" s="439"/>
    </row>
    <row r="854" spans="2:9">
      <c r="B854" s="10"/>
      <c r="C854" s="3"/>
      <c r="D854" s="3">
        <f>C853*C852*B853</f>
        <v>65.338999999999999</v>
      </c>
      <c r="E854" s="22"/>
      <c r="F854" s="986"/>
      <c r="G854" s="848"/>
      <c r="H854" s="843"/>
      <c r="I854" s="439"/>
    </row>
    <row r="855" spans="2:9">
      <c r="B855" s="6"/>
      <c r="C855" s="16">
        <v>1.25</v>
      </c>
      <c r="D855" s="7"/>
      <c r="E855" s="7"/>
      <c r="F855" s="986"/>
      <c r="G855" s="848"/>
      <c r="H855" s="843"/>
      <c r="I855" s="439"/>
    </row>
    <row r="856" spans="2:9">
      <c r="B856" s="6">
        <v>1</v>
      </c>
      <c r="C856" s="16">
        <v>1.73</v>
      </c>
      <c r="D856" s="7"/>
      <c r="E856" s="7" t="s">
        <v>680</v>
      </c>
      <c r="F856" s="7"/>
      <c r="G856" s="7"/>
      <c r="H856" s="7"/>
      <c r="I856" s="8"/>
    </row>
    <row r="857" spans="2:9">
      <c r="B857" s="6"/>
      <c r="C857" s="7"/>
      <c r="D857" s="3">
        <f>-C856*C855*B856</f>
        <v>-2.1625000000000001</v>
      </c>
      <c r="E857" s="7"/>
      <c r="F857" s="7"/>
      <c r="G857" s="7"/>
      <c r="H857" s="7"/>
      <c r="I857" s="8"/>
    </row>
    <row r="858" spans="2:9">
      <c r="B858" s="10"/>
      <c r="C858" s="3">
        <v>8.98</v>
      </c>
      <c r="D858" s="3">
        <f>C854*C853*B854</f>
        <v>0</v>
      </c>
      <c r="E858" s="15"/>
      <c r="F858" s="7"/>
      <c r="G858" s="7"/>
      <c r="H858" s="7"/>
      <c r="I858" s="8"/>
    </row>
    <row r="859" spans="2:9">
      <c r="B859" s="10">
        <v>1</v>
      </c>
      <c r="C859" s="3">
        <v>1.8</v>
      </c>
      <c r="D859" s="3">
        <f>C858*C854*B858</f>
        <v>0</v>
      </c>
      <c r="E859" s="20" t="s">
        <v>681</v>
      </c>
      <c r="F859" s="7"/>
      <c r="G859" s="7"/>
      <c r="H859" s="7"/>
      <c r="I859" s="8"/>
    </row>
    <row r="860" spans="2:9">
      <c r="B860" s="10"/>
      <c r="C860" s="3"/>
      <c r="D860" s="3">
        <f t="shared" ref="D860:D869" si="5">C859*C858*B859</f>
        <v>16.164000000000001</v>
      </c>
      <c r="E860" s="20"/>
      <c r="F860" s="7"/>
      <c r="G860" s="7"/>
      <c r="H860" s="7"/>
      <c r="I860" s="8"/>
    </row>
    <row r="861" spans="2:9">
      <c r="B861" s="10"/>
      <c r="C861" s="3">
        <v>5.8</v>
      </c>
      <c r="D861" s="3">
        <f t="shared" si="5"/>
        <v>0</v>
      </c>
      <c r="E861" s="20"/>
      <c r="F861" s="7"/>
      <c r="G861" s="7"/>
      <c r="H861" s="7"/>
      <c r="I861" s="8"/>
    </row>
    <row r="862" spans="2:9">
      <c r="B862" s="10">
        <v>2</v>
      </c>
      <c r="C862" s="3">
        <v>1.8</v>
      </c>
      <c r="D862" s="3">
        <f t="shared" si="5"/>
        <v>0</v>
      </c>
      <c r="E862" s="27" t="s">
        <v>656</v>
      </c>
      <c r="F862" s="7"/>
      <c r="G862" s="7"/>
      <c r="H862" s="7"/>
      <c r="I862" s="8"/>
    </row>
    <row r="863" spans="2:9">
      <c r="B863" s="10"/>
      <c r="C863" s="3"/>
      <c r="D863" s="3">
        <f t="shared" si="5"/>
        <v>20.88</v>
      </c>
      <c r="E863" s="30"/>
      <c r="F863" s="7"/>
      <c r="G863" s="7"/>
      <c r="H863" s="7"/>
      <c r="I863" s="8"/>
    </row>
    <row r="864" spans="2:9">
      <c r="B864" s="10"/>
      <c r="C864" s="3">
        <v>4.5199999999999996</v>
      </c>
      <c r="D864" s="3">
        <f t="shared" si="5"/>
        <v>0</v>
      </c>
      <c r="E864" s="20"/>
      <c r="F864" s="7"/>
      <c r="G864" s="7"/>
      <c r="H864" s="7"/>
      <c r="I864" s="8"/>
    </row>
    <row r="865" spans="2:9">
      <c r="B865" s="10">
        <v>1</v>
      </c>
      <c r="C865" s="3">
        <v>1.8</v>
      </c>
      <c r="D865" s="3">
        <f t="shared" si="5"/>
        <v>0</v>
      </c>
      <c r="E865" s="27" t="s">
        <v>658</v>
      </c>
      <c r="F865" s="7"/>
      <c r="G865" s="7"/>
      <c r="H865" s="7"/>
      <c r="I865" s="8"/>
    </row>
    <row r="866" spans="2:9">
      <c r="B866" s="10"/>
      <c r="C866" s="3"/>
      <c r="D866" s="3">
        <f t="shared" si="5"/>
        <v>8.1359999999999992</v>
      </c>
      <c r="E866" s="30"/>
      <c r="F866" s="7"/>
      <c r="G866" s="7"/>
      <c r="H866" s="7"/>
      <c r="I866" s="8"/>
    </row>
    <row r="867" spans="2:9">
      <c r="B867" s="10"/>
      <c r="C867" s="3">
        <v>4.58</v>
      </c>
      <c r="D867" s="3">
        <f t="shared" si="5"/>
        <v>0</v>
      </c>
      <c r="E867" s="30"/>
      <c r="F867" s="7"/>
      <c r="G867" s="7"/>
      <c r="H867" s="7"/>
      <c r="I867" s="8"/>
    </row>
    <row r="868" spans="2:9">
      <c r="B868" s="10">
        <v>1</v>
      </c>
      <c r="C868" s="3">
        <v>1.8</v>
      </c>
      <c r="D868" s="3">
        <f t="shared" si="5"/>
        <v>0</v>
      </c>
      <c r="E868" s="27" t="s">
        <v>660</v>
      </c>
      <c r="F868" s="7"/>
      <c r="G868" s="7"/>
      <c r="H868" s="7"/>
      <c r="I868" s="8"/>
    </row>
    <row r="869" spans="2:9">
      <c r="B869" s="10"/>
      <c r="C869" s="3"/>
      <c r="D869" s="3">
        <f t="shared" si="5"/>
        <v>8.2439999999999998</v>
      </c>
      <c r="E869" s="20"/>
      <c r="F869" s="7"/>
      <c r="G869" s="7"/>
      <c r="H869" s="7"/>
      <c r="I869" s="8"/>
    </row>
    <row r="870" spans="2:9" ht="16.5" thickBot="1">
      <c r="B870" s="31"/>
      <c r="C870" s="5"/>
      <c r="D870" s="5"/>
      <c r="E870" s="32"/>
      <c r="F870" s="11"/>
      <c r="G870" s="11"/>
      <c r="H870" s="11"/>
      <c r="I870" s="12"/>
    </row>
    <row r="871" spans="2:9" ht="16.5" thickTop="1"/>
  </sheetData>
  <mergeCells count="8">
    <mergeCell ref="B821:B822"/>
    <mergeCell ref="E274:E27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14" manualBreakCount="14">
    <brk id="62" max="9" man="1"/>
    <brk id="121" max="16383" man="1"/>
    <brk id="180" max="16383" man="1"/>
    <brk id="238" max="16383" man="1"/>
    <brk id="297" max="16383" man="1"/>
    <brk id="355" max="16383" man="1"/>
    <brk id="413" max="16383" man="1"/>
    <brk id="473" max="16383" man="1"/>
    <brk id="530" max="16383" man="1"/>
    <brk id="589" max="16383" man="1"/>
    <brk id="649" max="9" man="1"/>
    <brk id="705" max="9" man="1"/>
    <brk id="762" max="9" man="1"/>
    <brk id="819"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O101"/>
  <sheetViews>
    <sheetView view="pageBreakPreview" zoomScaleSheetLayoutView="100" zoomScalePageLayoutView="85" workbookViewId="0">
      <selection sqref="A1:XFD1048576"/>
    </sheetView>
  </sheetViews>
  <sheetFormatPr defaultRowHeight="15"/>
  <cols>
    <col min="1" max="1" width="4.85546875" style="164" customWidth="1"/>
    <col min="2" max="2" width="5.7109375" style="164" customWidth="1"/>
    <col min="3" max="3" width="26.7109375" style="164" customWidth="1"/>
    <col min="4" max="4" width="11.5703125" style="164" customWidth="1"/>
    <col min="5" max="5" width="6.85546875" style="164" customWidth="1"/>
    <col min="6" max="6" width="10.140625" style="164" customWidth="1"/>
    <col min="7" max="7" width="11.42578125" style="164" customWidth="1"/>
    <col min="8" max="8" width="8" style="164" customWidth="1"/>
    <col min="9" max="9" width="9.85546875" style="164" customWidth="1"/>
    <col min="10" max="10" width="7.42578125" style="164" customWidth="1"/>
    <col min="11" max="11" width="11.7109375" style="164" customWidth="1"/>
    <col min="12" max="12" width="10.140625" style="164" customWidth="1"/>
    <col min="13" max="14" width="11.140625" style="164" customWidth="1"/>
    <col min="15" max="15" width="4.140625" style="164" customWidth="1"/>
    <col min="16" max="18" width="9.140625" style="164"/>
    <col min="19" max="19" width="9.5703125" style="164" bestFit="1" customWidth="1"/>
    <col min="20" max="16384" width="9.140625" style="164"/>
  </cols>
  <sheetData>
    <row r="1" spans="1:15" s="160" customFormat="1">
      <c r="A1" s="162"/>
      <c r="B1" s="2160" t="s">
        <v>1257</v>
      </c>
      <c r="C1" s="2160"/>
      <c r="D1" s="2160"/>
      <c r="E1" s="2160"/>
      <c r="F1" s="2160"/>
      <c r="G1" s="2160"/>
      <c r="H1" s="162"/>
      <c r="I1" s="162"/>
      <c r="J1" s="162"/>
      <c r="K1" s="163"/>
      <c r="L1" s="2160"/>
      <c r="M1" s="2160"/>
      <c r="N1" s="2160"/>
      <c r="O1" s="162"/>
    </row>
    <row r="2" spans="1:15" s="160" customFormat="1">
      <c r="A2" s="162"/>
      <c r="B2" s="2160" t="s">
        <v>1208</v>
      </c>
      <c r="C2" s="2160"/>
      <c r="D2" s="2160"/>
      <c r="E2" s="2160"/>
      <c r="F2" s="2160"/>
      <c r="G2" s="2160"/>
      <c r="H2" s="162"/>
      <c r="I2" s="162"/>
      <c r="J2" s="162"/>
      <c r="K2" s="163"/>
      <c r="L2" s="2160"/>
      <c r="M2" s="2160"/>
      <c r="N2" s="2160"/>
      <c r="O2" s="162"/>
    </row>
    <row r="3" spans="1:15" s="160" customFormat="1">
      <c r="A3" s="162"/>
      <c r="B3" s="2160" t="s">
        <v>1258</v>
      </c>
      <c r="C3" s="2160"/>
      <c r="D3" s="2160"/>
      <c r="E3" s="2160"/>
      <c r="F3" s="2160"/>
      <c r="G3" s="2160"/>
      <c r="H3" s="162"/>
      <c r="I3" s="162"/>
      <c r="J3" s="162"/>
      <c r="K3" s="163"/>
      <c r="L3" s="2160" t="s">
        <v>1241</v>
      </c>
      <c r="M3" s="2160"/>
      <c r="N3" s="2160"/>
      <c r="O3" s="162"/>
    </row>
    <row r="4" spans="1:15" s="160" customFormat="1">
      <c r="B4" s="2160" t="s">
        <v>1209</v>
      </c>
      <c r="C4" s="2160"/>
      <c r="D4" s="2160"/>
      <c r="E4" s="2160"/>
      <c r="F4" s="2160"/>
      <c r="G4" s="2160"/>
      <c r="J4" s="163"/>
      <c r="K4" s="162"/>
      <c r="L4" s="2160"/>
      <c r="M4" s="2160"/>
      <c r="N4" s="2160"/>
    </row>
    <row r="5" spans="1:15" s="160" customFormat="1" ht="15.75" thickBot="1">
      <c r="B5" s="1840"/>
      <c r="C5" s="1840"/>
      <c r="D5" s="1840"/>
      <c r="E5" s="1840"/>
      <c r="F5" s="1840"/>
      <c r="G5" s="1840"/>
      <c r="J5" s="163"/>
      <c r="K5" s="163"/>
      <c r="L5" s="1840"/>
      <c r="M5" s="1840"/>
      <c r="N5" s="1840"/>
    </row>
    <row r="6" spans="1:15" ht="15.75" thickTop="1">
      <c r="B6" s="2161" t="s">
        <v>4</v>
      </c>
      <c r="C6" s="2163" t="s">
        <v>293</v>
      </c>
      <c r="D6" s="2163" t="s">
        <v>309</v>
      </c>
      <c r="E6" s="2163" t="s">
        <v>310</v>
      </c>
      <c r="F6" s="1660" t="s">
        <v>295</v>
      </c>
      <c r="G6" s="2165" t="s">
        <v>311</v>
      </c>
      <c r="H6" s="2165"/>
      <c r="I6" s="2165"/>
      <c r="J6" s="1662"/>
      <c r="K6" s="1662" t="s">
        <v>312</v>
      </c>
      <c r="L6" s="1662"/>
      <c r="M6" s="1662"/>
      <c r="N6" s="165"/>
    </row>
    <row r="7" spans="1:15" ht="15.75" thickBot="1">
      <c r="B7" s="2162"/>
      <c r="C7" s="2164"/>
      <c r="D7" s="2164"/>
      <c r="E7" s="2164"/>
      <c r="F7" s="1661" t="s">
        <v>313</v>
      </c>
      <c r="G7" s="1661" t="s">
        <v>314</v>
      </c>
      <c r="H7" s="1661" t="s">
        <v>315</v>
      </c>
      <c r="I7" s="166" t="s">
        <v>316</v>
      </c>
      <c r="J7" s="166" t="s">
        <v>317</v>
      </c>
      <c r="K7" s="1661" t="s">
        <v>318</v>
      </c>
      <c r="L7" s="166" t="s">
        <v>319</v>
      </c>
      <c r="M7" s="166" t="s">
        <v>320</v>
      </c>
      <c r="N7" s="167" t="s">
        <v>321</v>
      </c>
    </row>
    <row r="8" spans="1:15" ht="15.75" thickTop="1">
      <c r="B8" s="168"/>
      <c r="C8" s="169"/>
      <c r="D8" s="170"/>
      <c r="E8" s="170"/>
      <c r="F8" s="171"/>
      <c r="G8" s="170"/>
      <c r="H8" s="172"/>
      <c r="I8" s="173"/>
      <c r="J8" s="173"/>
      <c r="K8" s="173"/>
      <c r="L8" s="173"/>
      <c r="M8" s="173"/>
      <c r="N8" s="174"/>
    </row>
    <row r="9" spans="1:15">
      <c r="B9" s="168"/>
      <c r="C9" s="169" t="s">
        <v>1</v>
      </c>
      <c r="D9" s="170" t="s">
        <v>299</v>
      </c>
      <c r="E9" s="170">
        <v>14</v>
      </c>
      <c r="F9" s="171">
        <v>11.9</v>
      </c>
      <c r="G9" s="170">
        <v>3</v>
      </c>
      <c r="H9" s="172">
        <v>4</v>
      </c>
      <c r="I9" s="173">
        <f t="shared" ref="I9:I22" si="0">H9*G9</f>
        <v>12</v>
      </c>
      <c r="J9" s="173" t="str">
        <f t="shared" ref="J9:J20" si="1">IF(E9=6,I9*F9,"-")</f>
        <v>-</v>
      </c>
      <c r="K9" s="173" t="str">
        <f t="shared" ref="K9:K22" si="2">IF(E9=8,I9*F9,"-")</f>
        <v>-</v>
      </c>
      <c r="L9" s="173" t="str">
        <f t="shared" ref="L9:L22" si="3">IF(E9=10,I9*F9,"-")</f>
        <v>-</v>
      </c>
      <c r="M9" s="173" t="str">
        <f t="shared" ref="M9:M22" si="4">IF(E9=12,I9*F9,"-")</f>
        <v>-</v>
      </c>
      <c r="N9" s="174">
        <f t="shared" ref="N9:N22" si="5">IF(E9=14,I9*F9,"-")</f>
        <v>142.80000000000001</v>
      </c>
    </row>
    <row r="10" spans="1:15">
      <c r="B10" s="168"/>
      <c r="C10" s="169"/>
      <c r="D10" s="170"/>
      <c r="E10" s="170">
        <v>14</v>
      </c>
      <c r="F10" s="171">
        <v>11.75</v>
      </c>
      <c r="G10" s="170">
        <v>3</v>
      </c>
      <c r="H10" s="172">
        <v>4</v>
      </c>
      <c r="I10" s="173">
        <f t="shared" si="0"/>
        <v>12</v>
      </c>
      <c r="J10" s="173" t="str">
        <f t="shared" si="1"/>
        <v>-</v>
      </c>
      <c r="K10" s="173" t="str">
        <f t="shared" si="2"/>
        <v>-</v>
      </c>
      <c r="L10" s="173" t="str">
        <f t="shared" si="3"/>
        <v>-</v>
      </c>
      <c r="M10" s="173" t="str">
        <f t="shared" si="4"/>
        <v>-</v>
      </c>
      <c r="N10" s="174">
        <f t="shared" si="5"/>
        <v>141</v>
      </c>
    </row>
    <row r="11" spans="1:15">
      <c r="B11" s="168"/>
      <c r="C11" s="169"/>
      <c r="D11" s="170"/>
      <c r="E11" s="170">
        <v>14</v>
      </c>
      <c r="F11" s="171">
        <v>11.65</v>
      </c>
      <c r="G11" s="170">
        <v>3</v>
      </c>
      <c r="H11" s="172">
        <v>4</v>
      </c>
      <c r="I11" s="173">
        <f t="shared" si="0"/>
        <v>12</v>
      </c>
      <c r="J11" s="173" t="str">
        <f t="shared" si="1"/>
        <v>-</v>
      </c>
      <c r="K11" s="173" t="str">
        <f t="shared" si="2"/>
        <v>-</v>
      </c>
      <c r="L11" s="173" t="str">
        <f t="shared" si="3"/>
        <v>-</v>
      </c>
      <c r="M11" s="173" t="str">
        <f t="shared" si="4"/>
        <v>-</v>
      </c>
      <c r="N11" s="174">
        <f t="shared" si="5"/>
        <v>139.80000000000001</v>
      </c>
    </row>
    <row r="12" spans="1:15">
      <c r="B12" s="168"/>
      <c r="C12" s="169"/>
      <c r="D12" s="170"/>
      <c r="E12" s="170">
        <v>14</v>
      </c>
      <c r="F12" s="171">
        <v>10.45</v>
      </c>
      <c r="G12" s="170">
        <v>3</v>
      </c>
      <c r="H12" s="172">
        <v>4</v>
      </c>
      <c r="I12" s="173">
        <f>H12*G12</f>
        <v>12</v>
      </c>
      <c r="J12" s="173" t="str">
        <f t="shared" si="1"/>
        <v>-</v>
      </c>
      <c r="K12" s="173" t="str">
        <f t="shared" si="2"/>
        <v>-</v>
      </c>
      <c r="L12" s="173" t="str">
        <f t="shared" si="3"/>
        <v>-</v>
      </c>
      <c r="M12" s="173" t="str">
        <f t="shared" si="4"/>
        <v>-</v>
      </c>
      <c r="N12" s="174">
        <f t="shared" si="5"/>
        <v>125.39999999999999</v>
      </c>
    </row>
    <row r="13" spans="1:15">
      <c r="B13" s="168"/>
      <c r="C13" s="169"/>
      <c r="D13" s="170"/>
      <c r="E13" s="170">
        <v>14</v>
      </c>
      <c r="F13" s="171">
        <v>11.6</v>
      </c>
      <c r="G13" s="170">
        <v>3</v>
      </c>
      <c r="H13" s="172">
        <v>4</v>
      </c>
      <c r="I13" s="173">
        <f t="shared" si="0"/>
        <v>12</v>
      </c>
      <c r="J13" s="173" t="str">
        <f t="shared" si="1"/>
        <v>-</v>
      </c>
      <c r="K13" s="173" t="str">
        <f t="shared" si="2"/>
        <v>-</v>
      </c>
      <c r="L13" s="173" t="str">
        <f t="shared" si="3"/>
        <v>-</v>
      </c>
      <c r="M13" s="173" t="str">
        <f t="shared" si="4"/>
        <v>-</v>
      </c>
      <c r="N13" s="174">
        <f t="shared" si="5"/>
        <v>139.19999999999999</v>
      </c>
    </row>
    <row r="14" spans="1:15">
      <c r="B14" s="168"/>
      <c r="C14" s="169"/>
      <c r="D14" s="170"/>
      <c r="E14" s="170">
        <v>14</v>
      </c>
      <c r="F14" s="171">
        <v>11.55</v>
      </c>
      <c r="G14" s="170">
        <v>3</v>
      </c>
      <c r="H14" s="172">
        <v>4</v>
      </c>
      <c r="I14" s="173">
        <f t="shared" si="0"/>
        <v>12</v>
      </c>
      <c r="J14" s="173" t="str">
        <f t="shared" si="1"/>
        <v>-</v>
      </c>
      <c r="K14" s="173" t="str">
        <f t="shared" si="2"/>
        <v>-</v>
      </c>
      <c r="L14" s="173" t="str">
        <f t="shared" si="3"/>
        <v>-</v>
      </c>
      <c r="M14" s="173" t="str">
        <f t="shared" si="4"/>
        <v>-</v>
      </c>
      <c r="N14" s="174">
        <f t="shared" si="5"/>
        <v>138.60000000000002</v>
      </c>
    </row>
    <row r="15" spans="1:15">
      <c r="B15" s="168"/>
      <c r="C15" s="169"/>
      <c r="D15" s="170"/>
      <c r="E15" s="170">
        <v>14</v>
      </c>
      <c r="F15" s="171">
        <v>11.85</v>
      </c>
      <c r="G15" s="170">
        <v>3</v>
      </c>
      <c r="H15" s="172">
        <v>4</v>
      </c>
      <c r="I15" s="173">
        <f t="shared" si="0"/>
        <v>12</v>
      </c>
      <c r="J15" s="173" t="str">
        <f t="shared" si="1"/>
        <v>-</v>
      </c>
      <c r="K15" s="173" t="str">
        <f t="shared" si="2"/>
        <v>-</v>
      </c>
      <c r="L15" s="173" t="str">
        <f t="shared" si="3"/>
        <v>-</v>
      </c>
      <c r="M15" s="173" t="str">
        <f t="shared" si="4"/>
        <v>-</v>
      </c>
      <c r="N15" s="174">
        <f t="shared" si="5"/>
        <v>142.19999999999999</v>
      </c>
    </row>
    <row r="16" spans="1:15">
      <c r="B16" s="168"/>
      <c r="C16" s="169"/>
      <c r="D16" s="170"/>
      <c r="E16" s="170">
        <v>14</v>
      </c>
      <c r="F16" s="171">
        <v>10.7</v>
      </c>
      <c r="G16" s="170">
        <v>3</v>
      </c>
      <c r="H16" s="172">
        <v>4</v>
      </c>
      <c r="I16" s="173">
        <f t="shared" si="0"/>
        <v>12</v>
      </c>
      <c r="J16" s="173" t="str">
        <f t="shared" si="1"/>
        <v>-</v>
      </c>
      <c r="K16" s="173" t="str">
        <f t="shared" si="2"/>
        <v>-</v>
      </c>
      <c r="L16" s="173" t="str">
        <f t="shared" si="3"/>
        <v>-</v>
      </c>
      <c r="M16" s="173" t="str">
        <f t="shared" si="4"/>
        <v>-</v>
      </c>
      <c r="N16" s="174">
        <f t="shared" si="5"/>
        <v>128.39999999999998</v>
      </c>
    </row>
    <row r="17" spans="2:14">
      <c r="B17" s="168"/>
      <c r="C17" s="169"/>
      <c r="D17" s="170"/>
      <c r="E17" s="170">
        <v>14</v>
      </c>
      <c r="F17" s="171">
        <v>8.18</v>
      </c>
      <c r="G17" s="170">
        <v>3</v>
      </c>
      <c r="H17" s="172">
        <v>9</v>
      </c>
      <c r="I17" s="173">
        <f t="shared" si="0"/>
        <v>27</v>
      </c>
      <c r="J17" s="173" t="str">
        <f t="shared" si="1"/>
        <v>-</v>
      </c>
      <c r="K17" s="173" t="str">
        <f t="shared" si="2"/>
        <v>-</v>
      </c>
      <c r="L17" s="173" t="str">
        <f t="shared" si="3"/>
        <v>-</v>
      </c>
      <c r="M17" s="173" t="str">
        <f t="shared" si="4"/>
        <v>-</v>
      </c>
      <c r="N17" s="174">
        <f t="shared" si="5"/>
        <v>220.85999999999999</v>
      </c>
    </row>
    <row r="18" spans="2:14">
      <c r="B18" s="168"/>
      <c r="C18" s="169"/>
      <c r="D18" s="170" t="s">
        <v>300</v>
      </c>
      <c r="E18" s="170">
        <v>14</v>
      </c>
      <c r="F18" s="171">
        <v>9.5299999999999994</v>
      </c>
      <c r="G18" s="170">
        <v>3</v>
      </c>
      <c r="H18" s="172">
        <v>9</v>
      </c>
      <c r="I18" s="173">
        <f t="shared" si="0"/>
        <v>27</v>
      </c>
      <c r="J18" s="173" t="str">
        <f t="shared" si="1"/>
        <v>-</v>
      </c>
      <c r="K18" s="173" t="str">
        <f t="shared" si="2"/>
        <v>-</v>
      </c>
      <c r="L18" s="173" t="str">
        <f t="shared" si="3"/>
        <v>-</v>
      </c>
      <c r="M18" s="173" t="str">
        <f t="shared" si="4"/>
        <v>-</v>
      </c>
      <c r="N18" s="174">
        <f t="shared" si="5"/>
        <v>257.31</v>
      </c>
    </row>
    <row r="19" spans="2:14">
      <c r="B19" s="168"/>
      <c r="C19" s="169"/>
      <c r="D19" s="170"/>
      <c r="E19" s="170">
        <v>14</v>
      </c>
      <c r="F19" s="171">
        <v>9.3800000000000008</v>
      </c>
      <c r="G19" s="170">
        <v>3</v>
      </c>
      <c r="H19" s="172">
        <v>9</v>
      </c>
      <c r="I19" s="173">
        <f t="shared" si="0"/>
        <v>27</v>
      </c>
      <c r="J19" s="173" t="str">
        <f t="shared" si="1"/>
        <v>-</v>
      </c>
      <c r="K19" s="173" t="str">
        <f t="shared" si="2"/>
        <v>-</v>
      </c>
      <c r="L19" s="173" t="str">
        <f t="shared" si="3"/>
        <v>-</v>
      </c>
      <c r="M19" s="173" t="str">
        <f t="shared" si="4"/>
        <v>-</v>
      </c>
      <c r="N19" s="174">
        <f t="shared" si="5"/>
        <v>253.26000000000002</v>
      </c>
    </row>
    <row r="20" spans="2:14">
      <c r="B20" s="168"/>
      <c r="C20" s="169"/>
      <c r="D20" s="170"/>
      <c r="E20" s="170">
        <v>14</v>
      </c>
      <c r="F20" s="171">
        <v>8.6300000000000008</v>
      </c>
      <c r="G20" s="170">
        <v>3</v>
      </c>
      <c r="H20" s="172">
        <v>9</v>
      </c>
      <c r="I20" s="173">
        <f t="shared" si="0"/>
        <v>27</v>
      </c>
      <c r="J20" s="173" t="str">
        <f t="shared" si="1"/>
        <v>-</v>
      </c>
      <c r="K20" s="173" t="str">
        <f t="shared" si="2"/>
        <v>-</v>
      </c>
      <c r="L20" s="173" t="str">
        <f t="shared" si="3"/>
        <v>-</v>
      </c>
      <c r="M20" s="173" t="str">
        <f t="shared" si="4"/>
        <v>-</v>
      </c>
      <c r="N20" s="174">
        <f t="shared" si="5"/>
        <v>233.01000000000002</v>
      </c>
    </row>
    <row r="21" spans="2:14" ht="18.75">
      <c r="B21" s="168"/>
      <c r="C21" s="169" t="s">
        <v>2792</v>
      </c>
      <c r="D21" s="1174" t="s">
        <v>2932</v>
      </c>
      <c r="E21" s="1175">
        <v>8</v>
      </c>
      <c r="F21" s="1175">
        <v>1.2</v>
      </c>
      <c r="G21" s="1175">
        <v>215</v>
      </c>
      <c r="H21" s="1175">
        <v>4</v>
      </c>
      <c r="I21" s="173">
        <f t="shared" si="0"/>
        <v>860</v>
      </c>
      <c r="J21" s="173" t="str">
        <f>IF(D21=8,H21*E21,"-")</f>
        <v>-</v>
      </c>
      <c r="K21" s="173">
        <f t="shared" si="2"/>
        <v>1032</v>
      </c>
      <c r="L21" s="173" t="str">
        <f t="shared" si="3"/>
        <v>-</v>
      </c>
      <c r="M21" s="173" t="str">
        <f t="shared" si="4"/>
        <v>-</v>
      </c>
      <c r="N21" s="174" t="str">
        <f t="shared" si="5"/>
        <v>-</v>
      </c>
    </row>
    <row r="22" spans="2:14" ht="19.5" thickBot="1">
      <c r="B22" s="168"/>
      <c r="C22" s="169"/>
      <c r="D22" s="1174" t="s">
        <v>2933</v>
      </c>
      <c r="E22" s="1175">
        <v>8</v>
      </c>
      <c r="F22" s="1175">
        <v>1.2</v>
      </c>
      <c r="G22" s="1175">
        <v>82</v>
      </c>
      <c r="H22" s="1175">
        <v>9</v>
      </c>
      <c r="I22" s="173">
        <f t="shared" si="0"/>
        <v>738</v>
      </c>
      <c r="J22" s="173" t="str">
        <f>IF(D22=8,H22*E22,"-")</f>
        <v>-</v>
      </c>
      <c r="K22" s="173">
        <f t="shared" si="2"/>
        <v>885.6</v>
      </c>
      <c r="L22" s="173" t="str">
        <f t="shared" si="3"/>
        <v>-</v>
      </c>
      <c r="M22" s="173" t="str">
        <f t="shared" si="4"/>
        <v>-</v>
      </c>
      <c r="N22" s="174" t="str">
        <f t="shared" si="5"/>
        <v>-</v>
      </c>
    </row>
    <row r="23" spans="2:14" ht="19.5" thickTop="1">
      <c r="B23" s="1658">
        <v>1</v>
      </c>
      <c r="C23" s="1168" t="s">
        <v>2928</v>
      </c>
      <c r="D23" s="1662"/>
      <c r="E23" s="1175">
        <v>8</v>
      </c>
      <c r="F23" s="1176">
        <v>7.05</v>
      </c>
      <c r="G23" s="1177">
        <f>3*(5.7/0.2+1)+(4.7/0.2+1)+(4.85/0.2+1)+(4.8/0.2+1)+(4.4/0.2+1)*2</f>
        <v>209.25</v>
      </c>
      <c r="H23" s="1175">
        <v>1</v>
      </c>
      <c r="I23" s="173">
        <f t="shared" ref="I23:I31" si="6">H23*G23</f>
        <v>209.25</v>
      </c>
      <c r="J23" s="173" t="str">
        <f t="shared" ref="J23:J31" si="7">IF(D23=8,H23*E23,"-")</f>
        <v>-</v>
      </c>
      <c r="K23" s="173">
        <f t="shared" ref="K23:K31" si="8">IF(E23=8,I23*F23,"-")</f>
        <v>1475.2124999999999</v>
      </c>
      <c r="L23" s="173" t="str">
        <f t="shared" ref="L23:L31" si="9">IF(E23=10,I23*F23,"-")</f>
        <v>-</v>
      </c>
      <c r="M23" s="173" t="str">
        <f t="shared" ref="M23:M31" si="10">IF(E23=12,I23*F23,"-")</f>
        <v>-</v>
      </c>
      <c r="N23" s="174" t="str">
        <f t="shared" ref="N23:N31" si="11">IF(E23=14,I23*F23,"-")</f>
        <v>-</v>
      </c>
    </row>
    <row r="24" spans="2:14" ht="18.75">
      <c r="B24" s="168"/>
      <c r="C24" s="207"/>
      <c r="D24" s="208"/>
      <c r="E24" s="1175">
        <v>8</v>
      </c>
      <c r="F24" s="1176">
        <v>2.35</v>
      </c>
      <c r="G24" s="1177">
        <f>3*(5.7/0.2+1)+(4.7/0.2+1)+(4.85/0.2+1)+(4.8/0.2+1)+(4.4/0.2+1)*2</f>
        <v>209.25</v>
      </c>
      <c r="H24" s="1175">
        <v>1</v>
      </c>
      <c r="I24" s="173">
        <f t="shared" si="6"/>
        <v>209.25</v>
      </c>
      <c r="J24" s="173" t="str">
        <f t="shared" si="7"/>
        <v>-</v>
      </c>
      <c r="K24" s="173">
        <f t="shared" si="8"/>
        <v>491.73750000000001</v>
      </c>
      <c r="L24" s="173" t="str">
        <f t="shared" si="9"/>
        <v>-</v>
      </c>
      <c r="M24" s="173" t="str">
        <f t="shared" si="10"/>
        <v>-</v>
      </c>
      <c r="N24" s="174" t="str">
        <f t="shared" si="11"/>
        <v>-</v>
      </c>
    </row>
    <row r="25" spans="2:14" ht="18.75">
      <c r="B25" s="168"/>
      <c r="C25" s="207"/>
      <c r="D25" s="208"/>
      <c r="E25" s="1175">
        <v>8</v>
      </c>
      <c r="F25" s="1178">
        <v>5.7</v>
      </c>
      <c r="G25" s="1177">
        <f>3*(5.7/0.2+1)+(4.7/0.2+1)+(4.85/0.2+1)+(4.8/0.2+1)+(4.4/0.2+1)*2</f>
        <v>209.25</v>
      </c>
      <c r="H25" s="1175">
        <v>1</v>
      </c>
      <c r="I25" s="173">
        <f t="shared" si="6"/>
        <v>209.25</v>
      </c>
      <c r="J25" s="173" t="str">
        <f t="shared" si="7"/>
        <v>-</v>
      </c>
      <c r="K25" s="173">
        <f t="shared" si="8"/>
        <v>1192.7250000000001</v>
      </c>
      <c r="L25" s="173" t="str">
        <f t="shared" si="9"/>
        <v>-</v>
      </c>
      <c r="M25" s="173" t="str">
        <f t="shared" si="10"/>
        <v>-</v>
      </c>
      <c r="N25" s="174" t="str">
        <f t="shared" si="11"/>
        <v>-</v>
      </c>
    </row>
    <row r="26" spans="2:14" ht="18.75">
      <c r="B26" s="168"/>
      <c r="C26" s="207"/>
      <c r="D26" s="208"/>
      <c r="E26" s="1175">
        <v>8</v>
      </c>
      <c r="F26" s="1176">
        <v>5.65</v>
      </c>
      <c r="G26" s="1177">
        <f>3*((7.1/0.2+1)+(2.4/0.2+1)+(5.75/0.2+1))</f>
        <v>237.75</v>
      </c>
      <c r="H26" s="1175">
        <v>1</v>
      </c>
      <c r="I26" s="173">
        <f t="shared" si="6"/>
        <v>237.75</v>
      </c>
      <c r="J26" s="173" t="str">
        <f t="shared" si="7"/>
        <v>-</v>
      </c>
      <c r="K26" s="173">
        <f t="shared" si="8"/>
        <v>1343.2875000000001</v>
      </c>
      <c r="L26" s="173" t="str">
        <f t="shared" si="9"/>
        <v>-</v>
      </c>
      <c r="M26" s="173" t="str">
        <f t="shared" si="10"/>
        <v>-</v>
      </c>
      <c r="N26" s="174" t="str">
        <f t="shared" si="11"/>
        <v>-</v>
      </c>
    </row>
    <row r="27" spans="2:14" ht="18.75">
      <c r="B27" s="168"/>
      <c r="C27" s="207"/>
      <c r="D27" s="208"/>
      <c r="E27" s="1175">
        <v>8</v>
      </c>
      <c r="F27" s="1176">
        <v>4.6500000000000004</v>
      </c>
      <c r="G27" s="1177">
        <f>((7.1/0.2+1)+(2.4/0.2+1)+(5.75/0.2+1))</f>
        <v>79.25</v>
      </c>
      <c r="H27" s="1175">
        <v>1</v>
      </c>
      <c r="I27" s="173">
        <f t="shared" si="6"/>
        <v>79.25</v>
      </c>
      <c r="J27" s="173" t="str">
        <f t="shared" si="7"/>
        <v>-</v>
      </c>
      <c r="K27" s="173">
        <f t="shared" si="8"/>
        <v>368.51250000000005</v>
      </c>
      <c r="L27" s="173" t="str">
        <f t="shared" si="9"/>
        <v>-</v>
      </c>
      <c r="M27" s="173" t="str">
        <f t="shared" si="10"/>
        <v>-</v>
      </c>
      <c r="N27" s="174" t="str">
        <f t="shared" si="11"/>
        <v>-</v>
      </c>
    </row>
    <row r="28" spans="2:14" ht="18.75">
      <c r="B28" s="168"/>
      <c r="C28" s="207"/>
      <c r="D28" s="208"/>
      <c r="E28" s="1175">
        <v>8</v>
      </c>
      <c r="F28" s="1176">
        <v>4.8</v>
      </c>
      <c r="G28" s="1177">
        <f>((7.1/0.2+1)+(2.4/0.2+1)+(5.75/0.2+1))</f>
        <v>79.25</v>
      </c>
      <c r="H28" s="1175">
        <v>1</v>
      </c>
      <c r="I28" s="173">
        <f t="shared" si="6"/>
        <v>79.25</v>
      </c>
      <c r="J28" s="173" t="str">
        <f t="shared" si="7"/>
        <v>-</v>
      </c>
      <c r="K28" s="173">
        <f t="shared" si="8"/>
        <v>380.4</v>
      </c>
      <c r="L28" s="173" t="str">
        <f t="shared" si="9"/>
        <v>-</v>
      </c>
      <c r="M28" s="173" t="str">
        <f t="shared" si="10"/>
        <v>-</v>
      </c>
      <c r="N28" s="174" t="str">
        <f t="shared" si="11"/>
        <v>-</v>
      </c>
    </row>
    <row r="29" spans="2:14" ht="18.75">
      <c r="B29" s="168"/>
      <c r="C29" s="207"/>
      <c r="D29" s="208"/>
      <c r="E29" s="1175">
        <v>8</v>
      </c>
      <c r="F29" s="1176">
        <v>4.75</v>
      </c>
      <c r="G29" s="1177">
        <f>((7.1/0.2+1)+(2.4/0.2+1)+(5.75/0.2+1))</f>
        <v>79.25</v>
      </c>
      <c r="H29" s="1175">
        <v>1</v>
      </c>
      <c r="I29" s="173">
        <f t="shared" si="6"/>
        <v>79.25</v>
      </c>
      <c r="J29" s="173" t="str">
        <f t="shared" si="7"/>
        <v>-</v>
      </c>
      <c r="K29" s="173">
        <f t="shared" si="8"/>
        <v>376.4375</v>
      </c>
      <c r="L29" s="173" t="str">
        <f t="shared" si="9"/>
        <v>-</v>
      </c>
      <c r="M29" s="173" t="str">
        <f t="shared" si="10"/>
        <v>-</v>
      </c>
      <c r="N29" s="174" t="str">
        <f t="shared" si="11"/>
        <v>-</v>
      </c>
    </row>
    <row r="30" spans="2:14" ht="18.75">
      <c r="B30" s="168"/>
      <c r="C30" s="207"/>
      <c r="D30" s="161"/>
      <c r="E30" s="1175">
        <v>8</v>
      </c>
      <c r="F30" s="1176">
        <v>4.3499999999999996</v>
      </c>
      <c r="G30" s="1177">
        <f>((7.1/0.2+1)+(2.4/0.2+1)+(5.75/0.2+1))*2</f>
        <v>158.5</v>
      </c>
      <c r="H30" s="1175">
        <v>1</v>
      </c>
      <c r="I30" s="173">
        <f t="shared" si="6"/>
        <v>158.5</v>
      </c>
      <c r="J30" s="173" t="str">
        <f t="shared" si="7"/>
        <v>-</v>
      </c>
      <c r="K30" s="173">
        <f t="shared" si="8"/>
        <v>689.47499999999991</v>
      </c>
      <c r="L30" s="173" t="str">
        <f t="shared" si="9"/>
        <v>-</v>
      </c>
      <c r="M30" s="173" t="str">
        <f t="shared" si="10"/>
        <v>-</v>
      </c>
      <c r="N30" s="174" t="str">
        <f t="shared" si="11"/>
        <v>-</v>
      </c>
    </row>
    <row r="31" spans="2:14">
      <c r="B31" s="211"/>
      <c r="C31" s="207"/>
      <c r="D31" s="161"/>
      <c r="E31" s="161"/>
      <c r="F31" s="209"/>
      <c r="G31" s="161"/>
      <c r="H31" s="161"/>
      <c r="I31" s="173">
        <f t="shared" si="6"/>
        <v>0</v>
      </c>
      <c r="J31" s="173" t="str">
        <f t="shared" si="7"/>
        <v>-</v>
      </c>
      <c r="K31" s="173" t="str">
        <f t="shared" si="8"/>
        <v>-</v>
      </c>
      <c r="L31" s="173" t="str">
        <f t="shared" si="9"/>
        <v>-</v>
      </c>
      <c r="M31" s="173" t="str">
        <f t="shared" si="10"/>
        <v>-</v>
      </c>
      <c r="N31" s="174" t="str">
        <f t="shared" si="11"/>
        <v>-</v>
      </c>
    </row>
    <row r="32" spans="2:14">
      <c r="B32" s="168"/>
      <c r="C32" s="175"/>
      <c r="D32" s="170"/>
      <c r="E32" s="176"/>
      <c r="F32" s="177"/>
      <c r="G32" s="176"/>
      <c r="H32" s="176"/>
      <c r="I32" s="178"/>
      <c r="J32" s="178"/>
      <c r="K32" s="178"/>
      <c r="L32" s="178"/>
      <c r="M32" s="178"/>
      <c r="N32" s="180"/>
    </row>
    <row r="33" spans="2:14" ht="15.75" thickBot="1">
      <c r="B33" s="1659"/>
      <c r="C33" s="181"/>
      <c r="D33" s="182"/>
      <c r="E33" s="183"/>
      <c r="F33" s="184"/>
      <c r="G33" s="183"/>
      <c r="H33" s="183"/>
      <c r="I33" s="185"/>
      <c r="J33" s="185"/>
      <c r="K33" s="185"/>
      <c r="L33" s="185"/>
      <c r="M33" s="185"/>
      <c r="N33" s="186"/>
    </row>
    <row r="34" spans="2:14" ht="15.75" thickTop="1">
      <c r="B34" s="187"/>
      <c r="C34" s="188"/>
      <c r="D34" s="189"/>
      <c r="E34" s="190"/>
      <c r="F34" s="2158" t="s">
        <v>301</v>
      </c>
      <c r="G34" s="2158"/>
      <c r="H34" s="2158"/>
      <c r="I34" s="2159"/>
      <c r="J34" s="191"/>
      <c r="K34" s="192">
        <f>SUM(K8:K33)</f>
        <v>8235.3875000000007</v>
      </c>
      <c r="L34" s="192">
        <f>SUM(L8:L33)</f>
        <v>0</v>
      </c>
      <c r="M34" s="192">
        <f>SUM(M8:M33)</f>
        <v>0</v>
      </c>
      <c r="N34" s="193">
        <f>SUM(N8:N33)</f>
        <v>2061.84</v>
      </c>
    </row>
    <row r="35" spans="2:14">
      <c r="B35" s="194"/>
      <c r="C35" s="195"/>
      <c r="D35" s="196"/>
      <c r="E35" s="196"/>
      <c r="F35" s="2154" t="s">
        <v>302</v>
      </c>
      <c r="G35" s="2154"/>
      <c r="H35" s="2154"/>
      <c r="I35" s="2155"/>
      <c r="J35" s="198"/>
      <c r="K35" s="199" t="s">
        <v>303</v>
      </c>
      <c r="L35" s="200" t="s">
        <v>304</v>
      </c>
      <c r="M35" s="199" t="s">
        <v>305</v>
      </c>
      <c r="N35" s="180" t="s">
        <v>306</v>
      </c>
    </row>
    <row r="36" spans="2:14" ht="15.75" thickBot="1">
      <c r="B36" s="201"/>
      <c r="C36" s="202"/>
      <c r="D36" s="202"/>
      <c r="E36" s="202"/>
      <c r="F36" s="2156" t="s">
        <v>307</v>
      </c>
      <c r="G36" s="2156"/>
      <c r="H36" s="2156"/>
      <c r="I36" s="2157"/>
      <c r="J36" s="204"/>
      <c r="K36" s="205">
        <f>K34*K35</f>
        <v>3252.9780625000003</v>
      </c>
      <c r="L36" s="205">
        <f>L34*L35</f>
        <v>0</v>
      </c>
      <c r="M36" s="205">
        <f>M34*M35</f>
        <v>0</v>
      </c>
      <c r="N36" s="186">
        <f>N34*N35</f>
        <v>2494.8263999999999</v>
      </c>
    </row>
    <row r="37" spans="2:14" ht="15.75" thickTop="1">
      <c r="B37" s="1658">
        <v>1</v>
      </c>
      <c r="C37" s="1662" t="s">
        <v>337</v>
      </c>
      <c r="D37" s="1662"/>
      <c r="E37" s="578">
        <v>12</v>
      </c>
      <c r="F37" s="578">
        <v>3.68</v>
      </c>
      <c r="G37" s="578">
        <v>4</v>
      </c>
      <c r="H37" s="578">
        <v>18</v>
      </c>
      <c r="I37" s="192">
        <f>G37*H37</f>
        <v>72</v>
      </c>
      <c r="J37" s="192"/>
      <c r="K37" s="192"/>
      <c r="L37" s="192"/>
      <c r="M37" s="192">
        <f>F37*I37</f>
        <v>264.96000000000004</v>
      </c>
      <c r="N37" s="193"/>
    </row>
    <row r="38" spans="2:14">
      <c r="B38" s="168"/>
      <c r="C38" s="208"/>
      <c r="D38" s="208"/>
      <c r="E38" s="208"/>
      <c r="F38" s="210">
        <v>0.7</v>
      </c>
      <c r="G38" s="208">
        <v>18</v>
      </c>
      <c r="H38" s="208">
        <v>15</v>
      </c>
      <c r="I38" s="210">
        <f>G38*H38</f>
        <v>270</v>
      </c>
      <c r="J38" s="210"/>
      <c r="K38" s="210">
        <f>F38*I38</f>
        <v>189</v>
      </c>
      <c r="L38" s="210"/>
      <c r="M38" s="210"/>
      <c r="N38" s="179"/>
    </row>
    <row r="39" spans="2:14">
      <c r="B39" s="168"/>
      <c r="C39" s="208" t="s">
        <v>735</v>
      </c>
      <c r="D39" s="208"/>
      <c r="E39" s="578">
        <v>14</v>
      </c>
      <c r="F39" s="578">
        <v>3.68</v>
      </c>
      <c r="G39" s="578">
        <v>4</v>
      </c>
      <c r="H39" s="578">
        <v>18</v>
      </c>
      <c r="I39" s="210">
        <f>G39*H39</f>
        <v>72</v>
      </c>
      <c r="J39" s="210"/>
      <c r="K39" s="210"/>
      <c r="L39" s="210"/>
      <c r="M39" s="210"/>
      <c r="N39" s="179">
        <f>F39*I39</f>
        <v>264.96000000000004</v>
      </c>
    </row>
    <row r="40" spans="2:14">
      <c r="B40" s="168"/>
      <c r="C40" s="208"/>
      <c r="D40" s="208"/>
      <c r="E40" s="208">
        <v>8</v>
      </c>
      <c r="F40" s="210">
        <v>0.7</v>
      </c>
      <c r="G40" s="208">
        <v>18</v>
      </c>
      <c r="H40" s="208">
        <v>15</v>
      </c>
      <c r="I40" s="210">
        <f>G40*H40</f>
        <v>270</v>
      </c>
      <c r="J40" s="210"/>
      <c r="K40" s="210">
        <f>F40*I40</f>
        <v>189</v>
      </c>
      <c r="L40" s="210"/>
      <c r="M40" s="210"/>
      <c r="N40" s="179"/>
    </row>
    <row r="41" spans="2:14">
      <c r="B41" s="168"/>
      <c r="C41" s="208"/>
      <c r="D41" s="208"/>
      <c r="E41" s="208"/>
      <c r="F41" s="210"/>
      <c r="G41" s="208"/>
      <c r="H41" s="208"/>
      <c r="I41" s="210"/>
      <c r="J41" s="210"/>
      <c r="K41" s="210"/>
      <c r="L41" s="210"/>
      <c r="M41" s="210"/>
      <c r="N41" s="179"/>
    </row>
    <row r="42" spans="2:14">
      <c r="B42" s="168"/>
      <c r="C42" s="208" t="s">
        <v>338</v>
      </c>
      <c r="D42" s="208"/>
      <c r="E42" s="208"/>
      <c r="F42" s="210"/>
      <c r="G42" s="208"/>
      <c r="H42" s="208"/>
      <c r="I42" s="210"/>
      <c r="J42" s="210"/>
      <c r="K42" s="210"/>
      <c r="L42" s="210"/>
      <c r="M42" s="210"/>
      <c r="N42" s="179"/>
    </row>
    <row r="43" spans="2:14">
      <c r="B43" s="168">
        <v>2</v>
      </c>
      <c r="C43" s="208" t="s">
        <v>339</v>
      </c>
      <c r="D43" s="208"/>
      <c r="E43" s="208">
        <v>12</v>
      </c>
      <c r="F43" s="210">
        <v>11.8</v>
      </c>
      <c r="G43" s="208">
        <v>2</v>
      </c>
      <c r="H43" s="208">
        <v>3</v>
      </c>
      <c r="I43" s="210">
        <f t="shared" ref="I43:I64" si="12">G43*H43</f>
        <v>6</v>
      </c>
      <c r="J43" s="210"/>
      <c r="K43" s="210"/>
      <c r="L43" s="210"/>
      <c r="M43" s="210">
        <f>F43*I43</f>
        <v>70.800000000000011</v>
      </c>
      <c r="N43" s="179"/>
    </row>
    <row r="44" spans="2:14">
      <c r="B44" s="168"/>
      <c r="C44" s="208"/>
      <c r="D44" s="208"/>
      <c r="E44" s="208">
        <v>12</v>
      </c>
      <c r="F44" s="210">
        <v>11.75</v>
      </c>
      <c r="G44" s="208">
        <v>2</v>
      </c>
      <c r="H44" s="208">
        <v>3</v>
      </c>
      <c r="I44" s="210">
        <f t="shared" si="12"/>
        <v>6</v>
      </c>
      <c r="J44" s="210"/>
      <c r="K44" s="210"/>
      <c r="L44" s="210"/>
      <c r="M44" s="210">
        <f t="shared" ref="M44:M50" si="13">F44*I44</f>
        <v>70.5</v>
      </c>
      <c r="N44" s="179"/>
    </row>
    <row r="45" spans="2:14">
      <c r="B45" s="168"/>
      <c r="C45" s="221"/>
      <c r="D45" s="208"/>
      <c r="E45" s="208">
        <v>12</v>
      </c>
      <c r="F45" s="210">
        <v>11.65</v>
      </c>
      <c r="G45" s="208">
        <v>2</v>
      </c>
      <c r="H45" s="208">
        <v>3</v>
      </c>
      <c r="I45" s="210">
        <f t="shared" si="12"/>
        <v>6</v>
      </c>
      <c r="J45" s="210"/>
      <c r="K45" s="210"/>
      <c r="L45" s="210"/>
      <c r="M45" s="210">
        <f t="shared" si="13"/>
        <v>69.900000000000006</v>
      </c>
      <c r="N45" s="179"/>
    </row>
    <row r="46" spans="2:14">
      <c r="B46" s="168"/>
      <c r="C46" s="208"/>
      <c r="D46" s="208"/>
      <c r="E46" s="208">
        <v>12</v>
      </c>
      <c r="F46" s="210">
        <v>10.35</v>
      </c>
      <c r="G46" s="208">
        <v>2</v>
      </c>
      <c r="H46" s="208">
        <v>3</v>
      </c>
      <c r="I46" s="210">
        <f t="shared" si="12"/>
        <v>6</v>
      </c>
      <c r="J46" s="210"/>
      <c r="K46" s="210"/>
      <c r="L46" s="210"/>
      <c r="M46" s="210">
        <f t="shared" si="13"/>
        <v>62.099999999999994</v>
      </c>
      <c r="N46" s="179"/>
    </row>
    <row r="47" spans="2:14">
      <c r="B47" s="168"/>
      <c r="C47" s="208"/>
      <c r="D47" s="208"/>
      <c r="E47" s="208">
        <v>12</v>
      </c>
      <c r="F47" s="210">
        <v>10.7</v>
      </c>
      <c r="G47" s="208">
        <v>2</v>
      </c>
      <c r="H47" s="208">
        <v>3</v>
      </c>
      <c r="I47" s="210">
        <f t="shared" si="12"/>
        <v>6</v>
      </c>
      <c r="J47" s="210"/>
      <c r="K47" s="210"/>
      <c r="L47" s="210"/>
      <c r="M47" s="210">
        <f t="shared" si="13"/>
        <v>64.199999999999989</v>
      </c>
      <c r="N47" s="179"/>
    </row>
    <row r="48" spans="2:14">
      <c r="B48" s="168"/>
      <c r="C48" s="208"/>
      <c r="D48" s="208"/>
      <c r="E48" s="208">
        <v>12</v>
      </c>
      <c r="F48" s="210">
        <v>11.85</v>
      </c>
      <c r="G48" s="208">
        <v>2</v>
      </c>
      <c r="H48" s="208">
        <v>3</v>
      </c>
      <c r="I48" s="210">
        <f t="shared" si="12"/>
        <v>6</v>
      </c>
      <c r="J48" s="210"/>
      <c r="K48" s="210"/>
      <c r="L48" s="210"/>
      <c r="M48" s="210">
        <f t="shared" si="13"/>
        <v>71.099999999999994</v>
      </c>
      <c r="N48" s="179"/>
    </row>
    <row r="49" spans="2:14">
      <c r="B49" s="168"/>
      <c r="C49" s="208"/>
      <c r="D49" s="208"/>
      <c r="E49" s="208">
        <v>12</v>
      </c>
      <c r="F49" s="210">
        <v>11.55</v>
      </c>
      <c r="G49" s="208">
        <v>2</v>
      </c>
      <c r="H49" s="208">
        <v>3</v>
      </c>
      <c r="I49" s="210">
        <f t="shared" si="12"/>
        <v>6</v>
      </c>
      <c r="J49" s="210"/>
      <c r="K49" s="210"/>
      <c r="L49" s="210"/>
      <c r="M49" s="210">
        <f t="shared" si="13"/>
        <v>69.300000000000011</v>
      </c>
      <c r="N49" s="179"/>
    </row>
    <row r="50" spans="2:14">
      <c r="B50" s="168"/>
      <c r="C50" s="208"/>
      <c r="D50" s="208"/>
      <c r="E50" s="208">
        <v>12</v>
      </c>
      <c r="F50" s="210">
        <v>10.65</v>
      </c>
      <c r="G50" s="208">
        <v>2</v>
      </c>
      <c r="H50" s="208">
        <v>3</v>
      </c>
      <c r="I50" s="210">
        <f t="shared" si="12"/>
        <v>6</v>
      </c>
      <c r="J50" s="210"/>
      <c r="K50" s="210"/>
      <c r="L50" s="210"/>
      <c r="M50" s="210">
        <f t="shared" si="13"/>
        <v>63.900000000000006</v>
      </c>
      <c r="N50" s="179"/>
    </row>
    <row r="51" spans="2:14">
      <c r="B51" s="168"/>
      <c r="C51" s="208"/>
      <c r="D51" s="208"/>
      <c r="E51" s="208">
        <v>8</v>
      </c>
      <c r="F51" s="210">
        <v>0.9</v>
      </c>
      <c r="G51" s="208">
        <v>2</v>
      </c>
      <c r="H51" s="208">
        <v>215</v>
      </c>
      <c r="I51" s="210">
        <f t="shared" si="12"/>
        <v>430</v>
      </c>
      <c r="J51" s="210"/>
      <c r="K51" s="210">
        <f>I51*F51</f>
        <v>387</v>
      </c>
      <c r="L51" s="210"/>
      <c r="M51" s="210"/>
      <c r="N51" s="179"/>
    </row>
    <row r="52" spans="2:14">
      <c r="B52" s="168">
        <v>4</v>
      </c>
      <c r="C52" s="208" t="s">
        <v>340</v>
      </c>
      <c r="D52" s="208"/>
      <c r="E52" s="208">
        <v>12</v>
      </c>
      <c r="F52" s="210">
        <v>11.8</v>
      </c>
      <c r="G52" s="208">
        <v>2</v>
      </c>
      <c r="H52" s="208">
        <v>3</v>
      </c>
      <c r="I52" s="210">
        <f t="shared" si="12"/>
        <v>6</v>
      </c>
      <c r="J52" s="210"/>
      <c r="K52" s="210"/>
      <c r="L52" s="210"/>
      <c r="M52" s="210">
        <f>F52*I52</f>
        <v>70.800000000000011</v>
      </c>
      <c r="N52" s="179"/>
    </row>
    <row r="53" spans="2:14">
      <c r="B53" s="168"/>
      <c r="C53" s="208"/>
      <c r="D53" s="208"/>
      <c r="E53" s="208">
        <v>12</v>
      </c>
      <c r="F53" s="210">
        <v>11.75</v>
      </c>
      <c r="G53" s="208">
        <v>2</v>
      </c>
      <c r="H53" s="208">
        <v>3</v>
      </c>
      <c r="I53" s="210">
        <f t="shared" si="12"/>
        <v>6</v>
      </c>
      <c r="J53" s="210"/>
      <c r="K53" s="210"/>
      <c r="L53" s="210"/>
      <c r="M53" s="210">
        <f t="shared" ref="M53:M64" si="14">F53*I53</f>
        <v>70.5</v>
      </c>
      <c r="N53" s="179"/>
    </row>
    <row r="54" spans="2:14">
      <c r="B54" s="168"/>
      <c r="C54" s="208"/>
      <c r="D54" s="208"/>
      <c r="E54" s="208">
        <v>12</v>
      </c>
      <c r="F54" s="210">
        <v>11.65</v>
      </c>
      <c r="G54" s="208">
        <v>2</v>
      </c>
      <c r="H54" s="208">
        <v>3</v>
      </c>
      <c r="I54" s="210">
        <f t="shared" si="12"/>
        <v>6</v>
      </c>
      <c r="J54" s="210"/>
      <c r="K54" s="210"/>
      <c r="L54" s="210"/>
      <c r="M54" s="210">
        <f t="shared" si="14"/>
        <v>69.900000000000006</v>
      </c>
      <c r="N54" s="179"/>
    </row>
    <row r="55" spans="2:14">
      <c r="B55" s="168"/>
      <c r="C55" s="208"/>
      <c r="D55" s="208"/>
      <c r="E55" s="208">
        <v>12</v>
      </c>
      <c r="F55" s="210">
        <v>10.35</v>
      </c>
      <c r="G55" s="208">
        <v>2</v>
      </c>
      <c r="H55" s="208">
        <v>3</v>
      </c>
      <c r="I55" s="210">
        <f t="shared" si="12"/>
        <v>6</v>
      </c>
      <c r="J55" s="210"/>
      <c r="K55" s="210"/>
      <c r="L55" s="210"/>
      <c r="M55" s="210">
        <f t="shared" si="14"/>
        <v>62.099999999999994</v>
      </c>
      <c r="N55" s="179"/>
    </row>
    <row r="56" spans="2:14">
      <c r="B56" s="168"/>
      <c r="C56" s="208"/>
      <c r="D56" s="208"/>
      <c r="E56" s="208">
        <v>12</v>
      </c>
      <c r="F56" s="210">
        <v>10.7</v>
      </c>
      <c r="G56" s="208">
        <v>2</v>
      </c>
      <c r="H56" s="208">
        <v>3</v>
      </c>
      <c r="I56" s="210">
        <f t="shared" si="12"/>
        <v>6</v>
      </c>
      <c r="J56" s="210"/>
      <c r="K56" s="210"/>
      <c r="L56" s="210"/>
      <c r="M56" s="210">
        <f t="shared" si="14"/>
        <v>64.199999999999989</v>
      </c>
      <c r="N56" s="179"/>
    </row>
    <row r="57" spans="2:14">
      <c r="B57" s="168"/>
      <c r="C57" s="208"/>
      <c r="D57" s="208"/>
      <c r="E57" s="208">
        <v>12</v>
      </c>
      <c r="F57" s="210">
        <v>11.85</v>
      </c>
      <c r="G57" s="208">
        <v>2</v>
      </c>
      <c r="H57" s="208">
        <v>3</v>
      </c>
      <c r="I57" s="210">
        <f t="shared" si="12"/>
        <v>6</v>
      </c>
      <c r="J57" s="210"/>
      <c r="K57" s="210"/>
      <c r="L57" s="210"/>
      <c r="M57" s="210">
        <f t="shared" si="14"/>
        <v>71.099999999999994</v>
      </c>
      <c r="N57" s="179"/>
    </row>
    <row r="58" spans="2:14">
      <c r="B58" s="168"/>
      <c r="C58" s="208"/>
      <c r="D58" s="208"/>
      <c r="E58" s="208">
        <v>12</v>
      </c>
      <c r="F58" s="210">
        <v>11.55</v>
      </c>
      <c r="G58" s="208">
        <v>2</v>
      </c>
      <c r="H58" s="208">
        <v>3</v>
      </c>
      <c r="I58" s="210">
        <f t="shared" si="12"/>
        <v>6</v>
      </c>
      <c r="J58" s="210"/>
      <c r="K58" s="210"/>
      <c r="L58" s="210"/>
      <c r="M58" s="210">
        <f t="shared" si="14"/>
        <v>69.300000000000011</v>
      </c>
      <c r="N58" s="179"/>
    </row>
    <row r="59" spans="2:14">
      <c r="B59" s="168"/>
      <c r="C59" s="208"/>
      <c r="D59" s="208"/>
      <c r="E59" s="208">
        <v>12</v>
      </c>
      <c r="F59" s="210">
        <v>10.65</v>
      </c>
      <c r="G59" s="208">
        <v>2</v>
      </c>
      <c r="H59" s="208">
        <v>3</v>
      </c>
      <c r="I59" s="210">
        <f t="shared" si="12"/>
        <v>6</v>
      </c>
      <c r="J59" s="210"/>
      <c r="K59" s="210"/>
      <c r="L59" s="210"/>
      <c r="M59" s="210">
        <f t="shared" si="14"/>
        <v>63.900000000000006</v>
      </c>
      <c r="N59" s="179"/>
    </row>
    <row r="60" spans="2:14">
      <c r="B60" s="168"/>
      <c r="C60" s="208"/>
      <c r="D60" s="208"/>
      <c r="E60" s="208">
        <v>8</v>
      </c>
      <c r="F60" s="210">
        <v>0.9</v>
      </c>
      <c r="G60" s="208">
        <v>2</v>
      </c>
      <c r="H60" s="208">
        <v>215</v>
      </c>
      <c r="I60" s="210">
        <f t="shared" si="12"/>
        <v>430</v>
      </c>
      <c r="J60" s="210"/>
      <c r="K60" s="210">
        <f>I60*F60</f>
        <v>387</v>
      </c>
      <c r="L60" s="210"/>
      <c r="M60" s="210"/>
      <c r="N60" s="179"/>
    </row>
    <row r="61" spans="2:14">
      <c r="B61" s="168">
        <v>4</v>
      </c>
      <c r="C61" s="208" t="s">
        <v>341</v>
      </c>
      <c r="D61" s="208"/>
      <c r="E61" s="208">
        <v>12</v>
      </c>
      <c r="F61" s="210">
        <v>8.08</v>
      </c>
      <c r="G61" s="208">
        <v>2</v>
      </c>
      <c r="H61" s="208">
        <v>4</v>
      </c>
      <c r="I61" s="210">
        <f t="shared" si="12"/>
        <v>8</v>
      </c>
      <c r="J61" s="210"/>
      <c r="K61" s="210"/>
      <c r="L61" s="210"/>
      <c r="M61" s="210">
        <f t="shared" si="14"/>
        <v>64.64</v>
      </c>
      <c r="N61" s="179"/>
    </row>
    <row r="62" spans="2:14">
      <c r="B62" s="168"/>
      <c r="C62" s="208"/>
      <c r="D62" s="208"/>
      <c r="E62" s="208">
        <v>12</v>
      </c>
      <c r="F62" s="210">
        <v>9.43</v>
      </c>
      <c r="G62" s="208">
        <v>2</v>
      </c>
      <c r="H62" s="208">
        <v>4</v>
      </c>
      <c r="I62" s="210">
        <f t="shared" si="12"/>
        <v>8</v>
      </c>
      <c r="J62" s="210"/>
      <c r="K62" s="210"/>
      <c r="L62" s="210"/>
      <c r="M62" s="210">
        <f t="shared" si="14"/>
        <v>75.44</v>
      </c>
      <c r="N62" s="179"/>
    </row>
    <row r="63" spans="2:14">
      <c r="B63" s="168"/>
      <c r="C63" s="208"/>
      <c r="D63" s="208"/>
      <c r="E63" s="208">
        <v>12</v>
      </c>
      <c r="F63" s="210">
        <v>9.3800000000000008</v>
      </c>
      <c r="G63" s="208">
        <v>2</v>
      </c>
      <c r="H63" s="208">
        <v>3</v>
      </c>
      <c r="I63" s="210">
        <f t="shared" si="12"/>
        <v>6</v>
      </c>
      <c r="J63" s="210"/>
      <c r="K63" s="210"/>
      <c r="L63" s="210"/>
      <c r="M63" s="210">
        <f t="shared" si="14"/>
        <v>56.28</v>
      </c>
      <c r="N63" s="179"/>
    </row>
    <row r="64" spans="2:14">
      <c r="B64" s="168"/>
      <c r="C64" s="208"/>
      <c r="D64" s="208"/>
      <c r="E64" s="208">
        <v>12</v>
      </c>
      <c r="F64" s="210">
        <v>8.6300000000000008</v>
      </c>
      <c r="G64" s="208">
        <v>2</v>
      </c>
      <c r="H64" s="208">
        <v>3</v>
      </c>
      <c r="I64" s="210">
        <f t="shared" si="12"/>
        <v>6</v>
      </c>
      <c r="J64" s="210"/>
      <c r="K64" s="210"/>
      <c r="L64" s="210"/>
      <c r="M64" s="210">
        <f t="shared" si="14"/>
        <v>51.78</v>
      </c>
      <c r="N64" s="179"/>
    </row>
    <row r="65" spans="2:14" ht="15.75" thickBot="1">
      <c r="B65" s="1659"/>
      <c r="C65" s="166"/>
      <c r="D65" s="166"/>
      <c r="E65" s="166">
        <v>8</v>
      </c>
      <c r="F65" s="212">
        <v>0.9</v>
      </c>
      <c r="G65" s="166">
        <v>2</v>
      </c>
      <c r="H65" s="166">
        <v>81</v>
      </c>
      <c r="I65" s="212">
        <f>G65*H65</f>
        <v>162</v>
      </c>
      <c r="J65" s="212"/>
      <c r="K65" s="212">
        <f>I65*F65</f>
        <v>145.80000000000001</v>
      </c>
      <c r="L65" s="212"/>
      <c r="M65" s="212"/>
      <c r="N65" s="213"/>
    </row>
    <row r="66" spans="2:14" ht="15.75" thickTop="1">
      <c r="B66" s="187"/>
      <c r="C66" s="1663"/>
      <c r="D66" s="1663"/>
      <c r="E66" s="1663"/>
      <c r="F66" s="2158" t="s">
        <v>301</v>
      </c>
      <c r="G66" s="2158"/>
      <c r="H66" s="2158"/>
      <c r="I66" s="2159"/>
      <c r="J66" s="191"/>
      <c r="K66" s="192">
        <f>SUM(K37:K65)</f>
        <v>1297.8</v>
      </c>
      <c r="L66" s="192">
        <f>SUM(L37:L65)</f>
        <v>0</v>
      </c>
      <c r="M66" s="192">
        <f>SUM(M37:M65)</f>
        <v>1596.7000000000003</v>
      </c>
      <c r="N66" s="193">
        <f>SUM(N37:N65)</f>
        <v>264.96000000000004</v>
      </c>
    </row>
    <row r="67" spans="2:14">
      <c r="B67" s="194"/>
      <c r="C67" s="197"/>
      <c r="D67" s="197"/>
      <c r="E67" s="197"/>
      <c r="F67" s="2154" t="s">
        <v>302</v>
      </c>
      <c r="G67" s="2154"/>
      <c r="H67" s="2154"/>
      <c r="I67" s="2155"/>
      <c r="J67" s="198"/>
      <c r="K67" s="199" t="s">
        <v>303</v>
      </c>
      <c r="L67" s="200"/>
      <c r="M67" s="199" t="s">
        <v>305</v>
      </c>
      <c r="N67" s="180" t="s">
        <v>306</v>
      </c>
    </row>
    <row r="68" spans="2:14" ht="15.75" thickBot="1">
      <c r="B68" s="214"/>
      <c r="C68" s="203"/>
      <c r="D68" s="203"/>
      <c r="E68" s="203"/>
      <c r="F68" s="2156" t="s">
        <v>307</v>
      </c>
      <c r="G68" s="2156"/>
      <c r="H68" s="2156"/>
      <c r="I68" s="2157"/>
      <c r="J68" s="204"/>
      <c r="K68" s="205">
        <f>K66*K67</f>
        <v>512.63099999999997</v>
      </c>
      <c r="L68" s="205">
        <f>L66*L67</f>
        <v>0</v>
      </c>
      <c r="M68" s="205">
        <f>M66*M67</f>
        <v>1417.8696000000002</v>
      </c>
      <c r="N68" s="186">
        <f>N66*N67</f>
        <v>320.60160000000002</v>
      </c>
    </row>
    <row r="69" spans="2:14" ht="15.75" thickTop="1">
      <c r="B69" s="1658">
        <v>6</v>
      </c>
      <c r="C69" s="1662" t="s">
        <v>342</v>
      </c>
      <c r="D69" s="1662"/>
      <c r="E69" s="1662">
        <v>12</v>
      </c>
      <c r="F69" s="192">
        <v>8.08</v>
      </c>
      <c r="G69" s="1662">
        <v>7</v>
      </c>
      <c r="H69" s="1662">
        <v>4</v>
      </c>
      <c r="I69" s="1662">
        <f t="shared" ref="I69:I75" si="15">G69*H69</f>
        <v>28</v>
      </c>
      <c r="J69" s="1662"/>
      <c r="K69" s="215"/>
      <c r="L69" s="192"/>
      <c r="M69" s="192">
        <f>F69*I69</f>
        <v>226.24</v>
      </c>
      <c r="N69" s="216"/>
    </row>
    <row r="70" spans="2:14">
      <c r="B70" s="168"/>
      <c r="C70" s="208"/>
      <c r="D70" s="208"/>
      <c r="E70" s="208">
        <v>12</v>
      </c>
      <c r="F70" s="210">
        <v>9.43</v>
      </c>
      <c r="G70" s="208">
        <v>7</v>
      </c>
      <c r="H70" s="208">
        <v>4</v>
      </c>
      <c r="I70" s="208">
        <f t="shared" si="15"/>
        <v>28</v>
      </c>
      <c r="J70" s="208"/>
      <c r="K70" s="217"/>
      <c r="L70" s="210"/>
      <c r="M70" s="210">
        <f>F70*I70</f>
        <v>264.03999999999996</v>
      </c>
      <c r="N70" s="218"/>
    </row>
    <row r="71" spans="2:14">
      <c r="B71" s="168"/>
      <c r="C71" s="208"/>
      <c r="D71" s="208"/>
      <c r="E71" s="208">
        <v>12</v>
      </c>
      <c r="F71" s="210">
        <v>9.3800000000000008</v>
      </c>
      <c r="G71" s="208">
        <v>7</v>
      </c>
      <c r="H71" s="208">
        <v>3</v>
      </c>
      <c r="I71" s="208">
        <f t="shared" si="15"/>
        <v>21</v>
      </c>
      <c r="J71" s="208"/>
      <c r="K71" s="219"/>
      <c r="L71" s="210"/>
      <c r="M71" s="210">
        <f>F71*I71</f>
        <v>196.98000000000002</v>
      </c>
      <c r="N71" s="218"/>
    </row>
    <row r="72" spans="2:14">
      <c r="B72" s="168"/>
      <c r="C72" s="208"/>
      <c r="D72" s="208"/>
      <c r="E72" s="208">
        <v>12</v>
      </c>
      <c r="F72" s="210">
        <v>8.6300000000000008</v>
      </c>
      <c r="G72" s="208">
        <v>7</v>
      </c>
      <c r="H72" s="208">
        <v>3</v>
      </c>
      <c r="I72" s="208">
        <f t="shared" si="15"/>
        <v>21</v>
      </c>
      <c r="J72" s="208"/>
      <c r="K72" s="219"/>
      <c r="L72" s="210"/>
      <c r="M72" s="210">
        <f>F72*I72</f>
        <v>181.23000000000002</v>
      </c>
      <c r="N72" s="218"/>
    </row>
    <row r="73" spans="2:14">
      <c r="B73" s="168"/>
      <c r="C73" s="208" t="s">
        <v>343</v>
      </c>
      <c r="D73" s="208"/>
      <c r="E73" s="208">
        <v>8</v>
      </c>
      <c r="F73" s="210">
        <v>0.9</v>
      </c>
      <c r="G73" s="208">
        <v>7</v>
      </c>
      <c r="H73" s="208">
        <v>81</v>
      </c>
      <c r="I73" s="208">
        <f t="shared" si="15"/>
        <v>567</v>
      </c>
      <c r="J73" s="208"/>
      <c r="K73" s="217">
        <f>I73*F73</f>
        <v>510.3</v>
      </c>
      <c r="L73" s="210"/>
      <c r="M73" s="210"/>
      <c r="N73" s="218"/>
    </row>
    <row r="74" spans="2:14">
      <c r="B74" s="168">
        <v>7</v>
      </c>
      <c r="C74" s="208" t="s">
        <v>247</v>
      </c>
      <c r="D74" s="161"/>
      <c r="E74" s="208">
        <v>12</v>
      </c>
      <c r="F74" s="220">
        <v>1.65</v>
      </c>
      <c r="G74" s="208">
        <v>1</v>
      </c>
      <c r="H74" s="221">
        <v>2</v>
      </c>
      <c r="I74" s="208">
        <f t="shared" si="15"/>
        <v>2</v>
      </c>
      <c r="J74" s="161"/>
      <c r="K74" s="161"/>
      <c r="L74" s="161"/>
      <c r="M74" s="222">
        <f>F74*I74</f>
        <v>3.3</v>
      </c>
      <c r="N74" s="179"/>
    </row>
    <row r="75" spans="2:14">
      <c r="B75" s="168"/>
      <c r="C75" s="161"/>
      <c r="D75" s="208"/>
      <c r="E75" s="208">
        <v>12</v>
      </c>
      <c r="F75" s="210">
        <v>1.35</v>
      </c>
      <c r="G75" s="208">
        <v>1</v>
      </c>
      <c r="H75" s="208">
        <v>2</v>
      </c>
      <c r="I75" s="208">
        <f t="shared" si="15"/>
        <v>2</v>
      </c>
      <c r="J75" s="208"/>
      <c r="K75" s="217"/>
      <c r="L75" s="161"/>
      <c r="M75" s="222">
        <f>F75*I75</f>
        <v>2.7</v>
      </c>
      <c r="N75" s="179"/>
    </row>
    <row r="76" spans="2:14">
      <c r="B76" s="168"/>
      <c r="C76" s="208"/>
      <c r="D76" s="208"/>
      <c r="E76" s="208">
        <v>8</v>
      </c>
      <c r="F76" s="210">
        <v>0.6</v>
      </c>
      <c r="G76" s="208">
        <v>1</v>
      </c>
      <c r="H76" s="208">
        <v>8</v>
      </c>
      <c r="I76" s="208">
        <f>G76*H76</f>
        <v>8</v>
      </c>
      <c r="J76" s="208"/>
      <c r="K76" s="217">
        <f>I76*F76</f>
        <v>4.8</v>
      </c>
      <c r="L76" s="161"/>
      <c r="M76" s="222"/>
      <c r="N76" s="179"/>
    </row>
    <row r="77" spans="2:14">
      <c r="B77" s="168">
        <v>8</v>
      </c>
      <c r="C77" s="208" t="s">
        <v>250</v>
      </c>
      <c r="D77" s="208"/>
      <c r="E77" s="208">
        <v>12</v>
      </c>
      <c r="F77" s="210">
        <v>1.45</v>
      </c>
      <c r="G77" s="208">
        <v>8</v>
      </c>
      <c r="H77" s="208">
        <v>2</v>
      </c>
      <c r="I77" s="208">
        <f>G77*H77</f>
        <v>16</v>
      </c>
      <c r="J77" s="208"/>
      <c r="K77" s="217"/>
      <c r="L77" s="161"/>
      <c r="M77" s="222">
        <f>F77*I77</f>
        <v>23.2</v>
      </c>
      <c r="N77" s="179"/>
    </row>
    <row r="78" spans="2:14">
      <c r="B78" s="168"/>
      <c r="C78" s="208"/>
      <c r="D78" s="208"/>
      <c r="E78" s="208">
        <v>12</v>
      </c>
      <c r="F78" s="210">
        <v>1.1499999999999999</v>
      </c>
      <c r="G78" s="208">
        <v>8</v>
      </c>
      <c r="H78" s="208">
        <v>2</v>
      </c>
      <c r="I78" s="208">
        <f>G78*H78</f>
        <v>16</v>
      </c>
      <c r="J78" s="208"/>
      <c r="K78" s="217"/>
      <c r="L78" s="161"/>
      <c r="M78" s="222">
        <f>F78*I78</f>
        <v>18.399999999999999</v>
      </c>
      <c r="N78" s="179"/>
    </row>
    <row r="79" spans="2:14">
      <c r="B79" s="168"/>
      <c r="C79" s="208"/>
      <c r="D79" s="208"/>
      <c r="E79" s="208">
        <v>8</v>
      </c>
      <c r="F79" s="210">
        <v>0.6</v>
      </c>
      <c r="G79" s="208">
        <v>8</v>
      </c>
      <c r="H79" s="208">
        <v>7</v>
      </c>
      <c r="I79" s="208">
        <f t="shared" ref="I79:I93" si="16">G79*H79</f>
        <v>56</v>
      </c>
      <c r="J79" s="208"/>
      <c r="K79" s="217">
        <f>I79*F79</f>
        <v>33.6</v>
      </c>
      <c r="L79" s="161"/>
      <c r="M79" s="222"/>
      <c r="N79" s="179"/>
    </row>
    <row r="80" spans="2:14">
      <c r="B80" s="168">
        <v>9</v>
      </c>
      <c r="C80" s="208" t="s">
        <v>190</v>
      </c>
      <c r="D80" s="208"/>
      <c r="E80" s="208">
        <v>12</v>
      </c>
      <c r="F80" s="210">
        <v>1.35</v>
      </c>
      <c r="G80" s="208">
        <v>12</v>
      </c>
      <c r="H80" s="208">
        <v>2</v>
      </c>
      <c r="I80" s="208">
        <f t="shared" si="16"/>
        <v>24</v>
      </c>
      <c r="J80" s="208"/>
      <c r="K80" s="217"/>
      <c r="L80" s="161"/>
      <c r="M80" s="222">
        <f>F80*I80</f>
        <v>32.400000000000006</v>
      </c>
      <c r="N80" s="179"/>
    </row>
    <row r="81" spans="2:14">
      <c r="B81" s="168"/>
      <c r="C81" s="208"/>
      <c r="D81" s="208"/>
      <c r="E81" s="208">
        <v>12</v>
      </c>
      <c r="F81" s="210">
        <v>1.05</v>
      </c>
      <c r="G81" s="208">
        <v>12</v>
      </c>
      <c r="H81" s="208">
        <v>2</v>
      </c>
      <c r="I81" s="208">
        <f t="shared" si="16"/>
        <v>24</v>
      </c>
      <c r="J81" s="208"/>
      <c r="K81" s="217"/>
      <c r="L81" s="161"/>
      <c r="M81" s="222">
        <f>F81*I81</f>
        <v>25.200000000000003</v>
      </c>
      <c r="N81" s="179"/>
    </row>
    <row r="82" spans="2:14">
      <c r="B82" s="168"/>
      <c r="C82" s="208"/>
      <c r="D82" s="208"/>
      <c r="E82" s="208">
        <v>8</v>
      </c>
      <c r="F82" s="210">
        <v>0.5</v>
      </c>
      <c r="G82" s="208">
        <v>12</v>
      </c>
      <c r="H82" s="208">
        <v>7</v>
      </c>
      <c r="I82" s="208">
        <f t="shared" si="16"/>
        <v>84</v>
      </c>
      <c r="J82" s="208"/>
      <c r="K82" s="217">
        <f>I82*F82</f>
        <v>42</v>
      </c>
      <c r="L82" s="161"/>
      <c r="M82" s="222"/>
      <c r="N82" s="179"/>
    </row>
    <row r="83" spans="2:14">
      <c r="B83" s="168">
        <v>10</v>
      </c>
      <c r="C83" s="208" t="s">
        <v>191</v>
      </c>
      <c r="D83" s="208"/>
      <c r="E83" s="208">
        <v>12</v>
      </c>
      <c r="F83" s="210">
        <v>1.55</v>
      </c>
      <c r="G83" s="208">
        <v>5</v>
      </c>
      <c r="H83" s="208">
        <v>2</v>
      </c>
      <c r="I83" s="208">
        <f t="shared" si="16"/>
        <v>10</v>
      </c>
      <c r="J83" s="208"/>
      <c r="K83" s="217"/>
      <c r="L83" s="161"/>
      <c r="M83" s="222">
        <f>F83*I83</f>
        <v>15.5</v>
      </c>
      <c r="N83" s="179"/>
    </row>
    <row r="84" spans="2:14">
      <c r="B84" s="168"/>
      <c r="C84" s="208"/>
      <c r="D84" s="208"/>
      <c r="E84" s="208">
        <v>12</v>
      </c>
      <c r="F84" s="210">
        <v>1.25</v>
      </c>
      <c r="G84" s="208">
        <v>5</v>
      </c>
      <c r="H84" s="208">
        <v>2</v>
      </c>
      <c r="I84" s="208">
        <f t="shared" si="16"/>
        <v>10</v>
      </c>
      <c r="J84" s="208"/>
      <c r="K84" s="217"/>
      <c r="L84" s="161"/>
      <c r="M84" s="222">
        <f>F84*I84</f>
        <v>12.5</v>
      </c>
      <c r="N84" s="179"/>
    </row>
    <row r="85" spans="2:14">
      <c r="B85" s="168"/>
      <c r="C85" s="208"/>
      <c r="D85" s="208"/>
      <c r="E85" s="208">
        <v>8</v>
      </c>
      <c r="F85" s="210">
        <v>0.6</v>
      </c>
      <c r="G85" s="208">
        <v>5</v>
      </c>
      <c r="H85" s="208">
        <v>7</v>
      </c>
      <c r="I85" s="208">
        <f t="shared" si="16"/>
        <v>35</v>
      </c>
      <c r="J85" s="208"/>
      <c r="K85" s="217">
        <f>I85*F85</f>
        <v>21</v>
      </c>
      <c r="L85" s="161"/>
      <c r="M85" s="222"/>
      <c r="N85" s="179"/>
    </row>
    <row r="86" spans="2:14">
      <c r="B86" s="168">
        <v>11</v>
      </c>
      <c r="C86" s="161" t="s">
        <v>582</v>
      </c>
      <c r="D86" s="161"/>
      <c r="E86" s="208">
        <v>12</v>
      </c>
      <c r="F86" s="220">
        <v>1.85</v>
      </c>
      <c r="G86" s="208">
        <v>1</v>
      </c>
      <c r="H86" s="208">
        <v>2</v>
      </c>
      <c r="I86" s="208">
        <f t="shared" si="16"/>
        <v>2</v>
      </c>
      <c r="J86" s="208"/>
      <c r="K86" s="217"/>
      <c r="L86" s="161"/>
      <c r="M86" s="222">
        <f>F86*I86</f>
        <v>3.7</v>
      </c>
      <c r="N86" s="179"/>
    </row>
    <row r="87" spans="2:14">
      <c r="B87" s="168"/>
      <c r="C87" s="161"/>
      <c r="D87" s="161"/>
      <c r="E87" s="208">
        <v>12</v>
      </c>
      <c r="F87" s="220">
        <v>1.55</v>
      </c>
      <c r="G87" s="208">
        <v>1</v>
      </c>
      <c r="H87" s="208">
        <v>2</v>
      </c>
      <c r="I87" s="208">
        <f t="shared" si="16"/>
        <v>2</v>
      </c>
      <c r="J87" s="208"/>
      <c r="K87" s="217"/>
      <c r="L87" s="161"/>
      <c r="M87" s="222">
        <f>F87*I87</f>
        <v>3.1</v>
      </c>
      <c r="N87" s="179"/>
    </row>
    <row r="88" spans="2:14">
      <c r="B88" s="168"/>
      <c r="C88" s="161"/>
      <c r="D88" s="161"/>
      <c r="E88" s="208">
        <v>8</v>
      </c>
      <c r="F88" s="220">
        <v>0.6</v>
      </c>
      <c r="G88" s="208">
        <v>1</v>
      </c>
      <c r="H88" s="208">
        <v>9</v>
      </c>
      <c r="I88" s="208">
        <f t="shared" si="16"/>
        <v>9</v>
      </c>
      <c r="J88" s="208"/>
      <c r="K88" s="217">
        <f>I88*F88</f>
        <v>5.3999999999999995</v>
      </c>
      <c r="L88" s="161"/>
      <c r="M88" s="222"/>
      <c r="N88" s="179"/>
    </row>
    <row r="89" spans="2:14">
      <c r="B89" s="168">
        <v>12</v>
      </c>
      <c r="C89" s="161" t="s">
        <v>736</v>
      </c>
      <c r="D89" s="161"/>
      <c r="E89" s="208">
        <v>12</v>
      </c>
      <c r="F89" s="220">
        <v>2.0499999999999998</v>
      </c>
      <c r="G89" s="208">
        <v>5</v>
      </c>
      <c r="H89" s="208">
        <v>2</v>
      </c>
      <c r="I89" s="208">
        <f t="shared" si="16"/>
        <v>10</v>
      </c>
      <c r="J89" s="208"/>
      <c r="K89" s="217"/>
      <c r="L89" s="161"/>
      <c r="M89" s="222">
        <f>F89*I89</f>
        <v>20.5</v>
      </c>
      <c r="N89" s="179"/>
    </row>
    <row r="90" spans="2:14">
      <c r="B90" s="168"/>
      <c r="C90" s="208"/>
      <c r="D90" s="208"/>
      <c r="E90" s="208">
        <v>12</v>
      </c>
      <c r="F90" s="210">
        <v>1.75</v>
      </c>
      <c r="G90" s="208">
        <v>5</v>
      </c>
      <c r="H90" s="208">
        <v>2</v>
      </c>
      <c r="I90" s="208">
        <f t="shared" si="16"/>
        <v>10</v>
      </c>
      <c r="J90" s="208"/>
      <c r="K90" s="217"/>
      <c r="L90" s="161"/>
      <c r="M90" s="222">
        <f>F90*I90</f>
        <v>17.5</v>
      </c>
      <c r="N90" s="179"/>
    </row>
    <row r="91" spans="2:14">
      <c r="B91" s="168"/>
      <c r="C91" s="208"/>
      <c r="D91" s="208"/>
      <c r="E91" s="208">
        <v>8</v>
      </c>
      <c r="F91" s="210">
        <v>0.6</v>
      </c>
      <c r="G91" s="208">
        <v>5</v>
      </c>
      <c r="H91" s="208">
        <v>10</v>
      </c>
      <c r="I91" s="208">
        <f t="shared" si="16"/>
        <v>50</v>
      </c>
      <c r="J91" s="208"/>
      <c r="K91" s="217">
        <f>I91*F91</f>
        <v>30</v>
      </c>
      <c r="L91" s="161"/>
      <c r="M91" s="222"/>
      <c r="N91" s="179"/>
    </row>
    <row r="92" spans="2:14">
      <c r="B92" s="168">
        <v>13</v>
      </c>
      <c r="C92" s="208" t="s">
        <v>362</v>
      </c>
      <c r="D92" s="208"/>
      <c r="E92" s="208">
        <v>12</v>
      </c>
      <c r="F92" s="220">
        <v>1.85</v>
      </c>
      <c r="G92" s="208">
        <v>5</v>
      </c>
      <c r="H92" s="208">
        <v>2</v>
      </c>
      <c r="I92" s="208">
        <f t="shared" si="16"/>
        <v>10</v>
      </c>
      <c r="J92" s="208"/>
      <c r="K92" s="217"/>
      <c r="L92" s="161"/>
      <c r="M92" s="222">
        <f>F92*I92</f>
        <v>18.5</v>
      </c>
      <c r="N92" s="179"/>
    </row>
    <row r="93" spans="2:14">
      <c r="B93" s="168"/>
      <c r="C93" s="208"/>
      <c r="D93" s="208"/>
      <c r="E93" s="208">
        <v>12</v>
      </c>
      <c r="F93" s="220">
        <v>1.55</v>
      </c>
      <c r="G93" s="208">
        <v>5</v>
      </c>
      <c r="H93" s="208">
        <v>2</v>
      </c>
      <c r="I93" s="208">
        <f t="shared" si="16"/>
        <v>10</v>
      </c>
      <c r="J93" s="208"/>
      <c r="K93" s="217"/>
      <c r="L93" s="161"/>
      <c r="M93" s="222">
        <f>F93*I93</f>
        <v>15.5</v>
      </c>
      <c r="N93" s="179"/>
    </row>
    <row r="94" spans="2:14">
      <c r="B94" s="168"/>
      <c r="C94" s="208"/>
      <c r="D94" s="208"/>
      <c r="E94" s="208">
        <v>8</v>
      </c>
      <c r="F94" s="220">
        <v>0.6</v>
      </c>
      <c r="G94" s="208">
        <v>5</v>
      </c>
      <c r="H94" s="208">
        <v>9</v>
      </c>
      <c r="I94" s="208">
        <f>G94*H94</f>
        <v>45</v>
      </c>
      <c r="J94" s="208"/>
      <c r="K94" s="217">
        <f>I94*F94</f>
        <v>27</v>
      </c>
      <c r="L94" s="210"/>
      <c r="M94" s="222"/>
      <c r="N94" s="179"/>
    </row>
    <row r="95" spans="2:14">
      <c r="B95" s="168">
        <v>14</v>
      </c>
      <c r="C95" s="208" t="s">
        <v>680</v>
      </c>
      <c r="D95" s="208"/>
      <c r="E95" s="208">
        <v>12</v>
      </c>
      <c r="F95" s="220">
        <v>1.83</v>
      </c>
      <c r="G95" s="208">
        <v>2</v>
      </c>
      <c r="H95" s="208">
        <v>2</v>
      </c>
      <c r="I95" s="208">
        <f>G95*H95</f>
        <v>4</v>
      </c>
      <c r="J95" s="208"/>
      <c r="K95" s="217"/>
      <c r="L95" s="210"/>
      <c r="M95" s="222">
        <f>F95*I95</f>
        <v>7.32</v>
      </c>
      <c r="N95" s="179"/>
    </row>
    <row r="96" spans="2:14">
      <c r="B96" s="168"/>
      <c r="C96" s="208"/>
      <c r="D96" s="208"/>
      <c r="E96" s="208">
        <v>12</v>
      </c>
      <c r="F96" s="210">
        <v>1.53</v>
      </c>
      <c r="G96" s="208">
        <v>2</v>
      </c>
      <c r="H96" s="208">
        <v>2</v>
      </c>
      <c r="I96" s="208">
        <f>G96*H96</f>
        <v>4</v>
      </c>
      <c r="J96" s="208"/>
      <c r="K96" s="219"/>
      <c r="L96" s="210"/>
      <c r="M96" s="222">
        <f>F96*I96</f>
        <v>6.12</v>
      </c>
      <c r="N96" s="179"/>
    </row>
    <row r="97" spans="2:14" ht="15.75" thickBot="1">
      <c r="B97" s="223"/>
      <c r="C97" s="224"/>
      <c r="D97" s="224"/>
      <c r="E97" s="224">
        <v>8</v>
      </c>
      <c r="F97" s="225">
        <v>0.7</v>
      </c>
      <c r="G97" s="224">
        <v>2</v>
      </c>
      <c r="H97" s="224">
        <v>9</v>
      </c>
      <c r="I97" s="224">
        <f>G97*H97</f>
        <v>18</v>
      </c>
      <c r="J97" s="166"/>
      <c r="K97" s="226">
        <f>I97*F97</f>
        <v>12.6</v>
      </c>
      <c r="L97" s="212"/>
      <c r="M97" s="212"/>
      <c r="N97" s="213"/>
    </row>
    <row r="98" spans="2:14" ht="15.75" thickTop="1">
      <c r="B98" s="187"/>
      <c r="C98" s="1663"/>
      <c r="D98" s="1663"/>
      <c r="E98" s="1663"/>
      <c r="F98" s="2158" t="s">
        <v>301</v>
      </c>
      <c r="G98" s="2158"/>
      <c r="H98" s="2158"/>
      <c r="I98" s="2159"/>
      <c r="J98" s="191"/>
      <c r="K98" s="192">
        <f>SUM(K69:K97)</f>
        <v>686.7</v>
      </c>
      <c r="L98" s="192"/>
      <c r="M98" s="192">
        <f>SUM(M69:M97)</f>
        <v>1093.93</v>
      </c>
      <c r="N98" s="193"/>
    </row>
    <row r="99" spans="2:14">
      <c r="B99" s="194"/>
      <c r="C99" s="197"/>
      <c r="D99" s="197"/>
      <c r="E99" s="197"/>
      <c r="F99" s="2154" t="s">
        <v>302</v>
      </c>
      <c r="G99" s="2154"/>
      <c r="H99" s="2154"/>
      <c r="I99" s="2155"/>
      <c r="J99" s="198"/>
      <c r="K99" s="199" t="s">
        <v>303</v>
      </c>
      <c r="L99" s="200"/>
      <c r="M99" s="199" t="s">
        <v>305</v>
      </c>
      <c r="N99" s="180" t="s">
        <v>306</v>
      </c>
    </row>
    <row r="100" spans="2:14" ht="15.75" thickBot="1">
      <c r="B100" s="214"/>
      <c r="C100" s="203"/>
      <c r="D100" s="203"/>
      <c r="E100" s="203"/>
      <c r="F100" s="2156" t="s">
        <v>307</v>
      </c>
      <c r="G100" s="2156"/>
      <c r="H100" s="2156"/>
      <c r="I100" s="2157"/>
      <c r="J100" s="204"/>
      <c r="K100" s="205">
        <f>K98*K99</f>
        <v>271.24650000000003</v>
      </c>
      <c r="L100" s="205">
        <f>L98*L99</f>
        <v>0</v>
      </c>
      <c r="M100" s="205">
        <f>M98*M99</f>
        <v>971.40984000000003</v>
      </c>
      <c r="N100" s="186">
        <f>N98*N99</f>
        <v>0</v>
      </c>
    </row>
    <row r="101" spans="2:14" ht="15.75" thickTop="1"/>
  </sheetData>
  <mergeCells count="22">
    <mergeCell ref="B1:G1"/>
    <mergeCell ref="L1:N1"/>
    <mergeCell ref="L2:N2"/>
    <mergeCell ref="L3:N3"/>
    <mergeCell ref="F34:I34"/>
    <mergeCell ref="B6:B7"/>
    <mergeCell ref="C6:C7"/>
    <mergeCell ref="D6:D7"/>
    <mergeCell ref="E6:E7"/>
    <mergeCell ref="G6:I6"/>
    <mergeCell ref="F66:I66"/>
    <mergeCell ref="L4:N4"/>
    <mergeCell ref="B2:G2"/>
    <mergeCell ref="B3:G3"/>
    <mergeCell ref="B4:G4"/>
    <mergeCell ref="F35:I35"/>
    <mergeCell ref="F36:I36"/>
    <mergeCell ref="F99:I99"/>
    <mergeCell ref="F100:I100"/>
    <mergeCell ref="F67:I67"/>
    <mergeCell ref="F68:I68"/>
    <mergeCell ref="F98:I98"/>
  </mergeCells>
  <pageMargins left="0.45" right="0.45" top="1" bottom="0.75" header="0.3" footer="0.3"/>
  <pageSetup scale="84" orientation="landscape" r:id="rId1"/>
  <rowBreaks count="2" manualBreakCount="2">
    <brk id="36" max="14" man="1"/>
    <brk id="68" max="14" man="1"/>
  </rowBreaks>
  <ignoredErrors>
    <ignoredError sqref="K35:N35"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B1:H50"/>
  <sheetViews>
    <sheetView view="pageBreakPreview" zoomScaleSheetLayoutView="100" workbookViewId="0">
      <selection sqref="A1:XFD1048576"/>
    </sheetView>
  </sheetViews>
  <sheetFormatPr defaultRowHeight="12.75"/>
  <cols>
    <col min="1" max="1" width="5.5703125" style="432" customWidth="1"/>
    <col min="2" max="2" width="6.140625" style="432" customWidth="1"/>
    <col min="3" max="3" width="28.5703125" style="432" customWidth="1"/>
    <col min="4" max="4" width="15.7109375" style="432" customWidth="1"/>
    <col min="5" max="5" width="15.85546875" style="432" customWidth="1"/>
    <col min="6" max="6" width="15.7109375" style="432" customWidth="1"/>
    <col min="7" max="7" width="15.85546875" style="432" customWidth="1"/>
    <col min="8" max="8" width="2.85546875" style="432" customWidth="1"/>
    <col min="9" max="254" width="9.140625" style="432"/>
    <col min="255" max="255" width="6.140625" style="432" customWidth="1"/>
    <col min="256" max="257" width="9.140625" style="432"/>
    <col min="258" max="258" width="5.85546875" style="432" customWidth="1"/>
    <col min="259" max="259" width="0.7109375" style="432" customWidth="1"/>
    <col min="260" max="260" width="15.7109375" style="432" customWidth="1"/>
    <col min="261" max="261" width="15.85546875" style="432" customWidth="1"/>
    <col min="262" max="262" width="15.7109375" style="432" customWidth="1"/>
    <col min="263" max="263" width="15.85546875" style="432" customWidth="1"/>
    <col min="264" max="510" width="9.140625" style="432"/>
    <col min="511" max="511" width="6.140625" style="432" customWidth="1"/>
    <col min="512" max="513" width="9.140625" style="432"/>
    <col min="514" max="514" width="5.85546875" style="432" customWidth="1"/>
    <col min="515" max="515" width="0.7109375" style="432" customWidth="1"/>
    <col min="516" max="516" width="15.7109375" style="432" customWidth="1"/>
    <col min="517" max="517" width="15.85546875" style="432" customWidth="1"/>
    <col min="518" max="518" width="15.7109375" style="432" customWidth="1"/>
    <col min="519" max="519" width="15.85546875" style="432" customWidth="1"/>
    <col min="520" max="766" width="9.140625" style="432"/>
    <col min="767" max="767" width="6.140625" style="432" customWidth="1"/>
    <col min="768" max="769" width="9.140625" style="432"/>
    <col min="770" max="770" width="5.85546875" style="432" customWidth="1"/>
    <col min="771" max="771" width="0.7109375" style="432" customWidth="1"/>
    <col min="772" max="772" width="15.7109375" style="432" customWidth="1"/>
    <col min="773" max="773" width="15.85546875" style="432" customWidth="1"/>
    <col min="774" max="774" width="15.7109375" style="432" customWidth="1"/>
    <col min="775" max="775" width="15.85546875" style="432" customWidth="1"/>
    <col min="776" max="1022" width="9.140625" style="432"/>
    <col min="1023" max="1023" width="6.140625" style="432" customWidth="1"/>
    <col min="1024" max="1025" width="9.140625" style="432"/>
    <col min="1026" max="1026" width="5.85546875" style="432" customWidth="1"/>
    <col min="1027" max="1027" width="0.7109375" style="432" customWidth="1"/>
    <col min="1028" max="1028" width="15.7109375" style="432" customWidth="1"/>
    <col min="1029" max="1029" width="15.85546875" style="432" customWidth="1"/>
    <col min="1030" max="1030" width="15.7109375" style="432" customWidth="1"/>
    <col min="1031" max="1031" width="15.85546875" style="432" customWidth="1"/>
    <col min="1032" max="1278" width="9.140625" style="432"/>
    <col min="1279" max="1279" width="6.140625" style="432" customWidth="1"/>
    <col min="1280" max="1281" width="9.140625" style="432"/>
    <col min="1282" max="1282" width="5.85546875" style="432" customWidth="1"/>
    <col min="1283" max="1283" width="0.7109375" style="432" customWidth="1"/>
    <col min="1284" max="1284" width="15.7109375" style="432" customWidth="1"/>
    <col min="1285" max="1285" width="15.85546875" style="432" customWidth="1"/>
    <col min="1286" max="1286" width="15.7109375" style="432" customWidth="1"/>
    <col min="1287" max="1287" width="15.85546875" style="432" customWidth="1"/>
    <col min="1288" max="1534" width="9.140625" style="432"/>
    <col min="1535" max="1535" width="6.140625" style="432" customWidth="1"/>
    <col min="1536" max="1537" width="9.140625" style="432"/>
    <col min="1538" max="1538" width="5.85546875" style="432" customWidth="1"/>
    <col min="1539" max="1539" width="0.7109375" style="432" customWidth="1"/>
    <col min="1540" max="1540" width="15.7109375" style="432" customWidth="1"/>
    <col min="1541" max="1541" width="15.85546875" style="432" customWidth="1"/>
    <col min="1542" max="1542" width="15.7109375" style="432" customWidth="1"/>
    <col min="1543" max="1543" width="15.85546875" style="432" customWidth="1"/>
    <col min="1544" max="1790" width="9.140625" style="432"/>
    <col min="1791" max="1791" width="6.140625" style="432" customWidth="1"/>
    <col min="1792" max="1793" width="9.140625" style="432"/>
    <col min="1794" max="1794" width="5.85546875" style="432" customWidth="1"/>
    <col min="1795" max="1795" width="0.7109375" style="432" customWidth="1"/>
    <col min="1796" max="1796" width="15.7109375" style="432" customWidth="1"/>
    <col min="1797" max="1797" width="15.85546875" style="432" customWidth="1"/>
    <col min="1798" max="1798" width="15.7109375" style="432" customWidth="1"/>
    <col min="1799" max="1799" width="15.85546875" style="432" customWidth="1"/>
    <col min="1800" max="2046" width="9.140625" style="432"/>
    <col min="2047" max="2047" width="6.140625" style="432" customWidth="1"/>
    <col min="2048" max="2049" width="9.140625" style="432"/>
    <col min="2050" max="2050" width="5.85546875" style="432" customWidth="1"/>
    <col min="2051" max="2051" width="0.7109375" style="432" customWidth="1"/>
    <col min="2052" max="2052" width="15.7109375" style="432" customWidth="1"/>
    <col min="2053" max="2053" width="15.85546875" style="432" customWidth="1"/>
    <col min="2054" max="2054" width="15.7109375" style="432" customWidth="1"/>
    <col min="2055" max="2055" width="15.85546875" style="432" customWidth="1"/>
    <col min="2056" max="2302" width="9.140625" style="432"/>
    <col min="2303" max="2303" width="6.140625" style="432" customWidth="1"/>
    <col min="2304" max="2305" width="9.140625" style="432"/>
    <col min="2306" max="2306" width="5.85546875" style="432" customWidth="1"/>
    <col min="2307" max="2307" width="0.7109375" style="432" customWidth="1"/>
    <col min="2308" max="2308" width="15.7109375" style="432" customWidth="1"/>
    <col min="2309" max="2309" width="15.85546875" style="432" customWidth="1"/>
    <col min="2310" max="2310" width="15.7109375" style="432" customWidth="1"/>
    <col min="2311" max="2311" width="15.85546875" style="432" customWidth="1"/>
    <col min="2312" max="2558" width="9.140625" style="432"/>
    <col min="2559" max="2559" width="6.140625" style="432" customWidth="1"/>
    <col min="2560" max="2561" width="9.140625" style="432"/>
    <col min="2562" max="2562" width="5.85546875" style="432" customWidth="1"/>
    <col min="2563" max="2563" width="0.7109375" style="432" customWidth="1"/>
    <col min="2564" max="2564" width="15.7109375" style="432" customWidth="1"/>
    <col min="2565" max="2565" width="15.85546875" style="432" customWidth="1"/>
    <col min="2566" max="2566" width="15.7109375" style="432" customWidth="1"/>
    <col min="2567" max="2567" width="15.85546875" style="432" customWidth="1"/>
    <col min="2568" max="2814" width="9.140625" style="432"/>
    <col min="2815" max="2815" width="6.140625" style="432" customWidth="1"/>
    <col min="2816" max="2817" width="9.140625" style="432"/>
    <col min="2818" max="2818" width="5.85546875" style="432" customWidth="1"/>
    <col min="2819" max="2819" width="0.7109375" style="432" customWidth="1"/>
    <col min="2820" max="2820" width="15.7109375" style="432" customWidth="1"/>
    <col min="2821" max="2821" width="15.85546875" style="432" customWidth="1"/>
    <col min="2822" max="2822" width="15.7109375" style="432" customWidth="1"/>
    <col min="2823" max="2823" width="15.85546875" style="432" customWidth="1"/>
    <col min="2824" max="3070" width="9.140625" style="432"/>
    <col min="3071" max="3071" width="6.140625" style="432" customWidth="1"/>
    <col min="3072" max="3073" width="9.140625" style="432"/>
    <col min="3074" max="3074" width="5.85546875" style="432" customWidth="1"/>
    <col min="3075" max="3075" width="0.7109375" style="432" customWidth="1"/>
    <col min="3076" max="3076" width="15.7109375" style="432" customWidth="1"/>
    <col min="3077" max="3077" width="15.85546875" style="432" customWidth="1"/>
    <col min="3078" max="3078" width="15.7109375" style="432" customWidth="1"/>
    <col min="3079" max="3079" width="15.85546875" style="432" customWidth="1"/>
    <col min="3080" max="3326" width="9.140625" style="432"/>
    <col min="3327" max="3327" width="6.140625" style="432" customWidth="1"/>
    <col min="3328" max="3329" width="9.140625" style="432"/>
    <col min="3330" max="3330" width="5.85546875" style="432" customWidth="1"/>
    <col min="3331" max="3331" width="0.7109375" style="432" customWidth="1"/>
    <col min="3332" max="3332" width="15.7109375" style="432" customWidth="1"/>
    <col min="3333" max="3333" width="15.85546875" style="432" customWidth="1"/>
    <col min="3334" max="3334" width="15.7109375" style="432" customWidth="1"/>
    <col min="3335" max="3335" width="15.85546875" style="432" customWidth="1"/>
    <col min="3336" max="3582" width="9.140625" style="432"/>
    <col min="3583" max="3583" width="6.140625" style="432" customWidth="1"/>
    <col min="3584" max="3585" width="9.140625" style="432"/>
    <col min="3586" max="3586" width="5.85546875" style="432" customWidth="1"/>
    <col min="3587" max="3587" width="0.7109375" style="432" customWidth="1"/>
    <col min="3588" max="3588" width="15.7109375" style="432" customWidth="1"/>
    <col min="3589" max="3589" width="15.85546875" style="432" customWidth="1"/>
    <col min="3590" max="3590" width="15.7109375" style="432" customWidth="1"/>
    <col min="3591" max="3591" width="15.85546875" style="432" customWidth="1"/>
    <col min="3592" max="3838" width="9.140625" style="432"/>
    <col min="3839" max="3839" width="6.140625" style="432" customWidth="1"/>
    <col min="3840" max="3841" width="9.140625" style="432"/>
    <col min="3842" max="3842" width="5.85546875" style="432" customWidth="1"/>
    <col min="3843" max="3843" width="0.7109375" style="432" customWidth="1"/>
    <col min="3844" max="3844" width="15.7109375" style="432" customWidth="1"/>
    <col min="3845" max="3845" width="15.85546875" style="432" customWidth="1"/>
    <col min="3846" max="3846" width="15.7109375" style="432" customWidth="1"/>
    <col min="3847" max="3847" width="15.85546875" style="432" customWidth="1"/>
    <col min="3848" max="4094" width="9.140625" style="432"/>
    <col min="4095" max="4095" width="6.140625" style="432" customWidth="1"/>
    <col min="4096" max="4097" width="9.140625" style="432"/>
    <col min="4098" max="4098" width="5.85546875" style="432" customWidth="1"/>
    <col min="4099" max="4099" width="0.7109375" style="432" customWidth="1"/>
    <col min="4100" max="4100" width="15.7109375" style="432" customWidth="1"/>
    <col min="4101" max="4101" width="15.85546875" style="432" customWidth="1"/>
    <col min="4102" max="4102" width="15.7109375" style="432" customWidth="1"/>
    <col min="4103" max="4103" width="15.85546875" style="432" customWidth="1"/>
    <col min="4104" max="4350" width="9.140625" style="432"/>
    <col min="4351" max="4351" width="6.140625" style="432" customWidth="1"/>
    <col min="4352" max="4353" width="9.140625" style="432"/>
    <col min="4354" max="4354" width="5.85546875" style="432" customWidth="1"/>
    <col min="4355" max="4355" width="0.7109375" style="432" customWidth="1"/>
    <col min="4356" max="4356" width="15.7109375" style="432" customWidth="1"/>
    <col min="4357" max="4357" width="15.85546875" style="432" customWidth="1"/>
    <col min="4358" max="4358" width="15.7109375" style="432" customWidth="1"/>
    <col min="4359" max="4359" width="15.85546875" style="432" customWidth="1"/>
    <col min="4360" max="4606" width="9.140625" style="432"/>
    <col min="4607" max="4607" width="6.140625" style="432" customWidth="1"/>
    <col min="4608" max="4609" width="9.140625" style="432"/>
    <col min="4610" max="4610" width="5.85546875" style="432" customWidth="1"/>
    <col min="4611" max="4611" width="0.7109375" style="432" customWidth="1"/>
    <col min="4612" max="4612" width="15.7109375" style="432" customWidth="1"/>
    <col min="4613" max="4613" width="15.85546875" style="432" customWidth="1"/>
    <col min="4614" max="4614" width="15.7109375" style="432" customWidth="1"/>
    <col min="4615" max="4615" width="15.85546875" style="432" customWidth="1"/>
    <col min="4616" max="4862" width="9.140625" style="432"/>
    <col min="4863" max="4863" width="6.140625" style="432" customWidth="1"/>
    <col min="4864" max="4865" width="9.140625" style="432"/>
    <col min="4866" max="4866" width="5.85546875" style="432" customWidth="1"/>
    <col min="4867" max="4867" width="0.7109375" style="432" customWidth="1"/>
    <col min="4868" max="4868" width="15.7109375" style="432" customWidth="1"/>
    <col min="4869" max="4869" width="15.85546875" style="432" customWidth="1"/>
    <col min="4870" max="4870" width="15.7109375" style="432" customWidth="1"/>
    <col min="4871" max="4871" width="15.85546875" style="432" customWidth="1"/>
    <col min="4872" max="5118" width="9.140625" style="432"/>
    <col min="5119" max="5119" width="6.140625" style="432" customWidth="1"/>
    <col min="5120" max="5121" width="9.140625" style="432"/>
    <col min="5122" max="5122" width="5.85546875" style="432" customWidth="1"/>
    <col min="5123" max="5123" width="0.7109375" style="432" customWidth="1"/>
    <col min="5124" max="5124" width="15.7109375" style="432" customWidth="1"/>
    <col min="5125" max="5125" width="15.85546875" style="432" customWidth="1"/>
    <col min="5126" max="5126" width="15.7109375" style="432" customWidth="1"/>
    <col min="5127" max="5127" width="15.85546875" style="432" customWidth="1"/>
    <col min="5128" max="5374" width="9.140625" style="432"/>
    <col min="5375" max="5375" width="6.140625" style="432" customWidth="1"/>
    <col min="5376" max="5377" width="9.140625" style="432"/>
    <col min="5378" max="5378" width="5.85546875" style="432" customWidth="1"/>
    <col min="5379" max="5379" width="0.7109375" style="432" customWidth="1"/>
    <col min="5380" max="5380" width="15.7109375" style="432" customWidth="1"/>
    <col min="5381" max="5381" width="15.85546875" style="432" customWidth="1"/>
    <col min="5382" max="5382" width="15.7109375" style="432" customWidth="1"/>
    <col min="5383" max="5383" width="15.85546875" style="432" customWidth="1"/>
    <col min="5384" max="5630" width="9.140625" style="432"/>
    <col min="5631" max="5631" width="6.140625" style="432" customWidth="1"/>
    <col min="5632" max="5633" width="9.140625" style="432"/>
    <col min="5634" max="5634" width="5.85546875" style="432" customWidth="1"/>
    <col min="5635" max="5635" width="0.7109375" style="432" customWidth="1"/>
    <col min="5636" max="5636" width="15.7109375" style="432" customWidth="1"/>
    <col min="5637" max="5637" width="15.85546875" style="432" customWidth="1"/>
    <col min="5638" max="5638" width="15.7109375" style="432" customWidth="1"/>
    <col min="5639" max="5639" width="15.85546875" style="432" customWidth="1"/>
    <col min="5640" max="5886" width="9.140625" style="432"/>
    <col min="5887" max="5887" width="6.140625" style="432" customWidth="1"/>
    <col min="5888" max="5889" width="9.140625" style="432"/>
    <col min="5890" max="5890" width="5.85546875" style="432" customWidth="1"/>
    <col min="5891" max="5891" width="0.7109375" style="432" customWidth="1"/>
    <col min="5892" max="5892" width="15.7109375" style="432" customWidth="1"/>
    <col min="5893" max="5893" width="15.85546875" style="432" customWidth="1"/>
    <col min="5894" max="5894" width="15.7109375" style="432" customWidth="1"/>
    <col min="5895" max="5895" width="15.85546875" style="432" customWidth="1"/>
    <col min="5896" max="6142" width="9.140625" style="432"/>
    <col min="6143" max="6143" width="6.140625" style="432" customWidth="1"/>
    <col min="6144" max="6145" width="9.140625" style="432"/>
    <col min="6146" max="6146" width="5.85546875" style="432" customWidth="1"/>
    <col min="6147" max="6147" width="0.7109375" style="432" customWidth="1"/>
    <col min="6148" max="6148" width="15.7109375" style="432" customWidth="1"/>
    <col min="6149" max="6149" width="15.85546875" style="432" customWidth="1"/>
    <col min="6150" max="6150" width="15.7109375" style="432" customWidth="1"/>
    <col min="6151" max="6151" width="15.85546875" style="432" customWidth="1"/>
    <col min="6152" max="6398" width="9.140625" style="432"/>
    <col min="6399" max="6399" width="6.140625" style="432" customWidth="1"/>
    <col min="6400" max="6401" width="9.140625" style="432"/>
    <col min="6402" max="6402" width="5.85546875" style="432" customWidth="1"/>
    <col min="6403" max="6403" width="0.7109375" style="432" customWidth="1"/>
    <col min="6404" max="6404" width="15.7109375" style="432" customWidth="1"/>
    <col min="6405" max="6405" width="15.85546875" style="432" customWidth="1"/>
    <col min="6406" max="6406" width="15.7109375" style="432" customWidth="1"/>
    <col min="6407" max="6407" width="15.85546875" style="432" customWidth="1"/>
    <col min="6408" max="6654" width="9.140625" style="432"/>
    <col min="6655" max="6655" width="6.140625" style="432" customWidth="1"/>
    <col min="6656" max="6657" width="9.140625" style="432"/>
    <col min="6658" max="6658" width="5.85546875" style="432" customWidth="1"/>
    <col min="6659" max="6659" width="0.7109375" style="432" customWidth="1"/>
    <col min="6660" max="6660" width="15.7109375" style="432" customWidth="1"/>
    <col min="6661" max="6661" width="15.85546875" style="432" customWidth="1"/>
    <col min="6662" max="6662" width="15.7109375" style="432" customWidth="1"/>
    <col min="6663" max="6663" width="15.85546875" style="432" customWidth="1"/>
    <col min="6664" max="6910" width="9.140625" style="432"/>
    <col min="6911" max="6911" width="6.140625" style="432" customWidth="1"/>
    <col min="6912" max="6913" width="9.140625" style="432"/>
    <col min="6914" max="6914" width="5.85546875" style="432" customWidth="1"/>
    <col min="6915" max="6915" width="0.7109375" style="432" customWidth="1"/>
    <col min="6916" max="6916" width="15.7109375" style="432" customWidth="1"/>
    <col min="6917" max="6917" width="15.85546875" style="432" customWidth="1"/>
    <col min="6918" max="6918" width="15.7109375" style="432" customWidth="1"/>
    <col min="6919" max="6919" width="15.85546875" style="432" customWidth="1"/>
    <col min="6920" max="7166" width="9.140625" style="432"/>
    <col min="7167" max="7167" width="6.140625" style="432" customWidth="1"/>
    <col min="7168" max="7169" width="9.140625" style="432"/>
    <col min="7170" max="7170" width="5.85546875" style="432" customWidth="1"/>
    <col min="7171" max="7171" width="0.7109375" style="432" customWidth="1"/>
    <col min="7172" max="7172" width="15.7109375" style="432" customWidth="1"/>
    <col min="7173" max="7173" width="15.85546875" style="432" customWidth="1"/>
    <col min="7174" max="7174" width="15.7109375" style="432" customWidth="1"/>
    <col min="7175" max="7175" width="15.85546875" style="432" customWidth="1"/>
    <col min="7176" max="7422" width="9.140625" style="432"/>
    <col min="7423" max="7423" width="6.140625" style="432" customWidth="1"/>
    <col min="7424" max="7425" width="9.140625" style="432"/>
    <col min="7426" max="7426" width="5.85546875" style="432" customWidth="1"/>
    <col min="7427" max="7427" width="0.7109375" style="432" customWidth="1"/>
    <col min="7428" max="7428" width="15.7109375" style="432" customWidth="1"/>
    <col min="7429" max="7429" width="15.85546875" style="432" customWidth="1"/>
    <col min="7430" max="7430" width="15.7109375" style="432" customWidth="1"/>
    <col min="7431" max="7431" width="15.85546875" style="432" customWidth="1"/>
    <col min="7432" max="7678" width="9.140625" style="432"/>
    <col min="7679" max="7679" width="6.140625" style="432" customWidth="1"/>
    <col min="7680" max="7681" width="9.140625" style="432"/>
    <col min="7682" max="7682" width="5.85546875" style="432" customWidth="1"/>
    <col min="7683" max="7683" width="0.7109375" style="432" customWidth="1"/>
    <col min="7684" max="7684" width="15.7109375" style="432" customWidth="1"/>
    <col min="7685" max="7685" width="15.85546875" style="432" customWidth="1"/>
    <col min="7686" max="7686" width="15.7109375" style="432" customWidth="1"/>
    <col min="7687" max="7687" width="15.85546875" style="432" customWidth="1"/>
    <col min="7688" max="7934" width="9.140625" style="432"/>
    <col min="7935" max="7935" width="6.140625" style="432" customWidth="1"/>
    <col min="7936" max="7937" width="9.140625" style="432"/>
    <col min="7938" max="7938" width="5.85546875" style="432" customWidth="1"/>
    <col min="7939" max="7939" width="0.7109375" style="432" customWidth="1"/>
    <col min="7940" max="7940" width="15.7109375" style="432" customWidth="1"/>
    <col min="7941" max="7941" width="15.85546875" style="432" customWidth="1"/>
    <col min="7942" max="7942" width="15.7109375" style="432" customWidth="1"/>
    <col min="7943" max="7943" width="15.85546875" style="432" customWidth="1"/>
    <col min="7944" max="8190" width="9.140625" style="432"/>
    <col min="8191" max="8191" width="6.140625" style="432" customWidth="1"/>
    <col min="8192" max="8193" width="9.140625" style="432"/>
    <col min="8194" max="8194" width="5.85546875" style="432" customWidth="1"/>
    <col min="8195" max="8195" width="0.7109375" style="432" customWidth="1"/>
    <col min="8196" max="8196" width="15.7109375" style="432" customWidth="1"/>
    <col min="8197" max="8197" width="15.85546875" style="432" customWidth="1"/>
    <col min="8198" max="8198" width="15.7109375" style="432" customWidth="1"/>
    <col min="8199" max="8199" width="15.85546875" style="432" customWidth="1"/>
    <col min="8200" max="8446" width="9.140625" style="432"/>
    <col min="8447" max="8447" width="6.140625" style="432" customWidth="1"/>
    <col min="8448" max="8449" width="9.140625" style="432"/>
    <col min="8450" max="8450" width="5.85546875" style="432" customWidth="1"/>
    <col min="8451" max="8451" width="0.7109375" style="432" customWidth="1"/>
    <col min="8452" max="8452" width="15.7109375" style="432" customWidth="1"/>
    <col min="8453" max="8453" width="15.85546875" style="432" customWidth="1"/>
    <col min="8454" max="8454" width="15.7109375" style="432" customWidth="1"/>
    <col min="8455" max="8455" width="15.85546875" style="432" customWidth="1"/>
    <col min="8456" max="8702" width="9.140625" style="432"/>
    <col min="8703" max="8703" width="6.140625" style="432" customWidth="1"/>
    <col min="8704" max="8705" width="9.140625" style="432"/>
    <col min="8706" max="8706" width="5.85546875" style="432" customWidth="1"/>
    <col min="8707" max="8707" width="0.7109375" style="432" customWidth="1"/>
    <col min="8708" max="8708" width="15.7109375" style="432" customWidth="1"/>
    <col min="8709" max="8709" width="15.85546875" style="432" customWidth="1"/>
    <col min="8710" max="8710" width="15.7109375" style="432" customWidth="1"/>
    <col min="8711" max="8711" width="15.85546875" style="432" customWidth="1"/>
    <col min="8712" max="8958" width="9.140625" style="432"/>
    <col min="8959" max="8959" width="6.140625" style="432" customWidth="1"/>
    <col min="8960" max="8961" width="9.140625" style="432"/>
    <col min="8962" max="8962" width="5.85546875" style="432" customWidth="1"/>
    <col min="8963" max="8963" width="0.7109375" style="432" customWidth="1"/>
    <col min="8964" max="8964" width="15.7109375" style="432" customWidth="1"/>
    <col min="8965" max="8965" width="15.85546875" style="432" customWidth="1"/>
    <col min="8966" max="8966" width="15.7109375" style="432" customWidth="1"/>
    <col min="8967" max="8967" width="15.85546875" style="432" customWidth="1"/>
    <col min="8968" max="9214" width="9.140625" style="432"/>
    <col min="9215" max="9215" width="6.140625" style="432" customWidth="1"/>
    <col min="9216" max="9217" width="9.140625" style="432"/>
    <col min="9218" max="9218" width="5.85546875" style="432" customWidth="1"/>
    <col min="9219" max="9219" width="0.7109375" style="432" customWidth="1"/>
    <col min="9220" max="9220" width="15.7109375" style="432" customWidth="1"/>
    <col min="9221" max="9221" width="15.85546875" style="432" customWidth="1"/>
    <col min="9222" max="9222" width="15.7109375" style="432" customWidth="1"/>
    <col min="9223" max="9223" width="15.85546875" style="432" customWidth="1"/>
    <col min="9224" max="9470" width="9.140625" style="432"/>
    <col min="9471" max="9471" width="6.140625" style="432" customWidth="1"/>
    <col min="9472" max="9473" width="9.140625" style="432"/>
    <col min="9474" max="9474" width="5.85546875" style="432" customWidth="1"/>
    <col min="9475" max="9475" width="0.7109375" style="432" customWidth="1"/>
    <col min="9476" max="9476" width="15.7109375" style="432" customWidth="1"/>
    <col min="9477" max="9477" width="15.85546875" style="432" customWidth="1"/>
    <col min="9478" max="9478" width="15.7109375" style="432" customWidth="1"/>
    <col min="9479" max="9479" width="15.85546875" style="432" customWidth="1"/>
    <col min="9480" max="9726" width="9.140625" style="432"/>
    <col min="9727" max="9727" width="6.140625" style="432" customWidth="1"/>
    <col min="9728" max="9729" width="9.140625" style="432"/>
    <col min="9730" max="9730" width="5.85546875" style="432" customWidth="1"/>
    <col min="9731" max="9731" width="0.7109375" style="432" customWidth="1"/>
    <col min="9732" max="9732" width="15.7109375" style="432" customWidth="1"/>
    <col min="9733" max="9733" width="15.85546875" style="432" customWidth="1"/>
    <col min="9734" max="9734" width="15.7109375" style="432" customWidth="1"/>
    <col min="9735" max="9735" width="15.85546875" style="432" customWidth="1"/>
    <col min="9736" max="9982" width="9.140625" style="432"/>
    <col min="9983" max="9983" width="6.140625" style="432" customWidth="1"/>
    <col min="9984" max="9985" width="9.140625" style="432"/>
    <col min="9986" max="9986" width="5.85546875" style="432" customWidth="1"/>
    <col min="9987" max="9987" width="0.7109375" style="432" customWidth="1"/>
    <col min="9988" max="9988" width="15.7109375" style="432" customWidth="1"/>
    <col min="9989" max="9989" width="15.85546875" style="432" customWidth="1"/>
    <col min="9990" max="9990" width="15.7109375" style="432" customWidth="1"/>
    <col min="9991" max="9991" width="15.85546875" style="432" customWidth="1"/>
    <col min="9992" max="10238" width="9.140625" style="432"/>
    <col min="10239" max="10239" width="6.140625" style="432" customWidth="1"/>
    <col min="10240" max="10241" width="9.140625" style="432"/>
    <col min="10242" max="10242" width="5.85546875" style="432" customWidth="1"/>
    <col min="10243" max="10243" width="0.7109375" style="432" customWidth="1"/>
    <col min="10244" max="10244" width="15.7109375" style="432" customWidth="1"/>
    <col min="10245" max="10245" width="15.85546875" style="432" customWidth="1"/>
    <col min="10246" max="10246" width="15.7109375" style="432" customWidth="1"/>
    <col min="10247" max="10247" width="15.85546875" style="432" customWidth="1"/>
    <col min="10248" max="10494" width="9.140625" style="432"/>
    <col min="10495" max="10495" width="6.140625" style="432" customWidth="1"/>
    <col min="10496" max="10497" width="9.140625" style="432"/>
    <col min="10498" max="10498" width="5.85546875" style="432" customWidth="1"/>
    <col min="10499" max="10499" width="0.7109375" style="432" customWidth="1"/>
    <col min="10500" max="10500" width="15.7109375" style="432" customWidth="1"/>
    <col min="10501" max="10501" width="15.85546875" style="432" customWidth="1"/>
    <col min="10502" max="10502" width="15.7109375" style="432" customWidth="1"/>
    <col min="10503" max="10503" width="15.85546875" style="432" customWidth="1"/>
    <col min="10504" max="10750" width="9.140625" style="432"/>
    <col min="10751" max="10751" width="6.140625" style="432" customWidth="1"/>
    <col min="10752" max="10753" width="9.140625" style="432"/>
    <col min="10754" max="10754" width="5.85546875" style="432" customWidth="1"/>
    <col min="10755" max="10755" width="0.7109375" style="432" customWidth="1"/>
    <col min="10756" max="10756" width="15.7109375" style="432" customWidth="1"/>
    <col min="10757" max="10757" width="15.85546875" style="432" customWidth="1"/>
    <col min="10758" max="10758" width="15.7109375" style="432" customWidth="1"/>
    <col min="10759" max="10759" width="15.85546875" style="432" customWidth="1"/>
    <col min="10760" max="11006" width="9.140625" style="432"/>
    <col min="11007" max="11007" width="6.140625" style="432" customWidth="1"/>
    <col min="11008" max="11009" width="9.140625" style="432"/>
    <col min="11010" max="11010" width="5.85546875" style="432" customWidth="1"/>
    <col min="11011" max="11011" width="0.7109375" style="432" customWidth="1"/>
    <col min="11012" max="11012" width="15.7109375" style="432" customWidth="1"/>
    <col min="11013" max="11013" width="15.85546875" style="432" customWidth="1"/>
    <col min="11014" max="11014" width="15.7109375" style="432" customWidth="1"/>
    <col min="11015" max="11015" width="15.85546875" style="432" customWidth="1"/>
    <col min="11016" max="11262" width="9.140625" style="432"/>
    <col min="11263" max="11263" width="6.140625" style="432" customWidth="1"/>
    <col min="11264" max="11265" width="9.140625" style="432"/>
    <col min="11266" max="11266" width="5.85546875" style="432" customWidth="1"/>
    <col min="11267" max="11267" width="0.7109375" style="432" customWidth="1"/>
    <col min="11268" max="11268" width="15.7109375" style="432" customWidth="1"/>
    <col min="11269" max="11269" width="15.85546875" style="432" customWidth="1"/>
    <col min="11270" max="11270" width="15.7109375" style="432" customWidth="1"/>
    <col min="11271" max="11271" width="15.85546875" style="432" customWidth="1"/>
    <col min="11272" max="11518" width="9.140625" style="432"/>
    <col min="11519" max="11519" width="6.140625" style="432" customWidth="1"/>
    <col min="11520" max="11521" width="9.140625" style="432"/>
    <col min="11522" max="11522" width="5.85546875" style="432" customWidth="1"/>
    <col min="11523" max="11523" width="0.7109375" style="432" customWidth="1"/>
    <col min="11524" max="11524" width="15.7109375" style="432" customWidth="1"/>
    <col min="11525" max="11525" width="15.85546875" style="432" customWidth="1"/>
    <col min="11526" max="11526" width="15.7109375" style="432" customWidth="1"/>
    <col min="11527" max="11527" width="15.85546875" style="432" customWidth="1"/>
    <col min="11528" max="11774" width="9.140625" style="432"/>
    <col min="11775" max="11775" width="6.140625" style="432" customWidth="1"/>
    <col min="11776" max="11777" width="9.140625" style="432"/>
    <col min="11778" max="11778" width="5.85546875" style="432" customWidth="1"/>
    <col min="11779" max="11779" width="0.7109375" style="432" customWidth="1"/>
    <col min="11780" max="11780" width="15.7109375" style="432" customWidth="1"/>
    <col min="11781" max="11781" width="15.85546875" style="432" customWidth="1"/>
    <col min="11782" max="11782" width="15.7109375" style="432" customWidth="1"/>
    <col min="11783" max="11783" width="15.85546875" style="432" customWidth="1"/>
    <col min="11784" max="12030" width="9.140625" style="432"/>
    <col min="12031" max="12031" width="6.140625" style="432" customWidth="1"/>
    <col min="12032" max="12033" width="9.140625" style="432"/>
    <col min="12034" max="12034" width="5.85546875" style="432" customWidth="1"/>
    <col min="12035" max="12035" width="0.7109375" style="432" customWidth="1"/>
    <col min="12036" max="12036" width="15.7109375" style="432" customWidth="1"/>
    <col min="12037" max="12037" width="15.85546875" style="432" customWidth="1"/>
    <col min="12038" max="12038" width="15.7109375" style="432" customWidth="1"/>
    <col min="12039" max="12039" width="15.85546875" style="432" customWidth="1"/>
    <col min="12040" max="12286" width="9.140625" style="432"/>
    <col min="12287" max="12287" width="6.140625" style="432" customWidth="1"/>
    <col min="12288" max="12289" width="9.140625" style="432"/>
    <col min="12290" max="12290" width="5.85546875" style="432" customWidth="1"/>
    <col min="12291" max="12291" width="0.7109375" style="432" customWidth="1"/>
    <col min="12292" max="12292" width="15.7109375" style="432" customWidth="1"/>
    <col min="12293" max="12293" width="15.85546875" style="432" customWidth="1"/>
    <col min="12294" max="12294" width="15.7109375" style="432" customWidth="1"/>
    <col min="12295" max="12295" width="15.85546875" style="432" customWidth="1"/>
    <col min="12296" max="12542" width="9.140625" style="432"/>
    <col min="12543" max="12543" width="6.140625" style="432" customWidth="1"/>
    <col min="12544" max="12545" width="9.140625" style="432"/>
    <col min="12546" max="12546" width="5.85546875" style="432" customWidth="1"/>
    <col min="12547" max="12547" width="0.7109375" style="432" customWidth="1"/>
    <col min="12548" max="12548" width="15.7109375" style="432" customWidth="1"/>
    <col min="12549" max="12549" width="15.85546875" style="432" customWidth="1"/>
    <col min="12550" max="12550" width="15.7109375" style="432" customWidth="1"/>
    <col min="12551" max="12551" width="15.85546875" style="432" customWidth="1"/>
    <col min="12552" max="12798" width="9.140625" style="432"/>
    <col min="12799" max="12799" width="6.140625" style="432" customWidth="1"/>
    <col min="12800" max="12801" width="9.140625" style="432"/>
    <col min="12802" max="12802" width="5.85546875" style="432" customWidth="1"/>
    <col min="12803" max="12803" width="0.7109375" style="432" customWidth="1"/>
    <col min="12804" max="12804" width="15.7109375" style="432" customWidth="1"/>
    <col min="12805" max="12805" width="15.85546875" style="432" customWidth="1"/>
    <col min="12806" max="12806" width="15.7109375" style="432" customWidth="1"/>
    <col min="12807" max="12807" width="15.85546875" style="432" customWidth="1"/>
    <col min="12808" max="13054" width="9.140625" style="432"/>
    <col min="13055" max="13055" width="6.140625" style="432" customWidth="1"/>
    <col min="13056" max="13057" width="9.140625" style="432"/>
    <col min="13058" max="13058" width="5.85546875" style="432" customWidth="1"/>
    <col min="13059" max="13059" width="0.7109375" style="432" customWidth="1"/>
    <col min="13060" max="13060" width="15.7109375" style="432" customWidth="1"/>
    <col min="13061" max="13061" width="15.85546875" style="432" customWidth="1"/>
    <col min="13062" max="13062" width="15.7109375" style="432" customWidth="1"/>
    <col min="13063" max="13063" width="15.85546875" style="432" customWidth="1"/>
    <col min="13064" max="13310" width="9.140625" style="432"/>
    <col min="13311" max="13311" width="6.140625" style="432" customWidth="1"/>
    <col min="13312" max="13313" width="9.140625" style="432"/>
    <col min="13314" max="13314" width="5.85546875" style="432" customWidth="1"/>
    <col min="13315" max="13315" width="0.7109375" style="432" customWidth="1"/>
    <col min="13316" max="13316" width="15.7109375" style="432" customWidth="1"/>
    <col min="13317" max="13317" width="15.85546875" style="432" customWidth="1"/>
    <col min="13318" max="13318" width="15.7109375" style="432" customWidth="1"/>
    <col min="13319" max="13319" width="15.85546875" style="432" customWidth="1"/>
    <col min="13320" max="13566" width="9.140625" style="432"/>
    <col min="13567" max="13567" width="6.140625" style="432" customWidth="1"/>
    <col min="13568" max="13569" width="9.140625" style="432"/>
    <col min="13570" max="13570" width="5.85546875" style="432" customWidth="1"/>
    <col min="13571" max="13571" width="0.7109375" style="432" customWidth="1"/>
    <col min="13572" max="13572" width="15.7109375" style="432" customWidth="1"/>
    <col min="13573" max="13573" width="15.85546875" style="432" customWidth="1"/>
    <col min="13574" max="13574" width="15.7109375" style="432" customWidth="1"/>
    <col min="13575" max="13575" width="15.85546875" style="432" customWidth="1"/>
    <col min="13576" max="13822" width="9.140625" style="432"/>
    <col min="13823" max="13823" width="6.140625" style="432" customWidth="1"/>
    <col min="13824" max="13825" width="9.140625" style="432"/>
    <col min="13826" max="13826" width="5.85546875" style="432" customWidth="1"/>
    <col min="13827" max="13827" width="0.7109375" style="432" customWidth="1"/>
    <col min="13828" max="13828" width="15.7109375" style="432" customWidth="1"/>
    <col min="13829" max="13829" width="15.85546875" style="432" customWidth="1"/>
    <col min="13830" max="13830" width="15.7109375" style="432" customWidth="1"/>
    <col min="13831" max="13831" width="15.85546875" style="432" customWidth="1"/>
    <col min="13832" max="14078" width="9.140625" style="432"/>
    <col min="14079" max="14079" width="6.140625" style="432" customWidth="1"/>
    <col min="14080" max="14081" width="9.140625" style="432"/>
    <col min="14082" max="14082" width="5.85546875" style="432" customWidth="1"/>
    <col min="14083" max="14083" width="0.7109375" style="432" customWidth="1"/>
    <col min="14084" max="14084" width="15.7109375" style="432" customWidth="1"/>
    <col min="14085" max="14085" width="15.85546875" style="432" customWidth="1"/>
    <col min="14086" max="14086" width="15.7109375" style="432" customWidth="1"/>
    <col min="14087" max="14087" width="15.85546875" style="432" customWidth="1"/>
    <col min="14088" max="14334" width="9.140625" style="432"/>
    <col min="14335" max="14335" width="6.140625" style="432" customWidth="1"/>
    <col min="14336" max="14337" width="9.140625" style="432"/>
    <col min="14338" max="14338" width="5.85546875" style="432" customWidth="1"/>
    <col min="14339" max="14339" width="0.7109375" style="432" customWidth="1"/>
    <col min="14340" max="14340" width="15.7109375" style="432" customWidth="1"/>
    <col min="14341" max="14341" width="15.85546875" style="432" customWidth="1"/>
    <col min="14342" max="14342" width="15.7109375" style="432" customWidth="1"/>
    <col min="14343" max="14343" width="15.85546875" style="432" customWidth="1"/>
    <col min="14344" max="14590" width="9.140625" style="432"/>
    <col min="14591" max="14591" width="6.140625" style="432" customWidth="1"/>
    <col min="14592" max="14593" width="9.140625" style="432"/>
    <col min="14594" max="14594" width="5.85546875" style="432" customWidth="1"/>
    <col min="14595" max="14595" width="0.7109375" style="432" customWidth="1"/>
    <col min="14596" max="14596" width="15.7109375" style="432" customWidth="1"/>
    <col min="14597" max="14597" width="15.85546875" style="432" customWidth="1"/>
    <col min="14598" max="14598" width="15.7109375" style="432" customWidth="1"/>
    <col min="14599" max="14599" width="15.85546875" style="432" customWidth="1"/>
    <col min="14600" max="14846" width="9.140625" style="432"/>
    <col min="14847" max="14847" width="6.140625" style="432" customWidth="1"/>
    <col min="14848" max="14849" width="9.140625" style="432"/>
    <col min="14850" max="14850" width="5.85546875" style="432" customWidth="1"/>
    <col min="14851" max="14851" width="0.7109375" style="432" customWidth="1"/>
    <col min="14852" max="14852" width="15.7109375" style="432" customWidth="1"/>
    <col min="14853" max="14853" width="15.85546875" style="432" customWidth="1"/>
    <col min="14854" max="14854" width="15.7109375" style="432" customWidth="1"/>
    <col min="14855" max="14855" width="15.85546875" style="432" customWidth="1"/>
    <col min="14856" max="15102" width="9.140625" style="432"/>
    <col min="15103" max="15103" width="6.140625" style="432" customWidth="1"/>
    <col min="15104" max="15105" width="9.140625" style="432"/>
    <col min="15106" max="15106" width="5.85546875" style="432" customWidth="1"/>
    <col min="15107" max="15107" width="0.7109375" style="432" customWidth="1"/>
    <col min="15108" max="15108" width="15.7109375" style="432" customWidth="1"/>
    <col min="15109" max="15109" width="15.85546875" style="432" customWidth="1"/>
    <col min="15110" max="15110" width="15.7109375" style="432" customWidth="1"/>
    <col min="15111" max="15111" width="15.85546875" style="432" customWidth="1"/>
    <col min="15112" max="15358" width="9.140625" style="432"/>
    <col min="15359" max="15359" width="6.140625" style="432" customWidth="1"/>
    <col min="15360" max="15361" width="9.140625" style="432"/>
    <col min="15362" max="15362" width="5.85546875" style="432" customWidth="1"/>
    <col min="15363" max="15363" width="0.7109375" style="432" customWidth="1"/>
    <col min="15364" max="15364" width="15.7109375" style="432" customWidth="1"/>
    <col min="15365" max="15365" width="15.85546875" style="432" customWidth="1"/>
    <col min="15366" max="15366" width="15.7109375" style="432" customWidth="1"/>
    <col min="15367" max="15367" width="15.85546875" style="432" customWidth="1"/>
    <col min="15368" max="15614" width="9.140625" style="432"/>
    <col min="15615" max="15615" width="6.140625" style="432" customWidth="1"/>
    <col min="15616" max="15617" width="9.140625" style="432"/>
    <col min="15618" max="15618" width="5.85546875" style="432" customWidth="1"/>
    <col min="15619" max="15619" width="0.7109375" style="432" customWidth="1"/>
    <col min="15620" max="15620" width="15.7109375" style="432" customWidth="1"/>
    <col min="15621" max="15621" width="15.85546875" style="432" customWidth="1"/>
    <col min="15622" max="15622" width="15.7109375" style="432" customWidth="1"/>
    <col min="15623" max="15623" width="15.85546875" style="432" customWidth="1"/>
    <col min="15624" max="15870" width="9.140625" style="432"/>
    <col min="15871" max="15871" width="6.140625" style="432" customWidth="1"/>
    <col min="15872" max="15873" width="9.140625" style="432"/>
    <col min="15874" max="15874" width="5.85546875" style="432" customWidth="1"/>
    <col min="15875" max="15875" width="0.7109375" style="432" customWidth="1"/>
    <col min="15876" max="15876" width="15.7109375" style="432" customWidth="1"/>
    <col min="15877" max="15877" width="15.85546875" style="432" customWidth="1"/>
    <col min="15878" max="15878" width="15.7109375" style="432" customWidth="1"/>
    <col min="15879" max="15879" width="15.85546875" style="432" customWidth="1"/>
    <col min="15880" max="16126" width="9.140625" style="432"/>
    <col min="16127" max="16127" width="6.140625" style="432" customWidth="1"/>
    <col min="16128" max="16129" width="9.140625" style="432"/>
    <col min="16130" max="16130" width="5.85546875" style="432" customWidth="1"/>
    <col min="16131" max="16131" width="0.7109375" style="432" customWidth="1"/>
    <col min="16132" max="16132" width="15.7109375" style="432" customWidth="1"/>
    <col min="16133" max="16133" width="15.85546875" style="432" customWidth="1"/>
    <col min="16134" max="16134" width="15.7109375" style="432" customWidth="1"/>
    <col min="16135" max="16135" width="15.85546875" style="432" customWidth="1"/>
    <col min="16136" max="16384" width="9.140625" style="432"/>
  </cols>
  <sheetData>
    <row r="1" spans="2:8" ht="18">
      <c r="B1" s="2080" t="s">
        <v>1520</v>
      </c>
      <c r="C1" s="2080"/>
      <c r="D1" s="2080"/>
      <c r="E1" s="2080"/>
      <c r="F1" s="2080"/>
      <c r="G1" s="2080"/>
    </row>
    <row r="2" spans="2:8" ht="18">
      <c r="B2" s="1781"/>
      <c r="C2" s="1781"/>
      <c r="D2" s="1782"/>
      <c r="E2" s="1809"/>
      <c r="F2" s="1809"/>
      <c r="G2" s="1841"/>
    </row>
    <row r="3" spans="2:8" ht="18">
      <c r="B3" s="2110" t="s">
        <v>1521</v>
      </c>
      <c r="C3" s="2110"/>
      <c r="D3" s="2110"/>
      <c r="E3" s="2110"/>
      <c r="F3" s="1810"/>
      <c r="G3" s="1842"/>
    </row>
    <row r="4" spans="2:8" ht="18">
      <c r="B4" s="2110" t="s">
        <v>1299</v>
      </c>
      <c r="C4" s="2110"/>
      <c r="D4" s="2110"/>
      <c r="E4" s="2110"/>
      <c r="F4" s="1811"/>
      <c r="G4" s="1842"/>
    </row>
    <row r="5" spans="2:8" ht="18">
      <c r="B5" s="2110" t="s">
        <v>1522</v>
      </c>
      <c r="C5" s="2110"/>
      <c r="D5" s="2110"/>
      <c r="E5" s="2110"/>
      <c r="F5" s="1811"/>
      <c r="G5" s="1843"/>
    </row>
    <row r="6" spans="2:8" ht="18">
      <c r="B6" s="2110" t="s">
        <v>1523</v>
      </c>
      <c r="C6" s="2110"/>
      <c r="D6" s="2110"/>
      <c r="E6" s="2110"/>
      <c r="F6" s="1808"/>
      <c r="G6" s="1843"/>
    </row>
    <row r="7" spans="2:8" ht="18">
      <c r="B7" s="2110" t="s">
        <v>1784</v>
      </c>
      <c r="C7" s="2110"/>
      <c r="D7" s="2110"/>
      <c r="E7" s="2110"/>
      <c r="F7" s="1808"/>
      <c r="G7" s="1843"/>
    </row>
    <row r="8" spans="2:8" ht="18">
      <c r="B8" s="1783"/>
      <c r="C8" s="1783"/>
      <c r="D8" s="1781"/>
      <c r="E8" s="1808"/>
      <c r="F8" s="1808"/>
      <c r="G8" s="1843"/>
    </row>
    <row r="9" spans="2:8" ht="18">
      <c r="B9" s="1783"/>
      <c r="C9" s="1783"/>
      <c r="D9" s="1781"/>
      <c r="E9" s="1808"/>
      <c r="F9" s="1808"/>
      <c r="G9" s="1843"/>
    </row>
    <row r="10" spans="2:8" ht="18">
      <c r="B10" s="1783"/>
      <c r="C10" s="1783"/>
      <c r="D10" s="1781"/>
      <c r="E10" s="1808"/>
      <c r="F10" s="1808"/>
      <c r="G10" s="1843"/>
    </row>
    <row r="11" spans="2:8" ht="18">
      <c r="B11" s="2087" t="s">
        <v>1301</v>
      </c>
      <c r="C11" s="2087"/>
      <c r="D11" s="2087"/>
      <c r="E11" s="2087"/>
      <c r="F11" s="2087"/>
      <c r="G11" s="2087"/>
    </row>
    <row r="12" spans="2:8">
      <c r="B12" s="1844"/>
      <c r="C12" s="1844"/>
      <c r="D12" s="1843"/>
      <c r="E12" s="1843"/>
      <c r="F12" s="1843"/>
      <c r="G12" s="1843"/>
    </row>
    <row r="13" spans="2:8">
      <c r="B13" s="1844"/>
      <c r="C13" s="1844"/>
      <c r="D13" s="1843"/>
      <c r="E13" s="1843"/>
      <c r="F13" s="1843"/>
      <c r="G13" s="1843"/>
    </row>
    <row r="14" spans="2:8">
      <c r="B14" s="1844"/>
      <c r="C14" s="1844"/>
      <c r="D14" s="1843"/>
      <c r="E14" s="1843"/>
      <c r="F14" s="1843"/>
      <c r="G14" s="1843"/>
    </row>
    <row r="15" spans="2:8" ht="15.75">
      <c r="B15" s="2167" t="s">
        <v>1302</v>
      </c>
      <c r="C15" s="2170" t="s">
        <v>0</v>
      </c>
      <c r="D15" s="2171" t="s">
        <v>1303</v>
      </c>
      <c r="E15" s="2171"/>
      <c r="F15" s="2171" t="s">
        <v>1304</v>
      </c>
      <c r="G15" s="2172"/>
      <c r="H15" s="386"/>
    </row>
    <row r="16" spans="2:8" ht="15.75">
      <c r="B16" s="2168"/>
      <c r="C16" s="2170"/>
      <c r="D16" s="1845" t="s">
        <v>1305</v>
      </c>
      <c r="E16" s="1845" t="s">
        <v>1306</v>
      </c>
      <c r="F16" s="1845" t="s">
        <v>1305</v>
      </c>
      <c r="G16" s="1846" t="s">
        <v>1306</v>
      </c>
      <c r="H16" s="386"/>
    </row>
    <row r="17" spans="2:8" ht="15.75">
      <c r="B17" s="2169"/>
      <c r="C17" s="2170"/>
      <c r="D17" s="1847" t="s">
        <v>1307</v>
      </c>
      <c r="E17" s="1847" t="s">
        <v>1308</v>
      </c>
      <c r="F17" s="1847" t="s">
        <v>1307</v>
      </c>
      <c r="G17" s="1848" t="s">
        <v>1308</v>
      </c>
      <c r="H17" s="386"/>
    </row>
    <row r="18" spans="2:8" ht="15.75">
      <c r="B18" s="1849"/>
      <c r="C18" s="1850" t="s">
        <v>1309</v>
      </c>
      <c r="D18" s="1851"/>
      <c r="E18" s="1852"/>
      <c r="F18" s="1853"/>
      <c r="G18" s="1854"/>
      <c r="H18" s="386"/>
    </row>
    <row r="19" spans="2:8" ht="15.75">
      <c r="B19" s="1849">
        <v>1</v>
      </c>
      <c r="C19" s="1855" t="s">
        <v>1310</v>
      </c>
      <c r="D19" s="1856">
        <v>267212.38</v>
      </c>
      <c r="E19" s="1856">
        <f>'Emer. &amp; Wait. Meas.'!I17</f>
        <v>130039.76699999999</v>
      </c>
      <c r="F19" s="1857">
        <f t="shared" ref="F19:G21" si="0">D19</f>
        <v>267212.38</v>
      </c>
      <c r="G19" s="1858">
        <f t="shared" si="0"/>
        <v>130039.76699999999</v>
      </c>
      <c r="H19" s="386"/>
    </row>
    <row r="20" spans="2:8" ht="15.75">
      <c r="B20" s="1849">
        <v>2</v>
      </c>
      <c r="C20" s="1855" t="s">
        <v>1311</v>
      </c>
      <c r="D20" s="1856">
        <v>517780</v>
      </c>
      <c r="E20" s="1856">
        <f>'Emer. &amp; Wait. Meas.'!I35</f>
        <v>416748.26580000005</v>
      </c>
      <c r="F20" s="1857">
        <f t="shared" si="0"/>
        <v>517780</v>
      </c>
      <c r="G20" s="1858">
        <f t="shared" si="0"/>
        <v>416748.26580000005</v>
      </c>
      <c r="H20" s="386"/>
    </row>
    <row r="21" spans="2:8" ht="15.75">
      <c r="B21" s="1849">
        <v>3</v>
      </c>
      <c r="C21" s="1855" t="s">
        <v>1312</v>
      </c>
      <c r="D21" s="1856">
        <v>216850</v>
      </c>
      <c r="E21" s="1856">
        <f>'Emer. &amp; Wait. Meas.'!I39</f>
        <v>86197.930000000008</v>
      </c>
      <c r="F21" s="1857">
        <f t="shared" si="0"/>
        <v>216850</v>
      </c>
      <c r="G21" s="1858">
        <f t="shared" si="0"/>
        <v>86197.930000000008</v>
      </c>
      <c r="H21" s="386"/>
    </row>
    <row r="22" spans="2:8" ht="15.75">
      <c r="B22" s="1849"/>
      <c r="C22" s="1859" t="s">
        <v>1313</v>
      </c>
      <c r="D22" s="1856">
        <f>SUM(D19:D21)</f>
        <v>1001842.38</v>
      </c>
      <c r="E22" s="1856">
        <f>SUM(E19:E21)</f>
        <v>632985.9628000001</v>
      </c>
      <c r="F22" s="1858">
        <f>SUM(F19:F21)</f>
        <v>1001842.38</v>
      </c>
      <c r="G22" s="1858">
        <f>SUM(G19:G21)</f>
        <v>632985.9628000001</v>
      </c>
      <c r="H22" s="386"/>
    </row>
    <row r="23" spans="2:8" ht="15.75">
      <c r="B23" s="1849"/>
      <c r="C23" s="1860" t="s">
        <v>1314</v>
      </c>
      <c r="D23" s="1856"/>
      <c r="E23" s="1856"/>
      <c r="F23" s="1857">
        <f>D23</f>
        <v>0</v>
      </c>
      <c r="G23" s="1858">
        <f>E23</f>
        <v>0</v>
      </c>
      <c r="H23" s="386"/>
    </row>
    <row r="24" spans="2:8" ht="15.75">
      <c r="B24" s="1849">
        <v>1</v>
      </c>
      <c r="C24" s="1855" t="s">
        <v>1311</v>
      </c>
      <c r="D24" s="1856">
        <v>211086</v>
      </c>
      <c r="E24" s="1856">
        <f>'Emer. &amp; Wait. Meas.'!I54</f>
        <v>191445.01856000003</v>
      </c>
      <c r="F24" s="1857">
        <f>D24</f>
        <v>211086</v>
      </c>
      <c r="G24" s="1858">
        <f>E24</f>
        <v>191445.01856000003</v>
      </c>
      <c r="H24" s="386"/>
    </row>
    <row r="25" spans="2:8" ht="15.75">
      <c r="B25" s="1849">
        <v>2</v>
      </c>
      <c r="C25" s="1861" t="s">
        <v>1594</v>
      </c>
      <c r="D25" s="1856">
        <v>192560</v>
      </c>
      <c r="E25" s="1856">
        <f>'Emer. &amp; Wait. Meas.'!I58</f>
        <v>148121.959</v>
      </c>
      <c r="F25" s="1857">
        <f t="shared" ref="F25:G33" si="1">D25</f>
        <v>192560</v>
      </c>
      <c r="G25" s="1858">
        <f t="shared" si="1"/>
        <v>148121.959</v>
      </c>
      <c r="H25" s="386"/>
    </row>
    <row r="26" spans="2:8" ht="15.75">
      <c r="B26" s="1849">
        <v>3</v>
      </c>
      <c r="C26" s="1855" t="s">
        <v>1316</v>
      </c>
      <c r="D26" s="1856">
        <v>257176.8</v>
      </c>
      <c r="E26" s="1856">
        <f>'Emer. &amp; Wait. Meas.'!I64</f>
        <v>171282.50000000003</v>
      </c>
      <c r="F26" s="1857">
        <f t="shared" si="1"/>
        <v>257176.8</v>
      </c>
      <c r="G26" s="1858">
        <f t="shared" si="1"/>
        <v>171282.50000000003</v>
      </c>
      <c r="H26" s="386"/>
    </row>
    <row r="27" spans="2:8" ht="15.75">
      <c r="B27" s="1849">
        <v>4</v>
      </c>
      <c r="C27" s="1855" t="s">
        <v>1595</v>
      </c>
      <c r="D27" s="1856">
        <v>116218.84</v>
      </c>
      <c r="E27" s="1856">
        <f>'Emer. &amp; Wait. Meas.'!I73</f>
        <v>88012.440000000017</v>
      </c>
      <c r="F27" s="1857">
        <f t="shared" si="1"/>
        <v>116218.84</v>
      </c>
      <c r="G27" s="1858">
        <f t="shared" si="1"/>
        <v>88012.440000000017</v>
      </c>
      <c r="H27" s="386"/>
    </row>
    <row r="28" spans="2:8" ht="15.75">
      <c r="B28" s="1849">
        <v>5</v>
      </c>
      <c r="C28" s="1855" t="s">
        <v>1318</v>
      </c>
      <c r="D28" s="1856">
        <v>167365.75</v>
      </c>
      <c r="E28" s="1856">
        <f>'Emer. &amp; Wait. Meas.'!I87</f>
        <v>87850.5</v>
      </c>
      <c r="F28" s="1857">
        <f t="shared" si="1"/>
        <v>167365.75</v>
      </c>
      <c r="G28" s="1858">
        <f t="shared" si="1"/>
        <v>87850.5</v>
      </c>
      <c r="H28" s="386"/>
    </row>
    <row r="29" spans="2:8" ht="15.75">
      <c r="B29" s="1849">
        <v>6</v>
      </c>
      <c r="C29" s="1855" t="s">
        <v>1319</v>
      </c>
      <c r="D29" s="1856">
        <v>526925</v>
      </c>
      <c r="E29" s="1856">
        <f>'Emer. &amp; Wait. Meas.'!I99</f>
        <v>504417.43500000006</v>
      </c>
      <c r="F29" s="1857">
        <f t="shared" si="1"/>
        <v>526925</v>
      </c>
      <c r="G29" s="1858">
        <f t="shared" si="1"/>
        <v>504417.43500000006</v>
      </c>
      <c r="H29" s="386"/>
    </row>
    <row r="30" spans="2:8" ht="15.75">
      <c r="B30" s="1849">
        <v>7</v>
      </c>
      <c r="C30" s="1862" t="s">
        <v>1320</v>
      </c>
      <c r="D30" s="1856">
        <v>40992</v>
      </c>
      <c r="E30" s="1856">
        <f>'Emer. &amp; Wait. Meas.'!I104</f>
        <v>26051.078666666672</v>
      </c>
      <c r="F30" s="1857">
        <f t="shared" si="1"/>
        <v>40992</v>
      </c>
      <c r="G30" s="1858">
        <f t="shared" si="1"/>
        <v>26051.078666666672</v>
      </c>
      <c r="H30" s="386"/>
    </row>
    <row r="31" spans="2:8" ht="15.75">
      <c r="B31" s="1849">
        <v>8</v>
      </c>
      <c r="C31" s="1862" t="s">
        <v>1321</v>
      </c>
      <c r="D31" s="1856">
        <v>13525</v>
      </c>
      <c r="E31" s="1856">
        <v>0</v>
      </c>
      <c r="F31" s="1857">
        <f t="shared" si="1"/>
        <v>13525</v>
      </c>
      <c r="G31" s="1858">
        <f t="shared" si="1"/>
        <v>0</v>
      </c>
      <c r="H31" s="386"/>
    </row>
    <row r="32" spans="2:8" ht="15.75">
      <c r="B32" s="1849">
        <v>9</v>
      </c>
      <c r="C32" s="1862" t="s">
        <v>1322</v>
      </c>
      <c r="D32" s="1856">
        <v>64630</v>
      </c>
      <c r="E32" s="1856">
        <f>'Emer. &amp; Wait. Meas.'!I124</f>
        <v>11541.55</v>
      </c>
      <c r="F32" s="1857">
        <f t="shared" si="1"/>
        <v>64630</v>
      </c>
      <c r="G32" s="1858">
        <f t="shared" si="1"/>
        <v>11541.55</v>
      </c>
      <c r="H32" s="386"/>
    </row>
    <row r="33" spans="2:8" ht="15.75">
      <c r="B33" s="1849">
        <v>10</v>
      </c>
      <c r="C33" s="1862" t="s">
        <v>1323</v>
      </c>
      <c r="D33" s="1856">
        <v>122834.53</v>
      </c>
      <c r="E33" s="1856">
        <f>'Emer. &amp; Wait. Meas.'!I157</f>
        <v>121020</v>
      </c>
      <c r="F33" s="1857">
        <f t="shared" si="1"/>
        <v>122834.53</v>
      </c>
      <c r="G33" s="1858">
        <f t="shared" si="1"/>
        <v>121020</v>
      </c>
      <c r="H33" s="386"/>
    </row>
    <row r="34" spans="2:8" ht="15.75">
      <c r="B34" s="1849"/>
      <c r="C34" s="1859" t="s">
        <v>1324</v>
      </c>
      <c r="D34" s="1856">
        <f>SUM(D24:D33)</f>
        <v>1713313.9200000002</v>
      </c>
      <c r="E34" s="1856">
        <f>SUM(E24:E33)</f>
        <v>1349742.4812266668</v>
      </c>
      <c r="F34" s="1857">
        <f>SUM(F23:F33)</f>
        <v>1713313.9200000002</v>
      </c>
      <c r="G34" s="1858">
        <f>SUM(G23:G33)</f>
        <v>1349742.4812266668</v>
      </c>
      <c r="H34" s="386"/>
    </row>
    <row r="35" spans="2:8" ht="16.5" thickBot="1">
      <c r="B35" s="1863"/>
      <c r="C35" s="1864" t="s">
        <v>1325</v>
      </c>
      <c r="D35" s="1865">
        <f>D22+D34</f>
        <v>2715156.3000000003</v>
      </c>
      <c r="E35" s="1865">
        <f>E22+E34</f>
        <v>1982728.4440266669</v>
      </c>
      <c r="F35" s="1866">
        <f>F22+F34</f>
        <v>2715156.3000000003</v>
      </c>
      <c r="G35" s="1867">
        <f>G22+G34</f>
        <v>1982728.4440266669</v>
      </c>
      <c r="H35" s="386"/>
    </row>
    <row r="36" spans="2:8" ht="16.5" thickTop="1">
      <c r="B36" s="1851"/>
      <c r="C36" s="1851"/>
      <c r="D36" s="1851"/>
      <c r="E36" s="1851"/>
      <c r="F36" s="1851"/>
      <c r="G36" s="1851"/>
      <c r="H36" s="386"/>
    </row>
    <row r="37" spans="2:8" ht="15.75">
      <c r="B37" s="1868"/>
      <c r="C37" s="1868"/>
      <c r="D37" s="1868"/>
      <c r="E37" s="1868"/>
      <c r="F37" s="1868"/>
      <c r="G37" s="1851"/>
      <c r="H37" s="386"/>
    </row>
    <row r="38" spans="2:8" ht="15.75">
      <c r="B38" s="2173"/>
      <c r="C38" s="2173"/>
      <c r="D38" s="2173"/>
      <c r="E38" s="2173"/>
      <c r="F38" s="2173"/>
      <c r="G38" s="2173"/>
      <c r="H38" s="386"/>
    </row>
    <row r="39" spans="2:8" ht="15.75">
      <c r="B39" s="1868" t="s">
        <v>1326</v>
      </c>
      <c r="C39" s="1868"/>
      <c r="D39" s="1868"/>
      <c r="E39" s="1868"/>
      <c r="F39" s="1868"/>
      <c r="G39" s="1851"/>
      <c r="H39" s="386"/>
    </row>
    <row r="40" spans="2:8" ht="15.75">
      <c r="B40" s="1868" t="s">
        <v>3533</v>
      </c>
      <c r="C40" s="1868"/>
      <c r="D40" s="1868"/>
      <c r="E40" s="1869"/>
      <c r="F40" s="1868"/>
      <c r="G40" s="1851"/>
      <c r="H40" s="386"/>
    </row>
    <row r="41" spans="2:8" ht="15.75">
      <c r="B41" s="1868"/>
      <c r="C41" s="1868"/>
      <c r="D41" s="1868"/>
      <c r="E41" s="1869"/>
      <c r="F41" s="1868"/>
      <c r="G41" s="1851"/>
      <c r="H41" s="386"/>
    </row>
    <row r="42" spans="2:8" ht="15.75">
      <c r="B42" s="1868"/>
      <c r="C42" s="1868"/>
      <c r="D42" s="1868"/>
      <c r="E42" s="1869"/>
      <c r="F42" s="1868"/>
      <c r="G42" s="1851"/>
      <c r="H42" s="386"/>
    </row>
    <row r="43" spans="2:8" ht="15.75">
      <c r="B43" s="1868"/>
      <c r="C43" s="1868"/>
      <c r="D43" s="1868"/>
      <c r="E43" s="1869"/>
      <c r="F43" s="1868"/>
      <c r="G43" s="1851"/>
      <c r="H43" s="386"/>
    </row>
    <row r="44" spans="2:8" ht="15.75">
      <c r="B44" s="1868"/>
      <c r="C44" s="1868"/>
      <c r="D44" s="1868"/>
      <c r="E44" s="1869"/>
      <c r="F44" s="1868"/>
      <c r="G44" s="1851"/>
      <c r="H44" s="386"/>
    </row>
    <row r="45" spans="2:8" ht="15.75">
      <c r="B45" s="1868"/>
      <c r="C45" s="1868"/>
      <c r="D45" s="1868"/>
      <c r="E45" s="1869"/>
      <c r="F45" s="1868"/>
      <c r="G45" s="1851"/>
      <c r="H45" s="386"/>
    </row>
    <row r="46" spans="2:8" ht="15.75">
      <c r="B46" s="1868"/>
      <c r="C46" s="1868"/>
      <c r="D46" s="1868"/>
      <c r="E46" s="1869"/>
      <c r="F46" s="1868"/>
      <c r="G46" s="1851"/>
      <c r="H46" s="386"/>
    </row>
    <row r="47" spans="2:8" ht="15.75">
      <c r="B47" s="1851"/>
      <c r="C47" s="1851"/>
      <c r="D47" s="1851"/>
      <c r="E47" s="1851"/>
      <c r="F47" s="1851"/>
      <c r="G47" s="1851"/>
      <c r="H47" s="386"/>
    </row>
    <row r="48" spans="2:8" ht="15.75">
      <c r="B48" s="1851"/>
      <c r="C48" s="1851"/>
      <c r="D48" s="1851"/>
      <c r="E48" s="1851"/>
      <c r="F48" s="1851"/>
      <c r="G48" s="1851"/>
      <c r="H48" s="386"/>
    </row>
    <row r="49" spans="2:8" ht="15.75">
      <c r="B49" s="1851"/>
      <c r="C49" s="1851"/>
      <c r="D49" s="1851"/>
      <c r="E49" s="1851"/>
      <c r="F49" s="1851"/>
      <c r="G49" s="1851"/>
      <c r="H49" s="386"/>
    </row>
    <row r="50" spans="2:8" ht="15.75">
      <c r="B50" s="1851" t="s">
        <v>1327</v>
      </c>
      <c r="C50" s="1851"/>
      <c r="D50" s="2166"/>
      <c r="E50" s="2166"/>
      <c r="F50" s="2166" t="s">
        <v>1329</v>
      </c>
      <c r="G50" s="2166"/>
      <c r="H50" s="386"/>
    </row>
  </sheetData>
  <mergeCells count="14">
    <mergeCell ref="B1:G1"/>
    <mergeCell ref="B3:E3"/>
    <mergeCell ref="B4:E4"/>
    <mergeCell ref="D50:E50"/>
    <mergeCell ref="F50:G50"/>
    <mergeCell ref="B15:B17"/>
    <mergeCell ref="C15:C17"/>
    <mergeCell ref="D15:E15"/>
    <mergeCell ref="F15:G15"/>
    <mergeCell ref="B5:E5"/>
    <mergeCell ref="B6:E6"/>
    <mergeCell ref="B7:E7"/>
    <mergeCell ref="B11:G11"/>
    <mergeCell ref="B38:G38"/>
  </mergeCells>
  <pageMargins left="0.45" right="0.45" top="1" bottom="0.75" header="0.3" footer="0.3"/>
  <pageSetup scale="91"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0000"/>
  </sheetPr>
  <dimension ref="B1:N157"/>
  <sheetViews>
    <sheetView view="pageBreakPreview" topLeftCell="A82" zoomScaleSheetLayoutView="100" zoomScalePageLayoutView="85" workbookViewId="0">
      <selection activeCell="C94" sqref="C94"/>
    </sheetView>
  </sheetViews>
  <sheetFormatPr defaultRowHeight="15.75" customHeight="1"/>
  <cols>
    <col min="1" max="1" width="6" style="1307" customWidth="1"/>
    <col min="2" max="2" width="6.7109375" style="1308" customWidth="1"/>
    <col min="3" max="3" width="47.42578125" style="1307" customWidth="1"/>
    <col min="4" max="4" width="5.140625" style="1308" bestFit="1" customWidth="1"/>
    <col min="5" max="5" width="9" style="1308" bestFit="1" customWidth="1"/>
    <col min="6" max="6" width="10" style="1308" customWidth="1"/>
    <col min="7" max="7" width="13.7109375" style="1308" customWidth="1"/>
    <col min="8" max="8" width="9" style="1308" bestFit="1" customWidth="1"/>
    <col min="9" max="9" width="14.140625" style="1308" customWidth="1"/>
    <col min="10" max="10" width="2.42578125" style="1307" customWidth="1"/>
    <col min="11" max="11" width="9.140625" style="1307"/>
    <col min="12" max="12" width="13.42578125" style="1307" customWidth="1"/>
    <col min="13" max="256" width="9.140625" style="1307"/>
    <col min="257" max="257" width="5.85546875" style="1307" customWidth="1"/>
    <col min="258" max="258" width="41.7109375" style="1307" customWidth="1"/>
    <col min="259" max="259" width="7.7109375" style="1307" customWidth="1"/>
    <col min="260" max="260" width="0" style="1307" hidden="1" customWidth="1"/>
    <col min="261" max="261" width="10.7109375" style="1307" customWidth="1"/>
    <col min="262" max="262" width="12.28515625" style="1307" customWidth="1"/>
    <col min="263" max="263" width="12.140625" style="1307" customWidth="1"/>
    <col min="264" max="264" width="12.42578125" style="1307" customWidth="1"/>
    <col min="265" max="265" width="13.85546875" style="1307" customWidth="1"/>
    <col min="266" max="267" width="9.140625" style="1307"/>
    <col min="268" max="268" width="13.42578125" style="1307" customWidth="1"/>
    <col min="269" max="512" width="9.140625" style="1307"/>
    <col min="513" max="513" width="5.85546875" style="1307" customWidth="1"/>
    <col min="514" max="514" width="41.7109375" style="1307" customWidth="1"/>
    <col min="515" max="515" width="7.7109375" style="1307" customWidth="1"/>
    <col min="516" max="516" width="0" style="1307" hidden="1" customWidth="1"/>
    <col min="517" max="517" width="10.7109375" style="1307" customWidth="1"/>
    <col min="518" max="518" width="12.28515625" style="1307" customWidth="1"/>
    <col min="519" max="519" width="12.140625" style="1307" customWidth="1"/>
    <col min="520" max="520" width="12.42578125" style="1307" customWidth="1"/>
    <col min="521" max="521" width="13.85546875" style="1307" customWidth="1"/>
    <col min="522" max="523" width="9.140625" style="1307"/>
    <col min="524" max="524" width="13.42578125" style="1307" customWidth="1"/>
    <col min="525" max="768" width="9.140625" style="1307"/>
    <col min="769" max="769" width="5.85546875" style="1307" customWidth="1"/>
    <col min="770" max="770" width="41.7109375" style="1307" customWidth="1"/>
    <col min="771" max="771" width="7.7109375" style="1307" customWidth="1"/>
    <col min="772" max="772" width="0" style="1307" hidden="1" customWidth="1"/>
    <col min="773" max="773" width="10.7109375" style="1307" customWidth="1"/>
    <col min="774" max="774" width="12.28515625" style="1307" customWidth="1"/>
    <col min="775" max="775" width="12.140625" style="1307" customWidth="1"/>
    <col min="776" max="776" width="12.42578125" style="1307" customWidth="1"/>
    <col min="777" max="777" width="13.85546875" style="1307" customWidth="1"/>
    <col min="778" max="779" width="9.140625" style="1307"/>
    <col min="780" max="780" width="13.42578125" style="1307" customWidth="1"/>
    <col min="781" max="1024" width="9.140625" style="1307"/>
    <col min="1025" max="1025" width="5.85546875" style="1307" customWidth="1"/>
    <col min="1026" max="1026" width="41.7109375" style="1307" customWidth="1"/>
    <col min="1027" max="1027" width="7.7109375" style="1307" customWidth="1"/>
    <col min="1028" max="1028" width="0" style="1307" hidden="1" customWidth="1"/>
    <col min="1029" max="1029" width="10.7109375" style="1307" customWidth="1"/>
    <col min="1030" max="1030" width="12.28515625" style="1307" customWidth="1"/>
    <col min="1031" max="1031" width="12.140625" style="1307" customWidth="1"/>
    <col min="1032" max="1032" width="12.42578125" style="1307" customWidth="1"/>
    <col min="1033" max="1033" width="13.85546875" style="1307" customWidth="1"/>
    <col min="1034" max="1035" width="9.140625" style="1307"/>
    <col min="1036" max="1036" width="13.42578125" style="1307" customWidth="1"/>
    <col min="1037" max="1280" width="9.140625" style="1307"/>
    <col min="1281" max="1281" width="5.85546875" style="1307" customWidth="1"/>
    <col min="1282" max="1282" width="41.7109375" style="1307" customWidth="1"/>
    <col min="1283" max="1283" width="7.7109375" style="1307" customWidth="1"/>
    <col min="1284" max="1284" width="0" style="1307" hidden="1" customWidth="1"/>
    <col min="1285" max="1285" width="10.7109375" style="1307" customWidth="1"/>
    <col min="1286" max="1286" width="12.28515625" style="1307" customWidth="1"/>
    <col min="1287" max="1287" width="12.140625" style="1307" customWidth="1"/>
    <col min="1288" max="1288" width="12.42578125" style="1307" customWidth="1"/>
    <col min="1289" max="1289" width="13.85546875" style="1307" customWidth="1"/>
    <col min="1290" max="1291" width="9.140625" style="1307"/>
    <col min="1292" max="1292" width="13.42578125" style="1307" customWidth="1"/>
    <col min="1293" max="1536" width="9.140625" style="1307"/>
    <col min="1537" max="1537" width="5.85546875" style="1307" customWidth="1"/>
    <col min="1538" max="1538" width="41.7109375" style="1307" customWidth="1"/>
    <col min="1539" max="1539" width="7.7109375" style="1307" customWidth="1"/>
    <col min="1540" max="1540" width="0" style="1307" hidden="1" customWidth="1"/>
    <col min="1541" max="1541" width="10.7109375" style="1307" customWidth="1"/>
    <col min="1542" max="1542" width="12.28515625" style="1307" customWidth="1"/>
    <col min="1543" max="1543" width="12.140625" style="1307" customWidth="1"/>
    <col min="1544" max="1544" width="12.42578125" style="1307" customWidth="1"/>
    <col min="1545" max="1545" width="13.85546875" style="1307" customWidth="1"/>
    <col min="1546" max="1547" width="9.140625" style="1307"/>
    <col min="1548" max="1548" width="13.42578125" style="1307" customWidth="1"/>
    <col min="1549" max="1792" width="9.140625" style="1307"/>
    <col min="1793" max="1793" width="5.85546875" style="1307" customWidth="1"/>
    <col min="1794" max="1794" width="41.7109375" style="1307" customWidth="1"/>
    <col min="1795" max="1795" width="7.7109375" style="1307" customWidth="1"/>
    <col min="1796" max="1796" width="0" style="1307" hidden="1" customWidth="1"/>
    <col min="1797" max="1797" width="10.7109375" style="1307" customWidth="1"/>
    <col min="1798" max="1798" width="12.28515625" style="1307" customWidth="1"/>
    <col min="1799" max="1799" width="12.140625" style="1307" customWidth="1"/>
    <col min="1800" max="1800" width="12.42578125" style="1307" customWidth="1"/>
    <col min="1801" max="1801" width="13.85546875" style="1307" customWidth="1"/>
    <col min="1802" max="1803" width="9.140625" style="1307"/>
    <col min="1804" max="1804" width="13.42578125" style="1307" customWidth="1"/>
    <col min="1805" max="2048" width="9.140625" style="1307"/>
    <col min="2049" max="2049" width="5.85546875" style="1307" customWidth="1"/>
    <col min="2050" max="2050" width="41.7109375" style="1307" customWidth="1"/>
    <col min="2051" max="2051" width="7.7109375" style="1307" customWidth="1"/>
    <col min="2052" max="2052" width="0" style="1307" hidden="1" customWidth="1"/>
    <col min="2053" max="2053" width="10.7109375" style="1307" customWidth="1"/>
    <col min="2054" max="2054" width="12.28515625" style="1307" customWidth="1"/>
    <col min="2055" max="2055" width="12.140625" style="1307" customWidth="1"/>
    <col min="2056" max="2056" width="12.42578125" style="1307" customWidth="1"/>
    <col min="2057" max="2057" width="13.85546875" style="1307" customWidth="1"/>
    <col min="2058" max="2059" width="9.140625" style="1307"/>
    <col min="2060" max="2060" width="13.42578125" style="1307" customWidth="1"/>
    <col min="2061" max="2304" width="9.140625" style="1307"/>
    <col min="2305" max="2305" width="5.85546875" style="1307" customWidth="1"/>
    <col min="2306" max="2306" width="41.7109375" style="1307" customWidth="1"/>
    <col min="2307" max="2307" width="7.7109375" style="1307" customWidth="1"/>
    <col min="2308" max="2308" width="0" style="1307" hidden="1" customWidth="1"/>
    <col min="2309" max="2309" width="10.7109375" style="1307" customWidth="1"/>
    <col min="2310" max="2310" width="12.28515625" style="1307" customWidth="1"/>
    <col min="2311" max="2311" width="12.140625" style="1307" customWidth="1"/>
    <col min="2312" max="2312" width="12.42578125" style="1307" customWidth="1"/>
    <col min="2313" max="2313" width="13.85546875" style="1307" customWidth="1"/>
    <col min="2314" max="2315" width="9.140625" style="1307"/>
    <col min="2316" max="2316" width="13.42578125" style="1307" customWidth="1"/>
    <col min="2317" max="2560" width="9.140625" style="1307"/>
    <col min="2561" max="2561" width="5.85546875" style="1307" customWidth="1"/>
    <col min="2562" max="2562" width="41.7109375" style="1307" customWidth="1"/>
    <col min="2563" max="2563" width="7.7109375" style="1307" customWidth="1"/>
    <col min="2564" max="2564" width="0" style="1307" hidden="1" customWidth="1"/>
    <col min="2565" max="2565" width="10.7109375" style="1307" customWidth="1"/>
    <col min="2566" max="2566" width="12.28515625" style="1307" customWidth="1"/>
    <col min="2567" max="2567" width="12.140625" style="1307" customWidth="1"/>
    <col min="2568" max="2568" width="12.42578125" style="1307" customWidth="1"/>
    <col min="2569" max="2569" width="13.85546875" style="1307" customWidth="1"/>
    <col min="2570" max="2571" width="9.140625" style="1307"/>
    <col min="2572" max="2572" width="13.42578125" style="1307" customWidth="1"/>
    <col min="2573" max="2816" width="9.140625" style="1307"/>
    <col min="2817" max="2817" width="5.85546875" style="1307" customWidth="1"/>
    <col min="2818" max="2818" width="41.7109375" style="1307" customWidth="1"/>
    <col min="2819" max="2819" width="7.7109375" style="1307" customWidth="1"/>
    <col min="2820" max="2820" width="0" style="1307" hidden="1" customWidth="1"/>
    <col min="2821" max="2821" width="10.7109375" style="1307" customWidth="1"/>
    <col min="2822" max="2822" width="12.28515625" style="1307" customWidth="1"/>
    <col min="2823" max="2823" width="12.140625" style="1307" customWidth="1"/>
    <col min="2824" max="2824" width="12.42578125" style="1307" customWidth="1"/>
    <col min="2825" max="2825" width="13.85546875" style="1307" customWidth="1"/>
    <col min="2826" max="2827" width="9.140625" style="1307"/>
    <col min="2828" max="2828" width="13.42578125" style="1307" customWidth="1"/>
    <col min="2829" max="3072" width="9.140625" style="1307"/>
    <col min="3073" max="3073" width="5.85546875" style="1307" customWidth="1"/>
    <col min="3074" max="3074" width="41.7109375" style="1307" customWidth="1"/>
    <col min="3075" max="3075" width="7.7109375" style="1307" customWidth="1"/>
    <col min="3076" max="3076" width="0" style="1307" hidden="1" customWidth="1"/>
    <col min="3077" max="3077" width="10.7109375" style="1307" customWidth="1"/>
    <col min="3078" max="3078" width="12.28515625" style="1307" customWidth="1"/>
    <col min="3079" max="3079" width="12.140625" style="1307" customWidth="1"/>
    <col min="3080" max="3080" width="12.42578125" style="1307" customWidth="1"/>
    <col min="3081" max="3081" width="13.85546875" style="1307" customWidth="1"/>
    <col min="3082" max="3083" width="9.140625" style="1307"/>
    <col min="3084" max="3084" width="13.42578125" style="1307" customWidth="1"/>
    <col min="3085" max="3328" width="9.140625" style="1307"/>
    <col min="3329" max="3329" width="5.85546875" style="1307" customWidth="1"/>
    <col min="3330" max="3330" width="41.7109375" style="1307" customWidth="1"/>
    <col min="3331" max="3331" width="7.7109375" style="1307" customWidth="1"/>
    <col min="3332" max="3332" width="0" style="1307" hidden="1" customWidth="1"/>
    <col min="3333" max="3333" width="10.7109375" style="1307" customWidth="1"/>
    <col min="3334" max="3334" width="12.28515625" style="1307" customWidth="1"/>
    <col min="3335" max="3335" width="12.140625" style="1307" customWidth="1"/>
    <col min="3336" max="3336" width="12.42578125" style="1307" customWidth="1"/>
    <col min="3337" max="3337" width="13.85546875" style="1307" customWidth="1"/>
    <col min="3338" max="3339" width="9.140625" style="1307"/>
    <col min="3340" max="3340" width="13.42578125" style="1307" customWidth="1"/>
    <col min="3341" max="3584" width="9.140625" style="1307"/>
    <col min="3585" max="3585" width="5.85546875" style="1307" customWidth="1"/>
    <col min="3586" max="3586" width="41.7109375" style="1307" customWidth="1"/>
    <col min="3587" max="3587" width="7.7109375" style="1307" customWidth="1"/>
    <col min="3588" max="3588" width="0" style="1307" hidden="1" customWidth="1"/>
    <col min="3589" max="3589" width="10.7109375" style="1307" customWidth="1"/>
    <col min="3590" max="3590" width="12.28515625" style="1307" customWidth="1"/>
    <col min="3591" max="3591" width="12.140625" style="1307" customWidth="1"/>
    <col min="3592" max="3592" width="12.42578125" style="1307" customWidth="1"/>
    <col min="3593" max="3593" width="13.85546875" style="1307" customWidth="1"/>
    <col min="3594" max="3595" width="9.140625" style="1307"/>
    <col min="3596" max="3596" width="13.42578125" style="1307" customWidth="1"/>
    <col min="3597" max="3840" width="9.140625" style="1307"/>
    <col min="3841" max="3841" width="5.85546875" style="1307" customWidth="1"/>
    <col min="3842" max="3842" width="41.7109375" style="1307" customWidth="1"/>
    <col min="3843" max="3843" width="7.7109375" style="1307" customWidth="1"/>
    <col min="3844" max="3844" width="0" style="1307" hidden="1" customWidth="1"/>
    <col min="3845" max="3845" width="10.7109375" style="1307" customWidth="1"/>
    <col min="3846" max="3846" width="12.28515625" style="1307" customWidth="1"/>
    <col min="3847" max="3847" width="12.140625" style="1307" customWidth="1"/>
    <col min="3848" max="3848" width="12.42578125" style="1307" customWidth="1"/>
    <col min="3849" max="3849" width="13.85546875" style="1307" customWidth="1"/>
    <col min="3850" max="3851" width="9.140625" style="1307"/>
    <col min="3852" max="3852" width="13.42578125" style="1307" customWidth="1"/>
    <col min="3853" max="4096" width="9.140625" style="1307"/>
    <col min="4097" max="4097" width="5.85546875" style="1307" customWidth="1"/>
    <col min="4098" max="4098" width="41.7109375" style="1307" customWidth="1"/>
    <col min="4099" max="4099" width="7.7109375" style="1307" customWidth="1"/>
    <col min="4100" max="4100" width="0" style="1307" hidden="1" customWidth="1"/>
    <col min="4101" max="4101" width="10.7109375" style="1307" customWidth="1"/>
    <col min="4102" max="4102" width="12.28515625" style="1307" customWidth="1"/>
    <col min="4103" max="4103" width="12.140625" style="1307" customWidth="1"/>
    <col min="4104" max="4104" width="12.42578125" style="1307" customWidth="1"/>
    <col min="4105" max="4105" width="13.85546875" style="1307" customWidth="1"/>
    <col min="4106" max="4107" width="9.140625" style="1307"/>
    <col min="4108" max="4108" width="13.42578125" style="1307" customWidth="1"/>
    <col min="4109" max="4352" width="9.140625" style="1307"/>
    <col min="4353" max="4353" width="5.85546875" style="1307" customWidth="1"/>
    <col min="4354" max="4354" width="41.7109375" style="1307" customWidth="1"/>
    <col min="4355" max="4355" width="7.7109375" style="1307" customWidth="1"/>
    <col min="4356" max="4356" width="0" style="1307" hidden="1" customWidth="1"/>
    <col min="4357" max="4357" width="10.7109375" style="1307" customWidth="1"/>
    <col min="4358" max="4358" width="12.28515625" style="1307" customWidth="1"/>
    <col min="4359" max="4359" width="12.140625" style="1307" customWidth="1"/>
    <col min="4360" max="4360" width="12.42578125" style="1307" customWidth="1"/>
    <col min="4361" max="4361" width="13.85546875" style="1307" customWidth="1"/>
    <col min="4362" max="4363" width="9.140625" style="1307"/>
    <col min="4364" max="4364" width="13.42578125" style="1307" customWidth="1"/>
    <col min="4365" max="4608" width="9.140625" style="1307"/>
    <col min="4609" max="4609" width="5.85546875" style="1307" customWidth="1"/>
    <col min="4610" max="4610" width="41.7109375" style="1307" customWidth="1"/>
    <col min="4611" max="4611" width="7.7109375" style="1307" customWidth="1"/>
    <col min="4612" max="4612" width="0" style="1307" hidden="1" customWidth="1"/>
    <col min="4613" max="4613" width="10.7109375" style="1307" customWidth="1"/>
    <col min="4614" max="4614" width="12.28515625" style="1307" customWidth="1"/>
    <col min="4615" max="4615" width="12.140625" style="1307" customWidth="1"/>
    <col min="4616" max="4616" width="12.42578125" style="1307" customWidth="1"/>
    <col min="4617" max="4617" width="13.85546875" style="1307" customWidth="1"/>
    <col min="4618" max="4619" width="9.140625" style="1307"/>
    <col min="4620" max="4620" width="13.42578125" style="1307" customWidth="1"/>
    <col min="4621" max="4864" width="9.140625" style="1307"/>
    <col min="4865" max="4865" width="5.85546875" style="1307" customWidth="1"/>
    <col min="4866" max="4866" width="41.7109375" style="1307" customWidth="1"/>
    <col min="4867" max="4867" width="7.7109375" style="1307" customWidth="1"/>
    <col min="4868" max="4868" width="0" style="1307" hidden="1" customWidth="1"/>
    <col min="4869" max="4869" width="10.7109375" style="1307" customWidth="1"/>
    <col min="4870" max="4870" width="12.28515625" style="1307" customWidth="1"/>
    <col min="4871" max="4871" width="12.140625" style="1307" customWidth="1"/>
    <col min="4872" max="4872" width="12.42578125" style="1307" customWidth="1"/>
    <col min="4873" max="4873" width="13.85546875" style="1307" customWidth="1"/>
    <col min="4874" max="4875" width="9.140625" style="1307"/>
    <col min="4876" max="4876" width="13.42578125" style="1307" customWidth="1"/>
    <col min="4877" max="5120" width="9.140625" style="1307"/>
    <col min="5121" max="5121" width="5.85546875" style="1307" customWidth="1"/>
    <col min="5122" max="5122" width="41.7109375" style="1307" customWidth="1"/>
    <col min="5123" max="5123" width="7.7109375" style="1307" customWidth="1"/>
    <col min="5124" max="5124" width="0" style="1307" hidden="1" customWidth="1"/>
    <col min="5125" max="5125" width="10.7109375" style="1307" customWidth="1"/>
    <col min="5126" max="5126" width="12.28515625" style="1307" customWidth="1"/>
    <col min="5127" max="5127" width="12.140625" style="1307" customWidth="1"/>
    <col min="5128" max="5128" width="12.42578125" style="1307" customWidth="1"/>
    <col min="5129" max="5129" width="13.85546875" style="1307" customWidth="1"/>
    <col min="5130" max="5131" width="9.140625" style="1307"/>
    <col min="5132" max="5132" width="13.42578125" style="1307" customWidth="1"/>
    <col min="5133" max="5376" width="9.140625" style="1307"/>
    <col min="5377" max="5377" width="5.85546875" style="1307" customWidth="1"/>
    <col min="5378" max="5378" width="41.7109375" style="1307" customWidth="1"/>
    <col min="5379" max="5379" width="7.7109375" style="1307" customWidth="1"/>
    <col min="5380" max="5380" width="0" style="1307" hidden="1" customWidth="1"/>
    <col min="5381" max="5381" width="10.7109375" style="1307" customWidth="1"/>
    <col min="5382" max="5382" width="12.28515625" style="1307" customWidth="1"/>
    <col min="5383" max="5383" width="12.140625" style="1307" customWidth="1"/>
    <col min="5384" max="5384" width="12.42578125" style="1307" customWidth="1"/>
    <col min="5385" max="5385" width="13.85546875" style="1307" customWidth="1"/>
    <col min="5386" max="5387" width="9.140625" style="1307"/>
    <col min="5388" max="5388" width="13.42578125" style="1307" customWidth="1"/>
    <col min="5389" max="5632" width="9.140625" style="1307"/>
    <col min="5633" max="5633" width="5.85546875" style="1307" customWidth="1"/>
    <col min="5634" max="5634" width="41.7109375" style="1307" customWidth="1"/>
    <col min="5635" max="5635" width="7.7109375" style="1307" customWidth="1"/>
    <col min="5636" max="5636" width="0" style="1307" hidden="1" customWidth="1"/>
    <col min="5637" max="5637" width="10.7109375" style="1307" customWidth="1"/>
    <col min="5638" max="5638" width="12.28515625" style="1307" customWidth="1"/>
    <col min="5639" max="5639" width="12.140625" style="1307" customWidth="1"/>
    <col min="5640" max="5640" width="12.42578125" style="1307" customWidth="1"/>
    <col min="5641" max="5641" width="13.85546875" style="1307" customWidth="1"/>
    <col min="5642" max="5643" width="9.140625" style="1307"/>
    <col min="5644" max="5644" width="13.42578125" style="1307" customWidth="1"/>
    <col min="5645" max="5888" width="9.140625" style="1307"/>
    <col min="5889" max="5889" width="5.85546875" style="1307" customWidth="1"/>
    <col min="5890" max="5890" width="41.7109375" style="1307" customWidth="1"/>
    <col min="5891" max="5891" width="7.7109375" style="1307" customWidth="1"/>
    <col min="5892" max="5892" width="0" style="1307" hidden="1" customWidth="1"/>
    <col min="5893" max="5893" width="10.7109375" style="1307" customWidth="1"/>
    <col min="5894" max="5894" width="12.28515625" style="1307" customWidth="1"/>
    <col min="5895" max="5895" width="12.140625" style="1307" customWidth="1"/>
    <col min="5896" max="5896" width="12.42578125" style="1307" customWidth="1"/>
    <col min="5897" max="5897" width="13.85546875" style="1307" customWidth="1"/>
    <col min="5898" max="5899" width="9.140625" style="1307"/>
    <col min="5900" max="5900" width="13.42578125" style="1307" customWidth="1"/>
    <col min="5901" max="6144" width="9.140625" style="1307"/>
    <col min="6145" max="6145" width="5.85546875" style="1307" customWidth="1"/>
    <col min="6146" max="6146" width="41.7109375" style="1307" customWidth="1"/>
    <col min="6147" max="6147" width="7.7109375" style="1307" customWidth="1"/>
    <col min="6148" max="6148" width="0" style="1307" hidden="1" customWidth="1"/>
    <col min="6149" max="6149" width="10.7109375" style="1307" customWidth="1"/>
    <col min="6150" max="6150" width="12.28515625" style="1307" customWidth="1"/>
    <col min="6151" max="6151" width="12.140625" style="1307" customWidth="1"/>
    <col min="6152" max="6152" width="12.42578125" style="1307" customWidth="1"/>
    <col min="6153" max="6153" width="13.85546875" style="1307" customWidth="1"/>
    <col min="6154" max="6155" width="9.140625" style="1307"/>
    <col min="6156" max="6156" width="13.42578125" style="1307" customWidth="1"/>
    <col min="6157" max="6400" width="9.140625" style="1307"/>
    <col min="6401" max="6401" width="5.85546875" style="1307" customWidth="1"/>
    <col min="6402" max="6402" width="41.7109375" style="1307" customWidth="1"/>
    <col min="6403" max="6403" width="7.7109375" style="1307" customWidth="1"/>
    <col min="6404" max="6404" width="0" style="1307" hidden="1" customWidth="1"/>
    <col min="6405" max="6405" width="10.7109375" style="1307" customWidth="1"/>
    <col min="6406" max="6406" width="12.28515625" style="1307" customWidth="1"/>
    <col min="6407" max="6407" width="12.140625" style="1307" customWidth="1"/>
    <col min="6408" max="6408" width="12.42578125" style="1307" customWidth="1"/>
    <col min="6409" max="6409" width="13.85546875" style="1307" customWidth="1"/>
    <col min="6410" max="6411" width="9.140625" style="1307"/>
    <col min="6412" max="6412" width="13.42578125" style="1307" customWidth="1"/>
    <col min="6413" max="6656" width="9.140625" style="1307"/>
    <col min="6657" max="6657" width="5.85546875" style="1307" customWidth="1"/>
    <col min="6658" max="6658" width="41.7109375" style="1307" customWidth="1"/>
    <col min="6659" max="6659" width="7.7109375" style="1307" customWidth="1"/>
    <col min="6660" max="6660" width="0" style="1307" hidden="1" customWidth="1"/>
    <col min="6661" max="6661" width="10.7109375" style="1307" customWidth="1"/>
    <col min="6662" max="6662" width="12.28515625" style="1307" customWidth="1"/>
    <col min="6663" max="6663" width="12.140625" style="1307" customWidth="1"/>
    <col min="6664" max="6664" width="12.42578125" style="1307" customWidth="1"/>
    <col min="6665" max="6665" width="13.85546875" style="1307" customWidth="1"/>
    <col min="6666" max="6667" width="9.140625" style="1307"/>
    <col min="6668" max="6668" width="13.42578125" style="1307" customWidth="1"/>
    <col min="6669" max="6912" width="9.140625" style="1307"/>
    <col min="6913" max="6913" width="5.85546875" style="1307" customWidth="1"/>
    <col min="6914" max="6914" width="41.7109375" style="1307" customWidth="1"/>
    <col min="6915" max="6915" width="7.7109375" style="1307" customWidth="1"/>
    <col min="6916" max="6916" width="0" style="1307" hidden="1" customWidth="1"/>
    <col min="6917" max="6917" width="10.7109375" style="1307" customWidth="1"/>
    <col min="6918" max="6918" width="12.28515625" style="1307" customWidth="1"/>
    <col min="6919" max="6919" width="12.140625" style="1307" customWidth="1"/>
    <col min="6920" max="6920" width="12.42578125" style="1307" customWidth="1"/>
    <col min="6921" max="6921" width="13.85546875" style="1307" customWidth="1"/>
    <col min="6922" max="6923" width="9.140625" style="1307"/>
    <col min="6924" max="6924" width="13.42578125" style="1307" customWidth="1"/>
    <col min="6925" max="7168" width="9.140625" style="1307"/>
    <col min="7169" max="7169" width="5.85546875" style="1307" customWidth="1"/>
    <col min="7170" max="7170" width="41.7109375" style="1307" customWidth="1"/>
    <col min="7171" max="7171" width="7.7109375" style="1307" customWidth="1"/>
    <col min="7172" max="7172" width="0" style="1307" hidden="1" customWidth="1"/>
    <col min="7173" max="7173" width="10.7109375" style="1307" customWidth="1"/>
    <col min="7174" max="7174" width="12.28515625" style="1307" customWidth="1"/>
    <col min="7175" max="7175" width="12.140625" style="1307" customWidth="1"/>
    <col min="7176" max="7176" width="12.42578125" style="1307" customWidth="1"/>
    <col min="7177" max="7177" width="13.85546875" style="1307" customWidth="1"/>
    <col min="7178" max="7179" width="9.140625" style="1307"/>
    <col min="7180" max="7180" width="13.42578125" style="1307" customWidth="1"/>
    <col min="7181" max="7424" width="9.140625" style="1307"/>
    <col min="7425" max="7425" width="5.85546875" style="1307" customWidth="1"/>
    <col min="7426" max="7426" width="41.7109375" style="1307" customWidth="1"/>
    <col min="7427" max="7427" width="7.7109375" style="1307" customWidth="1"/>
    <col min="7428" max="7428" width="0" style="1307" hidden="1" customWidth="1"/>
    <col min="7429" max="7429" width="10.7109375" style="1307" customWidth="1"/>
    <col min="7430" max="7430" width="12.28515625" style="1307" customWidth="1"/>
    <col min="7431" max="7431" width="12.140625" style="1307" customWidth="1"/>
    <col min="7432" max="7432" width="12.42578125" style="1307" customWidth="1"/>
    <col min="7433" max="7433" width="13.85546875" style="1307" customWidth="1"/>
    <col min="7434" max="7435" width="9.140625" style="1307"/>
    <col min="7436" max="7436" width="13.42578125" style="1307" customWidth="1"/>
    <col min="7437" max="7680" width="9.140625" style="1307"/>
    <col min="7681" max="7681" width="5.85546875" style="1307" customWidth="1"/>
    <col min="7682" max="7682" width="41.7109375" style="1307" customWidth="1"/>
    <col min="7683" max="7683" width="7.7109375" style="1307" customWidth="1"/>
    <col min="7684" max="7684" width="0" style="1307" hidden="1" customWidth="1"/>
    <col min="7685" max="7685" width="10.7109375" style="1307" customWidth="1"/>
    <col min="7686" max="7686" width="12.28515625" style="1307" customWidth="1"/>
    <col min="7687" max="7687" width="12.140625" style="1307" customWidth="1"/>
    <col min="7688" max="7688" width="12.42578125" style="1307" customWidth="1"/>
    <col min="7689" max="7689" width="13.85546875" style="1307" customWidth="1"/>
    <col min="7690" max="7691" width="9.140625" style="1307"/>
    <col min="7692" max="7692" width="13.42578125" style="1307" customWidth="1"/>
    <col min="7693" max="7936" width="9.140625" style="1307"/>
    <col min="7937" max="7937" width="5.85546875" style="1307" customWidth="1"/>
    <col min="7938" max="7938" width="41.7109375" style="1307" customWidth="1"/>
    <col min="7939" max="7939" width="7.7109375" style="1307" customWidth="1"/>
    <col min="7940" max="7940" width="0" style="1307" hidden="1" customWidth="1"/>
    <col min="7941" max="7941" width="10.7109375" style="1307" customWidth="1"/>
    <col min="7942" max="7942" width="12.28515625" style="1307" customWidth="1"/>
    <col min="7943" max="7943" width="12.140625" style="1307" customWidth="1"/>
    <col min="7944" max="7944" width="12.42578125" style="1307" customWidth="1"/>
    <col min="7945" max="7945" width="13.85546875" style="1307" customWidth="1"/>
    <col min="7946" max="7947" width="9.140625" style="1307"/>
    <col min="7948" max="7948" width="13.42578125" style="1307" customWidth="1"/>
    <col min="7949" max="8192" width="9.140625" style="1307"/>
    <col min="8193" max="8193" width="5.85546875" style="1307" customWidth="1"/>
    <col min="8194" max="8194" width="41.7109375" style="1307" customWidth="1"/>
    <col min="8195" max="8195" width="7.7109375" style="1307" customWidth="1"/>
    <col min="8196" max="8196" width="0" style="1307" hidden="1" customWidth="1"/>
    <col min="8197" max="8197" width="10.7109375" style="1307" customWidth="1"/>
    <col min="8198" max="8198" width="12.28515625" style="1307" customWidth="1"/>
    <col min="8199" max="8199" width="12.140625" style="1307" customWidth="1"/>
    <col min="8200" max="8200" width="12.42578125" style="1307" customWidth="1"/>
    <col min="8201" max="8201" width="13.85546875" style="1307" customWidth="1"/>
    <col min="8202" max="8203" width="9.140625" style="1307"/>
    <col min="8204" max="8204" width="13.42578125" style="1307" customWidth="1"/>
    <col min="8205" max="8448" width="9.140625" style="1307"/>
    <col min="8449" max="8449" width="5.85546875" style="1307" customWidth="1"/>
    <col min="8450" max="8450" width="41.7109375" style="1307" customWidth="1"/>
    <col min="8451" max="8451" width="7.7109375" style="1307" customWidth="1"/>
    <col min="8452" max="8452" width="0" style="1307" hidden="1" customWidth="1"/>
    <col min="8453" max="8453" width="10.7109375" style="1307" customWidth="1"/>
    <col min="8454" max="8454" width="12.28515625" style="1307" customWidth="1"/>
    <col min="8455" max="8455" width="12.140625" style="1307" customWidth="1"/>
    <col min="8456" max="8456" width="12.42578125" style="1307" customWidth="1"/>
    <col min="8457" max="8457" width="13.85546875" style="1307" customWidth="1"/>
    <col min="8458" max="8459" width="9.140625" style="1307"/>
    <col min="8460" max="8460" width="13.42578125" style="1307" customWidth="1"/>
    <col min="8461" max="8704" width="9.140625" style="1307"/>
    <col min="8705" max="8705" width="5.85546875" style="1307" customWidth="1"/>
    <col min="8706" max="8706" width="41.7109375" style="1307" customWidth="1"/>
    <col min="8707" max="8707" width="7.7109375" style="1307" customWidth="1"/>
    <col min="8708" max="8708" width="0" style="1307" hidden="1" customWidth="1"/>
    <col min="8709" max="8709" width="10.7109375" style="1307" customWidth="1"/>
    <col min="8710" max="8710" width="12.28515625" style="1307" customWidth="1"/>
    <col min="8711" max="8711" width="12.140625" style="1307" customWidth="1"/>
    <col min="8712" max="8712" width="12.42578125" style="1307" customWidth="1"/>
    <col min="8713" max="8713" width="13.85546875" style="1307" customWidth="1"/>
    <col min="8714" max="8715" width="9.140625" style="1307"/>
    <col min="8716" max="8716" width="13.42578125" style="1307" customWidth="1"/>
    <col min="8717" max="8960" width="9.140625" style="1307"/>
    <col min="8961" max="8961" width="5.85546875" style="1307" customWidth="1"/>
    <col min="8962" max="8962" width="41.7109375" style="1307" customWidth="1"/>
    <col min="8963" max="8963" width="7.7109375" style="1307" customWidth="1"/>
    <col min="8964" max="8964" width="0" style="1307" hidden="1" customWidth="1"/>
    <col min="8965" max="8965" width="10.7109375" style="1307" customWidth="1"/>
    <col min="8966" max="8966" width="12.28515625" style="1307" customWidth="1"/>
    <col min="8967" max="8967" width="12.140625" style="1307" customWidth="1"/>
    <col min="8968" max="8968" width="12.42578125" style="1307" customWidth="1"/>
    <col min="8969" max="8969" width="13.85546875" style="1307" customWidth="1"/>
    <col min="8970" max="8971" width="9.140625" style="1307"/>
    <col min="8972" max="8972" width="13.42578125" style="1307" customWidth="1"/>
    <col min="8973" max="9216" width="9.140625" style="1307"/>
    <col min="9217" max="9217" width="5.85546875" style="1307" customWidth="1"/>
    <col min="9218" max="9218" width="41.7109375" style="1307" customWidth="1"/>
    <col min="9219" max="9219" width="7.7109375" style="1307" customWidth="1"/>
    <col min="9220" max="9220" width="0" style="1307" hidden="1" customWidth="1"/>
    <col min="9221" max="9221" width="10.7109375" style="1307" customWidth="1"/>
    <col min="9222" max="9222" width="12.28515625" style="1307" customWidth="1"/>
    <col min="9223" max="9223" width="12.140625" style="1307" customWidth="1"/>
    <col min="9224" max="9224" width="12.42578125" style="1307" customWidth="1"/>
    <col min="9225" max="9225" width="13.85546875" style="1307" customWidth="1"/>
    <col min="9226" max="9227" width="9.140625" style="1307"/>
    <col min="9228" max="9228" width="13.42578125" style="1307" customWidth="1"/>
    <col min="9229" max="9472" width="9.140625" style="1307"/>
    <col min="9473" max="9473" width="5.85546875" style="1307" customWidth="1"/>
    <col min="9474" max="9474" width="41.7109375" style="1307" customWidth="1"/>
    <col min="9475" max="9475" width="7.7109375" style="1307" customWidth="1"/>
    <col min="9476" max="9476" width="0" style="1307" hidden="1" customWidth="1"/>
    <col min="9477" max="9477" width="10.7109375" style="1307" customWidth="1"/>
    <col min="9478" max="9478" width="12.28515625" style="1307" customWidth="1"/>
    <col min="9479" max="9479" width="12.140625" style="1307" customWidth="1"/>
    <col min="9480" max="9480" width="12.42578125" style="1307" customWidth="1"/>
    <col min="9481" max="9481" width="13.85546875" style="1307" customWidth="1"/>
    <col min="9482" max="9483" width="9.140625" style="1307"/>
    <col min="9484" max="9484" width="13.42578125" style="1307" customWidth="1"/>
    <col min="9485" max="9728" width="9.140625" style="1307"/>
    <col min="9729" max="9729" width="5.85546875" style="1307" customWidth="1"/>
    <col min="9730" max="9730" width="41.7109375" style="1307" customWidth="1"/>
    <col min="9731" max="9731" width="7.7109375" style="1307" customWidth="1"/>
    <col min="9732" max="9732" width="0" style="1307" hidden="1" customWidth="1"/>
    <col min="9733" max="9733" width="10.7109375" style="1307" customWidth="1"/>
    <col min="9734" max="9734" width="12.28515625" style="1307" customWidth="1"/>
    <col min="9735" max="9735" width="12.140625" style="1307" customWidth="1"/>
    <col min="9736" max="9736" width="12.42578125" style="1307" customWidth="1"/>
    <col min="9737" max="9737" width="13.85546875" style="1307" customWidth="1"/>
    <col min="9738" max="9739" width="9.140625" style="1307"/>
    <col min="9740" max="9740" width="13.42578125" style="1307" customWidth="1"/>
    <col min="9741" max="9984" width="9.140625" style="1307"/>
    <col min="9985" max="9985" width="5.85546875" style="1307" customWidth="1"/>
    <col min="9986" max="9986" width="41.7109375" style="1307" customWidth="1"/>
    <col min="9987" max="9987" width="7.7109375" style="1307" customWidth="1"/>
    <col min="9988" max="9988" width="0" style="1307" hidden="1" customWidth="1"/>
    <col min="9989" max="9989" width="10.7109375" style="1307" customWidth="1"/>
    <col min="9990" max="9990" width="12.28515625" style="1307" customWidth="1"/>
    <col min="9991" max="9991" width="12.140625" style="1307" customWidth="1"/>
    <col min="9992" max="9992" width="12.42578125" style="1307" customWidth="1"/>
    <col min="9993" max="9993" width="13.85546875" style="1307" customWidth="1"/>
    <col min="9994" max="9995" width="9.140625" style="1307"/>
    <col min="9996" max="9996" width="13.42578125" style="1307" customWidth="1"/>
    <col min="9997" max="10240" width="9.140625" style="1307"/>
    <col min="10241" max="10241" width="5.85546875" style="1307" customWidth="1"/>
    <col min="10242" max="10242" width="41.7109375" style="1307" customWidth="1"/>
    <col min="10243" max="10243" width="7.7109375" style="1307" customWidth="1"/>
    <col min="10244" max="10244" width="0" style="1307" hidden="1" customWidth="1"/>
    <col min="10245" max="10245" width="10.7109375" style="1307" customWidth="1"/>
    <col min="10246" max="10246" width="12.28515625" style="1307" customWidth="1"/>
    <col min="10247" max="10247" width="12.140625" style="1307" customWidth="1"/>
    <col min="10248" max="10248" width="12.42578125" style="1307" customWidth="1"/>
    <col min="10249" max="10249" width="13.85546875" style="1307" customWidth="1"/>
    <col min="10250" max="10251" width="9.140625" style="1307"/>
    <col min="10252" max="10252" width="13.42578125" style="1307" customWidth="1"/>
    <col min="10253" max="10496" width="9.140625" style="1307"/>
    <col min="10497" max="10497" width="5.85546875" style="1307" customWidth="1"/>
    <col min="10498" max="10498" width="41.7109375" style="1307" customWidth="1"/>
    <col min="10499" max="10499" width="7.7109375" style="1307" customWidth="1"/>
    <col min="10500" max="10500" width="0" style="1307" hidden="1" customWidth="1"/>
    <col min="10501" max="10501" width="10.7109375" style="1307" customWidth="1"/>
    <col min="10502" max="10502" width="12.28515625" style="1307" customWidth="1"/>
    <col min="10503" max="10503" width="12.140625" style="1307" customWidth="1"/>
    <col min="10504" max="10504" width="12.42578125" style="1307" customWidth="1"/>
    <col min="10505" max="10505" width="13.85546875" style="1307" customWidth="1"/>
    <col min="10506" max="10507" width="9.140625" style="1307"/>
    <col min="10508" max="10508" width="13.42578125" style="1307" customWidth="1"/>
    <col min="10509" max="10752" width="9.140625" style="1307"/>
    <col min="10753" max="10753" width="5.85546875" style="1307" customWidth="1"/>
    <col min="10754" max="10754" width="41.7109375" style="1307" customWidth="1"/>
    <col min="10755" max="10755" width="7.7109375" style="1307" customWidth="1"/>
    <col min="10756" max="10756" width="0" style="1307" hidden="1" customWidth="1"/>
    <col min="10757" max="10757" width="10.7109375" style="1307" customWidth="1"/>
    <col min="10758" max="10758" width="12.28515625" style="1307" customWidth="1"/>
    <col min="10759" max="10759" width="12.140625" style="1307" customWidth="1"/>
    <col min="10760" max="10760" width="12.42578125" style="1307" customWidth="1"/>
    <col min="10761" max="10761" width="13.85546875" style="1307" customWidth="1"/>
    <col min="10762" max="10763" width="9.140625" style="1307"/>
    <col min="10764" max="10764" width="13.42578125" style="1307" customWidth="1"/>
    <col min="10765" max="11008" width="9.140625" style="1307"/>
    <col min="11009" max="11009" width="5.85546875" style="1307" customWidth="1"/>
    <col min="11010" max="11010" width="41.7109375" style="1307" customWidth="1"/>
    <col min="11011" max="11011" width="7.7109375" style="1307" customWidth="1"/>
    <col min="11012" max="11012" width="0" style="1307" hidden="1" customWidth="1"/>
    <col min="11013" max="11013" width="10.7109375" style="1307" customWidth="1"/>
    <col min="11014" max="11014" width="12.28515625" style="1307" customWidth="1"/>
    <col min="11015" max="11015" width="12.140625" style="1307" customWidth="1"/>
    <col min="11016" max="11016" width="12.42578125" style="1307" customWidth="1"/>
    <col min="11017" max="11017" width="13.85546875" style="1307" customWidth="1"/>
    <col min="11018" max="11019" width="9.140625" style="1307"/>
    <col min="11020" max="11020" width="13.42578125" style="1307" customWidth="1"/>
    <col min="11021" max="11264" width="9.140625" style="1307"/>
    <col min="11265" max="11265" width="5.85546875" style="1307" customWidth="1"/>
    <col min="11266" max="11266" width="41.7109375" style="1307" customWidth="1"/>
    <col min="11267" max="11267" width="7.7109375" style="1307" customWidth="1"/>
    <col min="11268" max="11268" width="0" style="1307" hidden="1" customWidth="1"/>
    <col min="11269" max="11269" width="10.7109375" style="1307" customWidth="1"/>
    <col min="11270" max="11270" width="12.28515625" style="1307" customWidth="1"/>
    <col min="11271" max="11271" width="12.140625" style="1307" customWidth="1"/>
    <col min="11272" max="11272" width="12.42578125" style="1307" customWidth="1"/>
    <col min="11273" max="11273" width="13.85546875" style="1307" customWidth="1"/>
    <col min="11274" max="11275" width="9.140625" style="1307"/>
    <col min="11276" max="11276" width="13.42578125" style="1307" customWidth="1"/>
    <col min="11277" max="11520" width="9.140625" style="1307"/>
    <col min="11521" max="11521" width="5.85546875" style="1307" customWidth="1"/>
    <col min="11522" max="11522" width="41.7109375" style="1307" customWidth="1"/>
    <col min="11523" max="11523" width="7.7109375" style="1307" customWidth="1"/>
    <col min="11524" max="11524" width="0" style="1307" hidden="1" customWidth="1"/>
    <col min="11525" max="11525" width="10.7109375" style="1307" customWidth="1"/>
    <col min="11526" max="11526" width="12.28515625" style="1307" customWidth="1"/>
    <col min="11527" max="11527" width="12.140625" style="1307" customWidth="1"/>
    <col min="11528" max="11528" width="12.42578125" style="1307" customWidth="1"/>
    <col min="11529" max="11529" width="13.85546875" style="1307" customWidth="1"/>
    <col min="11530" max="11531" width="9.140625" style="1307"/>
    <col min="11532" max="11532" width="13.42578125" style="1307" customWidth="1"/>
    <col min="11533" max="11776" width="9.140625" style="1307"/>
    <col min="11777" max="11777" width="5.85546875" style="1307" customWidth="1"/>
    <col min="11778" max="11778" width="41.7109375" style="1307" customWidth="1"/>
    <col min="11779" max="11779" width="7.7109375" style="1307" customWidth="1"/>
    <col min="11780" max="11780" width="0" style="1307" hidden="1" customWidth="1"/>
    <col min="11781" max="11781" width="10.7109375" style="1307" customWidth="1"/>
    <col min="11782" max="11782" width="12.28515625" style="1307" customWidth="1"/>
    <col min="11783" max="11783" width="12.140625" style="1307" customWidth="1"/>
    <col min="11784" max="11784" width="12.42578125" style="1307" customWidth="1"/>
    <col min="11785" max="11785" width="13.85546875" style="1307" customWidth="1"/>
    <col min="11786" max="11787" width="9.140625" style="1307"/>
    <col min="11788" max="11788" width="13.42578125" style="1307" customWidth="1"/>
    <col min="11789" max="12032" width="9.140625" style="1307"/>
    <col min="12033" max="12033" width="5.85546875" style="1307" customWidth="1"/>
    <col min="12034" max="12034" width="41.7109375" style="1307" customWidth="1"/>
    <col min="12035" max="12035" width="7.7109375" style="1307" customWidth="1"/>
    <col min="12036" max="12036" width="0" style="1307" hidden="1" customWidth="1"/>
    <col min="12037" max="12037" width="10.7109375" style="1307" customWidth="1"/>
    <col min="12038" max="12038" width="12.28515625" style="1307" customWidth="1"/>
    <col min="12039" max="12039" width="12.140625" style="1307" customWidth="1"/>
    <col min="12040" max="12040" width="12.42578125" style="1307" customWidth="1"/>
    <col min="12041" max="12041" width="13.85546875" style="1307" customWidth="1"/>
    <col min="12042" max="12043" width="9.140625" style="1307"/>
    <col min="12044" max="12044" width="13.42578125" style="1307" customWidth="1"/>
    <col min="12045" max="12288" width="9.140625" style="1307"/>
    <col min="12289" max="12289" width="5.85546875" style="1307" customWidth="1"/>
    <col min="12290" max="12290" width="41.7109375" style="1307" customWidth="1"/>
    <col min="12291" max="12291" width="7.7109375" style="1307" customWidth="1"/>
    <col min="12292" max="12292" width="0" style="1307" hidden="1" customWidth="1"/>
    <col min="12293" max="12293" width="10.7109375" style="1307" customWidth="1"/>
    <col min="12294" max="12294" width="12.28515625" style="1307" customWidth="1"/>
    <col min="12295" max="12295" width="12.140625" style="1307" customWidth="1"/>
    <col min="12296" max="12296" width="12.42578125" style="1307" customWidth="1"/>
    <col min="12297" max="12297" width="13.85546875" style="1307" customWidth="1"/>
    <col min="12298" max="12299" width="9.140625" style="1307"/>
    <col min="12300" max="12300" width="13.42578125" style="1307" customWidth="1"/>
    <col min="12301" max="12544" width="9.140625" style="1307"/>
    <col min="12545" max="12545" width="5.85546875" style="1307" customWidth="1"/>
    <col min="12546" max="12546" width="41.7109375" style="1307" customWidth="1"/>
    <col min="12547" max="12547" width="7.7109375" style="1307" customWidth="1"/>
    <col min="12548" max="12548" width="0" style="1307" hidden="1" customWidth="1"/>
    <col min="12549" max="12549" width="10.7109375" style="1307" customWidth="1"/>
    <col min="12550" max="12550" width="12.28515625" style="1307" customWidth="1"/>
    <col min="12551" max="12551" width="12.140625" style="1307" customWidth="1"/>
    <col min="12552" max="12552" width="12.42578125" style="1307" customWidth="1"/>
    <col min="12553" max="12553" width="13.85546875" style="1307" customWidth="1"/>
    <col min="12554" max="12555" width="9.140625" style="1307"/>
    <col min="12556" max="12556" width="13.42578125" style="1307" customWidth="1"/>
    <col min="12557" max="12800" width="9.140625" style="1307"/>
    <col min="12801" max="12801" width="5.85546875" style="1307" customWidth="1"/>
    <col min="12802" max="12802" width="41.7109375" style="1307" customWidth="1"/>
    <col min="12803" max="12803" width="7.7109375" style="1307" customWidth="1"/>
    <col min="12804" max="12804" width="0" style="1307" hidden="1" customWidth="1"/>
    <col min="12805" max="12805" width="10.7109375" style="1307" customWidth="1"/>
    <col min="12806" max="12806" width="12.28515625" style="1307" customWidth="1"/>
    <col min="12807" max="12807" width="12.140625" style="1307" customWidth="1"/>
    <col min="12808" max="12808" width="12.42578125" style="1307" customWidth="1"/>
    <col min="12809" max="12809" width="13.85546875" style="1307" customWidth="1"/>
    <col min="12810" max="12811" width="9.140625" style="1307"/>
    <col min="12812" max="12812" width="13.42578125" style="1307" customWidth="1"/>
    <col min="12813" max="13056" width="9.140625" style="1307"/>
    <col min="13057" max="13057" width="5.85546875" style="1307" customWidth="1"/>
    <col min="13058" max="13058" width="41.7109375" style="1307" customWidth="1"/>
    <col min="13059" max="13059" width="7.7109375" style="1307" customWidth="1"/>
    <col min="13060" max="13060" width="0" style="1307" hidden="1" customWidth="1"/>
    <col min="13061" max="13061" width="10.7109375" style="1307" customWidth="1"/>
    <col min="13062" max="13062" width="12.28515625" style="1307" customWidth="1"/>
    <col min="13063" max="13063" width="12.140625" style="1307" customWidth="1"/>
    <col min="13064" max="13064" width="12.42578125" style="1307" customWidth="1"/>
    <col min="13065" max="13065" width="13.85546875" style="1307" customWidth="1"/>
    <col min="13066" max="13067" width="9.140625" style="1307"/>
    <col min="13068" max="13068" width="13.42578125" style="1307" customWidth="1"/>
    <col min="13069" max="13312" width="9.140625" style="1307"/>
    <col min="13313" max="13313" width="5.85546875" style="1307" customWidth="1"/>
    <col min="13314" max="13314" width="41.7109375" style="1307" customWidth="1"/>
    <col min="13315" max="13315" width="7.7109375" style="1307" customWidth="1"/>
    <col min="13316" max="13316" width="0" style="1307" hidden="1" customWidth="1"/>
    <col min="13317" max="13317" width="10.7109375" style="1307" customWidth="1"/>
    <col min="13318" max="13318" width="12.28515625" style="1307" customWidth="1"/>
    <col min="13319" max="13319" width="12.140625" style="1307" customWidth="1"/>
    <col min="13320" max="13320" width="12.42578125" style="1307" customWidth="1"/>
    <col min="13321" max="13321" width="13.85546875" style="1307" customWidth="1"/>
    <col min="13322" max="13323" width="9.140625" style="1307"/>
    <col min="13324" max="13324" width="13.42578125" style="1307" customWidth="1"/>
    <col min="13325" max="13568" width="9.140625" style="1307"/>
    <col min="13569" max="13569" width="5.85546875" style="1307" customWidth="1"/>
    <col min="13570" max="13570" width="41.7109375" style="1307" customWidth="1"/>
    <col min="13571" max="13571" width="7.7109375" style="1307" customWidth="1"/>
    <col min="13572" max="13572" width="0" style="1307" hidden="1" customWidth="1"/>
    <col min="13573" max="13573" width="10.7109375" style="1307" customWidth="1"/>
    <col min="13574" max="13574" width="12.28515625" style="1307" customWidth="1"/>
    <col min="13575" max="13575" width="12.140625" style="1307" customWidth="1"/>
    <col min="13576" max="13576" width="12.42578125" style="1307" customWidth="1"/>
    <col min="13577" max="13577" width="13.85546875" style="1307" customWidth="1"/>
    <col min="13578" max="13579" width="9.140625" style="1307"/>
    <col min="13580" max="13580" width="13.42578125" style="1307" customWidth="1"/>
    <col min="13581" max="13824" width="9.140625" style="1307"/>
    <col min="13825" max="13825" width="5.85546875" style="1307" customWidth="1"/>
    <col min="13826" max="13826" width="41.7109375" style="1307" customWidth="1"/>
    <col min="13827" max="13827" width="7.7109375" style="1307" customWidth="1"/>
    <col min="13828" max="13828" width="0" style="1307" hidden="1" customWidth="1"/>
    <col min="13829" max="13829" width="10.7109375" style="1307" customWidth="1"/>
    <col min="13830" max="13830" width="12.28515625" style="1307" customWidth="1"/>
    <col min="13831" max="13831" width="12.140625" style="1307" customWidth="1"/>
    <col min="13832" max="13832" width="12.42578125" style="1307" customWidth="1"/>
    <col min="13833" max="13833" width="13.85546875" style="1307" customWidth="1"/>
    <col min="13834" max="13835" width="9.140625" style="1307"/>
    <col min="13836" max="13836" width="13.42578125" style="1307" customWidth="1"/>
    <col min="13837" max="14080" width="9.140625" style="1307"/>
    <col min="14081" max="14081" width="5.85546875" style="1307" customWidth="1"/>
    <col min="14082" max="14082" width="41.7109375" style="1307" customWidth="1"/>
    <col min="14083" max="14083" width="7.7109375" style="1307" customWidth="1"/>
    <col min="14084" max="14084" width="0" style="1307" hidden="1" customWidth="1"/>
    <col min="14085" max="14085" width="10.7109375" style="1307" customWidth="1"/>
    <col min="14086" max="14086" width="12.28515625" style="1307" customWidth="1"/>
    <col min="14087" max="14087" width="12.140625" style="1307" customWidth="1"/>
    <col min="14088" max="14088" width="12.42578125" style="1307" customWidth="1"/>
    <col min="14089" max="14089" width="13.85546875" style="1307" customWidth="1"/>
    <col min="14090" max="14091" width="9.140625" style="1307"/>
    <col min="14092" max="14092" width="13.42578125" style="1307" customWidth="1"/>
    <col min="14093" max="14336" width="9.140625" style="1307"/>
    <col min="14337" max="14337" width="5.85546875" style="1307" customWidth="1"/>
    <col min="14338" max="14338" width="41.7109375" style="1307" customWidth="1"/>
    <col min="14339" max="14339" width="7.7109375" style="1307" customWidth="1"/>
    <col min="14340" max="14340" width="0" style="1307" hidden="1" customWidth="1"/>
    <col min="14341" max="14341" width="10.7109375" style="1307" customWidth="1"/>
    <col min="14342" max="14342" width="12.28515625" style="1307" customWidth="1"/>
    <col min="14343" max="14343" width="12.140625" style="1307" customWidth="1"/>
    <col min="14344" max="14344" width="12.42578125" style="1307" customWidth="1"/>
    <col min="14345" max="14345" width="13.85546875" style="1307" customWidth="1"/>
    <col min="14346" max="14347" width="9.140625" style="1307"/>
    <col min="14348" max="14348" width="13.42578125" style="1307" customWidth="1"/>
    <col min="14349" max="14592" width="9.140625" style="1307"/>
    <col min="14593" max="14593" width="5.85546875" style="1307" customWidth="1"/>
    <col min="14594" max="14594" width="41.7109375" style="1307" customWidth="1"/>
    <col min="14595" max="14595" width="7.7109375" style="1307" customWidth="1"/>
    <col min="14596" max="14596" width="0" style="1307" hidden="1" customWidth="1"/>
    <col min="14597" max="14597" width="10.7109375" style="1307" customWidth="1"/>
    <col min="14598" max="14598" width="12.28515625" style="1307" customWidth="1"/>
    <col min="14599" max="14599" width="12.140625" style="1307" customWidth="1"/>
    <col min="14600" max="14600" width="12.42578125" style="1307" customWidth="1"/>
    <col min="14601" max="14601" width="13.85546875" style="1307" customWidth="1"/>
    <col min="14602" max="14603" width="9.140625" style="1307"/>
    <col min="14604" max="14604" width="13.42578125" style="1307" customWidth="1"/>
    <col min="14605" max="14848" width="9.140625" style="1307"/>
    <col min="14849" max="14849" width="5.85546875" style="1307" customWidth="1"/>
    <col min="14850" max="14850" width="41.7109375" style="1307" customWidth="1"/>
    <col min="14851" max="14851" width="7.7109375" style="1307" customWidth="1"/>
    <col min="14852" max="14852" width="0" style="1307" hidden="1" customWidth="1"/>
    <col min="14853" max="14853" width="10.7109375" style="1307" customWidth="1"/>
    <col min="14854" max="14854" width="12.28515625" style="1307" customWidth="1"/>
    <col min="14855" max="14855" width="12.140625" style="1307" customWidth="1"/>
    <col min="14856" max="14856" width="12.42578125" style="1307" customWidth="1"/>
    <col min="14857" max="14857" width="13.85546875" style="1307" customWidth="1"/>
    <col min="14858" max="14859" width="9.140625" style="1307"/>
    <col min="14860" max="14860" width="13.42578125" style="1307" customWidth="1"/>
    <col min="14861" max="15104" width="9.140625" style="1307"/>
    <col min="15105" max="15105" width="5.85546875" style="1307" customWidth="1"/>
    <col min="15106" max="15106" width="41.7109375" style="1307" customWidth="1"/>
    <col min="15107" max="15107" width="7.7109375" style="1307" customWidth="1"/>
    <col min="15108" max="15108" width="0" style="1307" hidden="1" customWidth="1"/>
    <col min="15109" max="15109" width="10.7109375" style="1307" customWidth="1"/>
    <col min="15110" max="15110" width="12.28515625" style="1307" customWidth="1"/>
    <col min="15111" max="15111" width="12.140625" style="1307" customWidth="1"/>
    <col min="15112" max="15112" width="12.42578125" style="1307" customWidth="1"/>
    <col min="15113" max="15113" width="13.85546875" style="1307" customWidth="1"/>
    <col min="15114" max="15115" width="9.140625" style="1307"/>
    <col min="15116" max="15116" width="13.42578125" style="1307" customWidth="1"/>
    <col min="15117" max="15360" width="9.140625" style="1307"/>
    <col min="15361" max="15361" width="5.85546875" style="1307" customWidth="1"/>
    <col min="15362" max="15362" width="41.7109375" style="1307" customWidth="1"/>
    <col min="15363" max="15363" width="7.7109375" style="1307" customWidth="1"/>
    <col min="15364" max="15364" width="0" style="1307" hidden="1" customWidth="1"/>
    <col min="15365" max="15365" width="10.7109375" style="1307" customWidth="1"/>
    <col min="15366" max="15366" width="12.28515625" style="1307" customWidth="1"/>
    <col min="15367" max="15367" width="12.140625" style="1307" customWidth="1"/>
    <col min="15368" max="15368" width="12.42578125" style="1307" customWidth="1"/>
    <col min="15369" max="15369" width="13.85546875" style="1307" customWidth="1"/>
    <col min="15370" max="15371" width="9.140625" style="1307"/>
    <col min="15372" max="15372" width="13.42578125" style="1307" customWidth="1"/>
    <col min="15373" max="15616" width="9.140625" style="1307"/>
    <col min="15617" max="15617" width="5.85546875" style="1307" customWidth="1"/>
    <col min="15618" max="15618" width="41.7109375" style="1307" customWidth="1"/>
    <col min="15619" max="15619" width="7.7109375" style="1307" customWidth="1"/>
    <col min="15620" max="15620" width="0" style="1307" hidden="1" customWidth="1"/>
    <col min="15621" max="15621" width="10.7109375" style="1307" customWidth="1"/>
    <col min="15622" max="15622" width="12.28515625" style="1307" customWidth="1"/>
    <col min="15623" max="15623" width="12.140625" style="1307" customWidth="1"/>
    <col min="15624" max="15624" width="12.42578125" style="1307" customWidth="1"/>
    <col min="15625" max="15625" width="13.85546875" style="1307" customWidth="1"/>
    <col min="15626" max="15627" width="9.140625" style="1307"/>
    <col min="15628" max="15628" width="13.42578125" style="1307" customWidth="1"/>
    <col min="15629" max="15872" width="9.140625" style="1307"/>
    <col min="15873" max="15873" width="5.85546875" style="1307" customWidth="1"/>
    <col min="15874" max="15874" width="41.7109375" style="1307" customWidth="1"/>
    <col min="15875" max="15875" width="7.7109375" style="1307" customWidth="1"/>
    <col min="15876" max="15876" width="0" style="1307" hidden="1" customWidth="1"/>
    <col min="15877" max="15877" width="10.7109375" style="1307" customWidth="1"/>
    <col min="15878" max="15878" width="12.28515625" style="1307" customWidth="1"/>
    <col min="15879" max="15879" width="12.140625" style="1307" customWidth="1"/>
    <col min="15880" max="15880" width="12.42578125" style="1307" customWidth="1"/>
    <col min="15881" max="15881" width="13.85546875" style="1307" customWidth="1"/>
    <col min="15882" max="15883" width="9.140625" style="1307"/>
    <col min="15884" max="15884" width="13.42578125" style="1307" customWidth="1"/>
    <col min="15885" max="16128" width="9.140625" style="1307"/>
    <col min="16129" max="16129" width="5.85546875" style="1307" customWidth="1"/>
    <col min="16130" max="16130" width="41.7109375" style="1307" customWidth="1"/>
    <col min="16131" max="16131" width="7.7109375" style="1307" customWidth="1"/>
    <col min="16132" max="16132" width="0" style="1307" hidden="1" customWidth="1"/>
    <col min="16133" max="16133" width="10.7109375" style="1307" customWidth="1"/>
    <col min="16134" max="16134" width="12.28515625" style="1307" customWidth="1"/>
    <col min="16135" max="16135" width="12.140625" style="1307" customWidth="1"/>
    <col min="16136" max="16136" width="12.42578125" style="1307" customWidth="1"/>
    <col min="16137" max="16137" width="13.85546875" style="1307" customWidth="1"/>
    <col min="16138" max="16139" width="9.140625" style="1307"/>
    <col min="16140" max="16140" width="13.42578125" style="1307" customWidth="1"/>
    <col min="16141" max="16384" width="9.140625" style="1307"/>
  </cols>
  <sheetData>
    <row r="1" spans="2:14" s="341" customFormat="1">
      <c r="B1" s="1286" t="s">
        <v>1257</v>
      </c>
      <c r="C1" s="1286"/>
      <c r="D1" s="1286"/>
      <c r="E1" s="1286"/>
      <c r="F1" s="1286"/>
      <c r="G1" s="2053"/>
      <c r="H1" s="2053"/>
    </row>
    <row r="2" spans="2:14" s="341" customFormat="1">
      <c r="B2" s="1286" t="s">
        <v>1208</v>
      </c>
      <c r="C2" s="1286"/>
      <c r="D2" s="1286"/>
      <c r="E2" s="1286"/>
      <c r="F2" s="1286"/>
      <c r="G2" s="2054"/>
      <c r="H2" s="2054"/>
    </row>
    <row r="3" spans="2:14" s="341" customFormat="1">
      <c r="B3" s="1286" t="s">
        <v>1258</v>
      </c>
      <c r="C3" s="1286"/>
      <c r="D3" s="1286"/>
      <c r="E3" s="1286"/>
      <c r="F3" s="1286"/>
      <c r="G3" s="2054" t="s">
        <v>1816</v>
      </c>
      <c r="H3" s="2054"/>
      <c r="M3" s="1287"/>
      <c r="N3" s="1287"/>
    </row>
    <row r="4" spans="2:14" s="341" customFormat="1">
      <c r="B4" s="1286" t="s">
        <v>1209</v>
      </c>
      <c r="C4" s="1286"/>
      <c r="D4" s="1286"/>
      <c r="E4" s="1286"/>
      <c r="F4" s="1286"/>
      <c r="G4" s="1286"/>
      <c r="H4" s="1286"/>
    </row>
    <row r="5" spans="2:14" s="341" customFormat="1">
      <c r="B5" s="1286"/>
      <c r="C5" s="1286"/>
      <c r="D5" s="1286"/>
      <c r="E5" s="1286"/>
      <c r="F5" s="1286"/>
      <c r="G5" s="1286"/>
      <c r="H5" s="1286"/>
    </row>
    <row r="6" spans="2:14" ht="15.75" customHeight="1">
      <c r="B6" s="2055" t="s">
        <v>1492</v>
      </c>
      <c r="C6" s="2055" t="s">
        <v>0</v>
      </c>
      <c r="D6" s="2055" t="s">
        <v>1491</v>
      </c>
      <c r="E6" s="2055" t="s">
        <v>1489</v>
      </c>
      <c r="F6" s="2055"/>
      <c r="G6" s="2055"/>
      <c r="H6" s="2055" t="s">
        <v>1308</v>
      </c>
      <c r="I6" s="2055"/>
    </row>
    <row r="7" spans="2:14" ht="15.75" customHeight="1">
      <c r="B7" s="2146"/>
      <c r="C7" s="2146"/>
      <c r="D7" s="2146"/>
      <c r="E7" s="1419" t="s">
        <v>1487</v>
      </c>
      <c r="F7" s="1419" t="s">
        <v>1488</v>
      </c>
      <c r="G7" s="1419" t="s">
        <v>1486</v>
      </c>
      <c r="H7" s="1419" t="s">
        <v>1487</v>
      </c>
      <c r="I7" s="1419" t="s">
        <v>1486</v>
      </c>
    </row>
    <row r="8" spans="2:14" ht="15.75" customHeight="1">
      <c r="B8" s="1635"/>
      <c r="C8" s="1485" t="s">
        <v>1485</v>
      </c>
      <c r="D8" s="1487"/>
      <c r="E8" s="1487"/>
      <c r="F8" s="1487"/>
      <c r="G8" s="1487"/>
      <c r="H8" s="1487"/>
      <c r="I8" s="1636"/>
    </row>
    <row r="9" spans="2:14" ht="15.75" customHeight="1">
      <c r="B9" s="1631"/>
      <c r="C9" s="1454" t="s">
        <v>1484</v>
      </c>
      <c r="D9" s="1628"/>
      <c r="E9" s="1628"/>
      <c r="F9" s="1628"/>
      <c r="G9" s="1628"/>
      <c r="H9" s="1628"/>
      <c r="I9" s="1632"/>
    </row>
    <row r="10" spans="2:14" ht="15.75" customHeight="1">
      <c r="B10" s="1498">
        <v>1.1000000000000001</v>
      </c>
      <c r="C10" s="1453" t="s">
        <v>1483</v>
      </c>
      <c r="D10" s="1451" t="s">
        <v>3201</v>
      </c>
      <c r="E10" s="1451">
        <v>594.45000000000005</v>
      </c>
      <c r="F10" s="1451">
        <v>8</v>
      </c>
      <c r="G10" s="1451">
        <f>E10*F10</f>
        <v>4755.6000000000004</v>
      </c>
      <c r="H10" s="1451">
        <f>'Emer. Sub TOS'!D14+'Wait. Sub TOS'!D14</f>
        <v>554.29000000000008</v>
      </c>
      <c r="I10" s="1550">
        <f>F10*H10</f>
        <v>4434.3200000000006</v>
      </c>
    </row>
    <row r="11" spans="2:14" ht="15.75" customHeight="1">
      <c r="B11" s="1498">
        <v>1.2</v>
      </c>
      <c r="C11" s="1453" t="s">
        <v>1482</v>
      </c>
      <c r="D11" s="1451" t="s">
        <v>3200</v>
      </c>
      <c r="E11" s="1451">
        <v>467</v>
      </c>
      <c r="F11" s="1451">
        <v>70</v>
      </c>
      <c r="G11" s="1451">
        <f t="shared" ref="G11:G72" si="0">E11*F11</f>
        <v>32690</v>
      </c>
      <c r="H11" s="1451">
        <f>'Emer. Sub TOS'!D30+'Wait. Sub TOS'!D31</f>
        <v>40.86835</v>
      </c>
      <c r="I11" s="1550">
        <f t="shared" ref="I11:I72" si="1">F11*H11</f>
        <v>2860.7844999999998</v>
      </c>
    </row>
    <row r="12" spans="2:14" ht="15.75" customHeight="1">
      <c r="B12" s="1498">
        <v>1.3</v>
      </c>
      <c r="C12" s="1453" t="s">
        <v>1481</v>
      </c>
      <c r="D12" s="1451" t="s">
        <v>3200</v>
      </c>
      <c r="E12" s="1451">
        <f>E11/3</f>
        <v>155.66666666666666</v>
      </c>
      <c r="F12" s="1451">
        <v>70</v>
      </c>
      <c r="G12" s="1451">
        <f t="shared" si="0"/>
        <v>10896.666666666666</v>
      </c>
      <c r="H12" s="1451">
        <f>'Emer. Sub TOS'!D42+'Wait. Sub TOS'!D43</f>
        <v>155.99160000000001</v>
      </c>
      <c r="I12" s="1550">
        <f t="shared" si="1"/>
        <v>10919.412</v>
      </c>
    </row>
    <row r="13" spans="2:14" s="1570" customFormat="1" ht="15.75" customHeight="1">
      <c r="B13" s="1633">
        <v>1.4</v>
      </c>
      <c r="C13" s="1629" t="s">
        <v>1480</v>
      </c>
      <c r="D13" s="1630" t="s">
        <v>3200</v>
      </c>
      <c r="E13" s="1630">
        <f>E12+E11</f>
        <v>622.66666666666663</v>
      </c>
      <c r="F13" s="1630">
        <v>150</v>
      </c>
      <c r="G13" s="1630">
        <f t="shared" si="0"/>
        <v>93400</v>
      </c>
      <c r="H13" s="1630">
        <f>'Emer. Sub TOS'!H21</f>
        <v>102.77499999999999</v>
      </c>
      <c r="I13" s="1634">
        <f t="shared" si="1"/>
        <v>15416.249999999998</v>
      </c>
    </row>
    <row r="14" spans="2:14" s="1570" customFormat="1" ht="15.75" customHeight="1">
      <c r="B14" s="1633">
        <v>1.5</v>
      </c>
      <c r="C14" s="1629" t="s">
        <v>1815</v>
      </c>
      <c r="D14" s="1630" t="s">
        <v>3200</v>
      </c>
      <c r="E14" s="1630"/>
      <c r="F14" s="1630">
        <v>56</v>
      </c>
      <c r="G14" s="1630">
        <f t="shared" si="0"/>
        <v>0</v>
      </c>
      <c r="H14" s="1630">
        <f>'Emer. Sub TOS'!D65</f>
        <v>79.949000000000012</v>
      </c>
      <c r="I14" s="1634">
        <f t="shared" si="1"/>
        <v>4477.1440000000002</v>
      </c>
    </row>
    <row r="15" spans="2:14" ht="15.75" customHeight="1">
      <c r="B15" s="1498">
        <v>1.6</v>
      </c>
      <c r="C15" s="1453" t="s">
        <v>1479</v>
      </c>
      <c r="D15" s="1451" t="s">
        <v>3200</v>
      </c>
      <c r="E15" s="1451">
        <f>E13+(E10*0.3)</f>
        <v>801.00166666666667</v>
      </c>
      <c r="F15" s="1451">
        <v>70</v>
      </c>
      <c r="G15" s="1451">
        <f t="shared" si="0"/>
        <v>56070.116666666669</v>
      </c>
      <c r="H15" s="1451">
        <f>'Emer. Sub TOS'!H34+'Wait. Sub TOS'!H33</f>
        <v>283.19795000000005</v>
      </c>
      <c r="I15" s="1550">
        <f t="shared" si="1"/>
        <v>19823.856500000002</v>
      </c>
    </row>
    <row r="16" spans="2:14" ht="15.75" customHeight="1">
      <c r="B16" s="1499">
        <v>1.7</v>
      </c>
      <c r="C16" s="1483" t="s">
        <v>1497</v>
      </c>
      <c r="D16" s="1479" t="s">
        <v>3201</v>
      </c>
      <c r="E16" s="1479">
        <v>347</v>
      </c>
      <c r="F16" s="1479">
        <v>200</v>
      </c>
      <c r="G16" s="1479">
        <f t="shared" si="0"/>
        <v>69400</v>
      </c>
      <c r="H16" s="1479">
        <f>'Emer. Sub TOS'!H47+'Wait. Sub TOS'!H47</f>
        <v>360.53999999999996</v>
      </c>
      <c r="I16" s="1553">
        <f t="shared" si="1"/>
        <v>72108</v>
      </c>
    </row>
    <row r="17" spans="2:9" ht="15.75" customHeight="1">
      <c r="B17" s="2174" t="s">
        <v>1330</v>
      </c>
      <c r="C17" s="2174"/>
      <c r="D17" s="2174"/>
      <c r="E17" s="1567"/>
      <c r="F17" s="1567"/>
      <c r="G17" s="1567">
        <f>SUM(G10:G16)</f>
        <v>267212.3833333333</v>
      </c>
      <c r="H17" s="1567"/>
      <c r="I17" s="1567">
        <f>SUM(I10:I16)</f>
        <v>130039.76699999999</v>
      </c>
    </row>
    <row r="18" spans="2:9" ht="15.75" customHeight="1">
      <c r="B18" s="1500"/>
      <c r="C18" s="1554" t="s">
        <v>1477</v>
      </c>
      <c r="D18" s="1484"/>
      <c r="E18" s="1484"/>
      <c r="F18" s="1484"/>
      <c r="G18" s="1484"/>
      <c r="H18" s="1484"/>
      <c r="I18" s="1555"/>
    </row>
    <row r="19" spans="2:9" ht="15.75" customHeight="1">
      <c r="B19" s="1498">
        <v>2.1</v>
      </c>
      <c r="C19" s="1453" t="s">
        <v>1476</v>
      </c>
      <c r="D19" s="1451" t="s">
        <v>3201</v>
      </c>
      <c r="E19" s="1451">
        <v>195</v>
      </c>
      <c r="F19" s="1451">
        <v>150</v>
      </c>
      <c r="G19" s="1451">
        <f t="shared" si="0"/>
        <v>29250</v>
      </c>
      <c r="H19" s="1451">
        <f>'Emer. Sub TOS'!H57+'Wait. Sub TOS'!H57</f>
        <v>115.30000000000001</v>
      </c>
      <c r="I19" s="1550">
        <f t="shared" si="1"/>
        <v>17295</v>
      </c>
    </row>
    <row r="20" spans="2:9" ht="15.75" customHeight="1">
      <c r="B20" s="1498">
        <v>2.2000000000000002</v>
      </c>
      <c r="C20" s="1453" t="s">
        <v>1475</v>
      </c>
      <c r="D20" s="1451" t="s">
        <v>3201</v>
      </c>
      <c r="E20" s="1451">
        <v>24</v>
      </c>
      <c r="F20" s="1451">
        <v>150</v>
      </c>
      <c r="G20" s="1451">
        <f t="shared" si="0"/>
        <v>3600</v>
      </c>
      <c r="H20" s="1451"/>
      <c r="I20" s="1550">
        <f t="shared" si="1"/>
        <v>0</v>
      </c>
    </row>
    <row r="21" spans="2:9" ht="15.75" customHeight="1">
      <c r="B21" s="1498">
        <v>2.2999999999999998</v>
      </c>
      <c r="C21" s="1453" t="s">
        <v>1474</v>
      </c>
      <c r="D21" s="1451" t="s">
        <v>3201</v>
      </c>
      <c r="E21" s="1451">
        <v>347</v>
      </c>
      <c r="F21" s="1451">
        <v>400</v>
      </c>
      <c r="G21" s="1451">
        <f t="shared" si="0"/>
        <v>138800</v>
      </c>
      <c r="H21" s="1451">
        <f>'Emer. Sub TOS'!D79+'Wait. Sub TOS'!D76</f>
        <v>360.53999999999996</v>
      </c>
      <c r="I21" s="1550">
        <f t="shared" si="1"/>
        <v>144216</v>
      </c>
    </row>
    <row r="22" spans="2:9" ht="15.75" customHeight="1">
      <c r="B22" s="1498">
        <v>2.4</v>
      </c>
      <c r="C22" s="1453" t="s">
        <v>1473</v>
      </c>
      <c r="D22" s="1451" t="s">
        <v>3200</v>
      </c>
      <c r="E22" s="1451">
        <v>28</v>
      </c>
      <c r="F22" s="1451">
        <v>3200</v>
      </c>
      <c r="G22" s="1451">
        <f t="shared" si="0"/>
        <v>89600</v>
      </c>
      <c r="H22" s="1451">
        <f>'Emer. Sub TOS'!D90+'Wait. Sub TOS'!D87</f>
        <v>25.620000000000005</v>
      </c>
      <c r="I22" s="1550">
        <f t="shared" si="1"/>
        <v>81984.000000000015</v>
      </c>
    </row>
    <row r="23" spans="2:9" ht="15.75" customHeight="1">
      <c r="B23" s="1498">
        <v>2.6</v>
      </c>
      <c r="C23" s="1453" t="s">
        <v>1471</v>
      </c>
      <c r="D23" s="1451" t="s">
        <v>3200</v>
      </c>
      <c r="E23" s="1451">
        <v>5</v>
      </c>
      <c r="F23" s="1451">
        <v>3200</v>
      </c>
      <c r="G23" s="1451">
        <f t="shared" si="0"/>
        <v>16000</v>
      </c>
      <c r="H23" s="1451"/>
      <c r="I23" s="1550">
        <f t="shared" si="1"/>
        <v>0</v>
      </c>
    </row>
    <row r="24" spans="2:9" ht="15.75" customHeight="1">
      <c r="B24" s="1498">
        <v>2.7</v>
      </c>
      <c r="C24" s="1453" t="s">
        <v>1470</v>
      </c>
      <c r="D24" s="1451" t="s">
        <v>3200</v>
      </c>
      <c r="E24" s="1451">
        <v>4</v>
      </c>
      <c r="F24" s="1451">
        <v>3200</v>
      </c>
      <c r="G24" s="1451">
        <f t="shared" si="0"/>
        <v>12800</v>
      </c>
      <c r="H24" s="1451"/>
      <c r="I24" s="1550">
        <f t="shared" si="1"/>
        <v>0</v>
      </c>
    </row>
    <row r="25" spans="2:9" ht="15.75" customHeight="1">
      <c r="B25" s="1498"/>
      <c r="C25" s="1453" t="s">
        <v>1568</v>
      </c>
      <c r="D25" s="1451"/>
      <c r="E25" s="1451"/>
      <c r="F25" s="1451"/>
      <c r="G25" s="1451"/>
      <c r="H25" s="1451"/>
      <c r="I25" s="1550"/>
    </row>
    <row r="26" spans="2:9" ht="15.75" customHeight="1">
      <c r="B26" s="1498">
        <v>2.8</v>
      </c>
      <c r="C26" s="1453" t="s">
        <v>1</v>
      </c>
      <c r="D26" s="1451" t="s">
        <v>3201</v>
      </c>
      <c r="E26" s="1451">
        <v>140</v>
      </c>
      <c r="F26" s="1451">
        <v>120</v>
      </c>
      <c r="G26" s="1451">
        <f t="shared" si="0"/>
        <v>16800</v>
      </c>
      <c r="H26" s="1451">
        <f>'Emer. Sub TOS'!D104+'Wait. Sub TOS'!D101</f>
        <v>200.36</v>
      </c>
      <c r="I26" s="1550">
        <f t="shared" si="1"/>
        <v>24043.200000000001</v>
      </c>
    </row>
    <row r="27" spans="2:9" ht="15.75" customHeight="1">
      <c r="B27" s="1498">
        <v>2.9</v>
      </c>
      <c r="C27" s="1453" t="s">
        <v>1471</v>
      </c>
      <c r="D27" s="1451" t="s">
        <v>3201</v>
      </c>
      <c r="E27" s="1451">
        <v>20</v>
      </c>
      <c r="F27" s="1451">
        <v>120</v>
      </c>
      <c r="G27" s="1451">
        <f t="shared" si="0"/>
        <v>2400</v>
      </c>
      <c r="H27" s="1451"/>
      <c r="I27" s="1550">
        <f t="shared" si="1"/>
        <v>0</v>
      </c>
    </row>
    <row r="28" spans="2:9" ht="15.75" customHeight="1">
      <c r="B28" s="1501">
        <v>2.1</v>
      </c>
      <c r="C28" s="1453" t="s">
        <v>1470</v>
      </c>
      <c r="D28" s="1451" t="s">
        <v>3201</v>
      </c>
      <c r="E28" s="1451">
        <v>77</v>
      </c>
      <c r="F28" s="1451">
        <v>120</v>
      </c>
      <c r="G28" s="1451">
        <f t="shared" si="0"/>
        <v>9240</v>
      </c>
      <c r="H28" s="1451"/>
      <c r="I28" s="1550">
        <f t="shared" si="1"/>
        <v>0</v>
      </c>
    </row>
    <row r="29" spans="2:9" ht="15.75" customHeight="1">
      <c r="B29" s="1501">
        <v>2.11</v>
      </c>
      <c r="C29" s="1453" t="s">
        <v>2</v>
      </c>
      <c r="D29" s="1451" t="s">
        <v>3201</v>
      </c>
      <c r="E29" s="1451">
        <v>5</v>
      </c>
      <c r="F29" s="1451">
        <v>150</v>
      </c>
      <c r="G29" s="1451">
        <f t="shared" si="0"/>
        <v>750</v>
      </c>
      <c r="H29" s="1451"/>
      <c r="I29" s="1550">
        <f t="shared" si="1"/>
        <v>0</v>
      </c>
    </row>
    <row r="30" spans="2:9" ht="15.75" customHeight="1">
      <c r="B30" s="1501"/>
      <c r="C30" s="1453" t="s">
        <v>1454</v>
      </c>
      <c r="D30" s="1451"/>
      <c r="E30" s="1451"/>
      <c r="F30" s="1451"/>
      <c r="G30" s="1451"/>
      <c r="H30" s="1451"/>
      <c r="I30" s="1550"/>
    </row>
    <row r="31" spans="2:9" ht="15.75" customHeight="1">
      <c r="B31" s="1501">
        <v>2.12</v>
      </c>
      <c r="C31" s="1453" t="s">
        <v>1468</v>
      </c>
      <c r="D31" s="1451" t="s">
        <v>1450</v>
      </c>
      <c r="E31" s="1451">
        <v>2000</v>
      </c>
      <c r="F31" s="1451">
        <v>36</v>
      </c>
      <c r="G31" s="1451">
        <f t="shared" si="0"/>
        <v>72000</v>
      </c>
      <c r="H31" s="1451">
        <f>'Emer. Sub TOS'!D108+'Wait. Sub TOS'!D105</f>
        <v>2062.4934000000003</v>
      </c>
      <c r="I31" s="1550">
        <f t="shared" si="1"/>
        <v>74249.762400000007</v>
      </c>
    </row>
    <row r="32" spans="2:9" ht="15.75" customHeight="1">
      <c r="B32" s="1501">
        <v>2.13</v>
      </c>
      <c r="C32" s="1453" t="s">
        <v>1451</v>
      </c>
      <c r="D32" s="1451" t="s">
        <v>1450</v>
      </c>
      <c r="E32" s="1451">
        <v>2490</v>
      </c>
      <c r="F32" s="1451">
        <v>36</v>
      </c>
      <c r="G32" s="1451">
        <f t="shared" si="0"/>
        <v>89640</v>
      </c>
      <c r="H32" s="1451">
        <f>'Emer. Sub TOS'!D111+'Wait. Sub TOS'!D108</f>
        <v>2082.23065</v>
      </c>
      <c r="I32" s="1550">
        <f t="shared" si="1"/>
        <v>74960.303400000004</v>
      </c>
    </row>
    <row r="33" spans="2:9" ht="15.75" customHeight="1">
      <c r="B33" s="1501">
        <v>2.14</v>
      </c>
      <c r="C33" s="1453" t="s">
        <v>1467</v>
      </c>
      <c r="D33" s="1451" t="s">
        <v>1450</v>
      </c>
      <c r="E33" s="1451">
        <v>700</v>
      </c>
      <c r="F33" s="1451">
        <v>36</v>
      </c>
      <c r="G33" s="1451">
        <f t="shared" si="0"/>
        <v>25200</v>
      </c>
      <c r="H33" s="1451"/>
      <c r="I33" s="1550">
        <f t="shared" si="1"/>
        <v>0</v>
      </c>
    </row>
    <row r="34" spans="2:9" ht="15.75" customHeight="1">
      <c r="B34" s="1502">
        <v>2.15</v>
      </c>
      <c r="C34" s="1483" t="s">
        <v>1466</v>
      </c>
      <c r="D34" s="1479" t="s">
        <v>1406</v>
      </c>
      <c r="E34" s="1479">
        <v>390</v>
      </c>
      <c r="F34" s="1479">
        <v>30</v>
      </c>
      <c r="G34" s="1479">
        <f t="shared" si="0"/>
        <v>11700</v>
      </c>
      <c r="H34" s="1479">
        <f>'Emer. Sub TOS'!D121+'Wait. Sub TOS'!D119</f>
        <v>236.3</v>
      </c>
      <c r="I34" s="1553">
        <f t="shared" si="1"/>
        <v>7089</v>
      </c>
    </row>
    <row r="35" spans="2:9" ht="15.75" customHeight="1">
      <c r="B35" s="2174" t="s">
        <v>1330</v>
      </c>
      <c r="C35" s="2174"/>
      <c r="D35" s="2174"/>
      <c r="E35" s="1567"/>
      <c r="F35" s="1567"/>
      <c r="G35" s="1567">
        <f>SUM(G19:G34)</f>
        <v>517780</v>
      </c>
      <c r="H35" s="1567"/>
      <c r="I35" s="1567">
        <f>SUM(I19:I33)</f>
        <v>416748.26580000005</v>
      </c>
    </row>
    <row r="36" spans="2:9" ht="15.75" customHeight="1">
      <c r="B36" s="1500"/>
      <c r="C36" s="1554" t="s">
        <v>1465</v>
      </c>
      <c r="D36" s="1484"/>
      <c r="E36" s="1484"/>
      <c r="F36" s="1484"/>
      <c r="G36" s="1484"/>
      <c r="H36" s="1484"/>
      <c r="I36" s="1555"/>
    </row>
    <row r="37" spans="2:9" ht="15.75" customHeight="1">
      <c r="B37" s="1498">
        <v>3.1</v>
      </c>
      <c r="C37" s="1453" t="s">
        <v>1464</v>
      </c>
      <c r="D37" s="1451" t="s">
        <v>3200</v>
      </c>
      <c r="E37" s="1451">
        <v>141</v>
      </c>
      <c r="F37" s="1451">
        <v>1250</v>
      </c>
      <c r="G37" s="1451">
        <f t="shared" si="0"/>
        <v>176250</v>
      </c>
      <c r="H37" s="1451">
        <f>'Emer. Sub TOS'!H76+'Wait. Sub TOS'!H96</f>
        <v>56.501800000000003</v>
      </c>
      <c r="I37" s="1550">
        <f t="shared" si="1"/>
        <v>70627.25</v>
      </c>
    </row>
    <row r="38" spans="2:9" ht="15.75" customHeight="1">
      <c r="B38" s="1499">
        <v>3.2</v>
      </c>
      <c r="C38" s="1483" t="s">
        <v>1463</v>
      </c>
      <c r="D38" s="1479" t="s">
        <v>3200</v>
      </c>
      <c r="E38" s="1479">
        <v>28</v>
      </c>
      <c r="F38" s="1479">
        <v>1450</v>
      </c>
      <c r="G38" s="1479">
        <f t="shared" si="0"/>
        <v>40600</v>
      </c>
      <c r="H38" s="1479">
        <f>'Emer. Sub TOS'!H91+'Wait. Sub TOS'!H92</f>
        <v>10.738400000000002</v>
      </c>
      <c r="I38" s="1553">
        <f t="shared" si="1"/>
        <v>15570.680000000004</v>
      </c>
    </row>
    <row r="39" spans="2:9" ht="15.75" customHeight="1">
      <c r="B39" s="2058" t="s">
        <v>1330</v>
      </c>
      <c r="C39" s="2058"/>
      <c r="D39" s="2058"/>
      <c r="E39" s="1481"/>
      <c r="F39" s="1481"/>
      <c r="G39" s="1481">
        <f>SUM(G37:G38)</f>
        <v>216850</v>
      </c>
      <c r="H39" s="1481"/>
      <c r="I39" s="1481">
        <f>SUM(I37:I38)</f>
        <v>86197.930000000008</v>
      </c>
    </row>
    <row r="40" spans="2:9" ht="15.75" customHeight="1">
      <c r="B40" s="1500"/>
      <c r="C40" s="1554" t="s">
        <v>1462</v>
      </c>
      <c r="D40" s="1484"/>
      <c r="E40" s="1484"/>
      <c r="F40" s="1484"/>
      <c r="G40" s="1484"/>
      <c r="H40" s="1484"/>
      <c r="I40" s="1555"/>
    </row>
    <row r="41" spans="2:9" ht="15.75" customHeight="1">
      <c r="B41" s="1501"/>
      <c r="C41" s="1548" t="s">
        <v>1461</v>
      </c>
      <c r="D41" s="1451"/>
      <c r="E41" s="1451"/>
      <c r="F41" s="1451"/>
      <c r="G41" s="1451"/>
      <c r="H41" s="1451"/>
      <c r="I41" s="1550"/>
    </row>
    <row r="42" spans="2:9" ht="15.75" customHeight="1">
      <c r="B42" s="1501"/>
      <c r="C42" s="1453" t="s">
        <v>1460</v>
      </c>
      <c r="D42" s="1451"/>
      <c r="E42" s="1451"/>
      <c r="F42" s="1451"/>
      <c r="G42" s="1451"/>
      <c r="H42" s="1451"/>
      <c r="I42" s="1550"/>
    </row>
    <row r="43" spans="2:9" ht="15.75" customHeight="1">
      <c r="B43" s="1498">
        <v>1.1000000000000001</v>
      </c>
      <c r="C43" s="1453" t="s">
        <v>1459</v>
      </c>
      <c r="D43" s="1451" t="s">
        <v>3200</v>
      </c>
      <c r="E43" s="1451">
        <v>5.0999999999999996</v>
      </c>
      <c r="F43" s="1451">
        <v>3200</v>
      </c>
      <c r="G43" s="1451">
        <f t="shared" si="0"/>
        <v>16319.999999999998</v>
      </c>
      <c r="H43" s="1451">
        <f>'Emer. Super TOS'!D12+'Wait Super TOS'!D13</f>
        <v>4.1496000000000004</v>
      </c>
      <c r="I43" s="1550">
        <f t="shared" si="1"/>
        <v>13278.720000000001</v>
      </c>
    </row>
    <row r="44" spans="2:9" ht="15.75" customHeight="1">
      <c r="B44" s="1498">
        <v>1.2</v>
      </c>
      <c r="C44" s="1453" t="s">
        <v>1458</v>
      </c>
      <c r="D44" s="1451" t="s">
        <v>3200</v>
      </c>
      <c r="E44" s="1451">
        <v>16.7</v>
      </c>
      <c r="F44" s="1451">
        <v>3200</v>
      </c>
      <c r="G44" s="1451">
        <f t="shared" si="0"/>
        <v>53440</v>
      </c>
      <c r="H44" s="1451">
        <f>'Emer. Super TOS'!D31+'Wait Super TOS'!D28</f>
        <v>14.91</v>
      </c>
      <c r="I44" s="1550">
        <f t="shared" si="1"/>
        <v>47712</v>
      </c>
    </row>
    <row r="45" spans="2:9" ht="15.75" customHeight="1">
      <c r="B45" s="1498">
        <v>1.3</v>
      </c>
      <c r="C45" s="1453" t="s">
        <v>3</v>
      </c>
      <c r="D45" s="1451" t="s">
        <v>3200</v>
      </c>
      <c r="E45" s="1451">
        <v>1.3</v>
      </c>
      <c r="F45" s="1451">
        <v>3200</v>
      </c>
      <c r="G45" s="1451">
        <f t="shared" si="0"/>
        <v>4160</v>
      </c>
      <c r="H45" s="1451">
        <f>'Emer. Super TOS'!D46+'Wait Super TOS'!D34</f>
        <v>0.29799999999999999</v>
      </c>
      <c r="I45" s="1550">
        <f t="shared" si="1"/>
        <v>953.59999999999991</v>
      </c>
    </row>
    <row r="46" spans="2:9" ht="15.75" customHeight="1">
      <c r="B46" s="1498"/>
      <c r="C46" s="1453" t="s">
        <v>1568</v>
      </c>
      <c r="D46" s="1451"/>
      <c r="E46" s="1451"/>
      <c r="F46" s="1451"/>
      <c r="G46" s="1451"/>
      <c r="H46" s="1451"/>
      <c r="I46" s="1550"/>
    </row>
    <row r="47" spans="2:9" ht="15.75" customHeight="1">
      <c r="B47" s="1498">
        <v>1.3</v>
      </c>
      <c r="C47" s="1453" t="s">
        <v>1456</v>
      </c>
      <c r="D47" s="1451" t="s">
        <v>3201</v>
      </c>
      <c r="E47" s="1451">
        <v>103</v>
      </c>
      <c r="F47" s="1451">
        <v>130</v>
      </c>
      <c r="G47" s="1451">
        <f t="shared" si="0"/>
        <v>13390</v>
      </c>
      <c r="H47" s="1451">
        <f>'Emer. Super TOS'!D52+'Wait Super TOS'!D40</f>
        <v>82.992000000000004</v>
      </c>
      <c r="I47" s="1550">
        <f t="shared" si="1"/>
        <v>10788.960000000001</v>
      </c>
    </row>
    <row r="48" spans="2:9" ht="15.75" customHeight="1">
      <c r="B48" s="1498">
        <v>1.4</v>
      </c>
      <c r="C48" s="1453" t="s">
        <v>1455</v>
      </c>
      <c r="D48" s="1451" t="s">
        <v>3201</v>
      </c>
      <c r="E48" s="1451">
        <v>224</v>
      </c>
      <c r="F48" s="1451">
        <v>130</v>
      </c>
      <c r="G48" s="1451">
        <f t="shared" si="0"/>
        <v>29120</v>
      </c>
      <c r="H48" s="1451">
        <f>'Emer. Super TOS'!H13+'Wait Super TOS'!D55</f>
        <v>201.2</v>
      </c>
      <c r="I48" s="1550">
        <f t="shared" si="1"/>
        <v>26156</v>
      </c>
    </row>
    <row r="49" spans="2:9" ht="15.75" customHeight="1">
      <c r="B49" s="1498">
        <v>1.6</v>
      </c>
      <c r="C49" s="1453" t="s">
        <v>3</v>
      </c>
      <c r="D49" s="1451" t="s">
        <v>3201</v>
      </c>
      <c r="E49" s="1451">
        <v>10.8</v>
      </c>
      <c r="F49" s="1451">
        <v>130</v>
      </c>
      <c r="G49" s="1451">
        <f t="shared" si="0"/>
        <v>1404</v>
      </c>
      <c r="H49" s="1451">
        <f>'Emer. Super TOS'!H21+'Wait Super TOS'!D60</f>
        <v>5.29</v>
      </c>
      <c r="I49" s="1550">
        <f t="shared" si="1"/>
        <v>687.7</v>
      </c>
    </row>
    <row r="50" spans="2:9" ht="15.75" customHeight="1">
      <c r="B50" s="1498"/>
      <c r="C50" s="1453" t="s">
        <v>1454</v>
      </c>
      <c r="D50" s="1451"/>
      <c r="E50" s="1451"/>
      <c r="F50" s="1451"/>
      <c r="G50" s="1451"/>
      <c r="H50" s="1451"/>
      <c r="I50" s="1550"/>
    </row>
    <row r="51" spans="2:9" ht="15.75" customHeight="1">
      <c r="B51" s="1498">
        <v>1.5</v>
      </c>
      <c r="C51" s="1453" t="s">
        <v>1453</v>
      </c>
      <c r="D51" s="1451" t="s">
        <v>1450</v>
      </c>
      <c r="E51" s="1451"/>
      <c r="F51" s="1451"/>
      <c r="G51" s="1451"/>
      <c r="H51" s="1451"/>
      <c r="I51" s="1550"/>
    </row>
    <row r="52" spans="2:9" ht="15.75" customHeight="1">
      <c r="B52" s="1498">
        <v>1.6</v>
      </c>
      <c r="C52" s="1453" t="s">
        <v>1452</v>
      </c>
      <c r="D52" s="1451" t="s">
        <v>1450</v>
      </c>
      <c r="E52" s="1451">
        <v>1358</v>
      </c>
      <c r="F52" s="1451">
        <v>36</v>
      </c>
      <c r="G52" s="1451">
        <f t="shared" si="0"/>
        <v>48888</v>
      </c>
      <c r="H52" s="1451">
        <f>'Emer. Super TOS'!H24+'Wait Super TOS'!H9</f>
        <v>1935.7689600000003</v>
      </c>
      <c r="I52" s="1550">
        <f t="shared" si="1"/>
        <v>69687.682560000016</v>
      </c>
    </row>
    <row r="53" spans="2:9" ht="15.75" customHeight="1">
      <c r="B53" s="1499">
        <v>1.7</v>
      </c>
      <c r="C53" s="1483" t="s">
        <v>1451</v>
      </c>
      <c r="D53" s="1479" t="s">
        <v>1450</v>
      </c>
      <c r="E53" s="1479">
        <v>1227</v>
      </c>
      <c r="F53" s="1479">
        <v>36</v>
      </c>
      <c r="G53" s="1479">
        <f t="shared" si="0"/>
        <v>44172</v>
      </c>
      <c r="H53" s="1479">
        <f>'Emer. Super TOS'!H27+'Wait Super TOS'!H13</f>
        <v>616.12099999999998</v>
      </c>
      <c r="I53" s="1553">
        <f t="shared" si="1"/>
        <v>22180.356</v>
      </c>
    </row>
    <row r="54" spans="2:9" ht="15.75" customHeight="1">
      <c r="B54" s="1481"/>
      <c r="C54" s="1565" t="s">
        <v>1330</v>
      </c>
      <c r="D54" s="1481"/>
      <c r="E54" s="1481"/>
      <c r="F54" s="1481"/>
      <c r="G54" s="1481">
        <f>SUM(G43:G53)</f>
        <v>210894</v>
      </c>
      <c r="H54" s="1481"/>
      <c r="I54" s="1481">
        <f>SUM(I43:I53)</f>
        <v>191445.01856000003</v>
      </c>
    </row>
    <row r="55" spans="2:9" ht="15.75" customHeight="1">
      <c r="B55" s="1500"/>
      <c r="C55" s="1556" t="s">
        <v>1449</v>
      </c>
      <c r="D55" s="1484"/>
      <c r="E55" s="1484"/>
      <c r="F55" s="1484"/>
      <c r="G55" s="1484"/>
      <c r="H55" s="1484"/>
      <c r="I55" s="1555"/>
    </row>
    <row r="56" spans="2:9" ht="15.75" customHeight="1">
      <c r="B56" s="1498">
        <v>2.1</v>
      </c>
      <c r="C56" s="1453" t="s">
        <v>1447</v>
      </c>
      <c r="D56" s="1451" t="s">
        <v>3201</v>
      </c>
      <c r="E56" s="1451">
        <v>360</v>
      </c>
      <c r="F56" s="1451">
        <v>350</v>
      </c>
      <c r="G56" s="1451">
        <f t="shared" si="0"/>
        <v>126000</v>
      </c>
      <c r="H56" s="1451">
        <f>'Emer. Super TOS'!D92+'Wait Super TOS'!H47</f>
        <v>298.90050000000002</v>
      </c>
      <c r="I56" s="1550">
        <f t="shared" si="1"/>
        <v>104615.175</v>
      </c>
    </row>
    <row r="57" spans="2:9" ht="15.75" customHeight="1">
      <c r="B57" s="1499">
        <v>2.2000000000000002</v>
      </c>
      <c r="C57" s="1483" t="s">
        <v>1667</v>
      </c>
      <c r="D57" s="1479" t="s">
        <v>3201</v>
      </c>
      <c r="E57" s="1479">
        <v>208</v>
      </c>
      <c r="F57" s="1479">
        <v>320</v>
      </c>
      <c r="G57" s="1479">
        <f t="shared" si="0"/>
        <v>66560</v>
      </c>
      <c r="H57" s="1479">
        <f>'Emer. Super TOS'!H86+'Wait Super TOS'!H60</f>
        <v>135.95870000000002</v>
      </c>
      <c r="I57" s="1553">
        <f t="shared" si="1"/>
        <v>43506.784000000007</v>
      </c>
    </row>
    <row r="58" spans="2:9" ht="15.75" customHeight="1">
      <c r="B58" s="2174" t="s">
        <v>1330</v>
      </c>
      <c r="C58" s="2174"/>
      <c r="D58" s="2174"/>
      <c r="E58" s="1491"/>
      <c r="F58" s="1491"/>
      <c r="G58" s="1491">
        <f>SUM(G56:G57)</f>
        <v>192560</v>
      </c>
      <c r="H58" s="1491"/>
      <c r="I58" s="1491">
        <f>SUM(I56:I57)</f>
        <v>148121.959</v>
      </c>
    </row>
    <row r="59" spans="2:9" ht="15.75" customHeight="1">
      <c r="B59" s="1500"/>
      <c r="C59" s="1554" t="s">
        <v>1443</v>
      </c>
      <c r="D59" s="1484"/>
      <c r="E59" s="1484"/>
      <c r="F59" s="1484"/>
      <c r="G59" s="1484"/>
      <c r="H59" s="1484"/>
      <c r="I59" s="1555"/>
    </row>
    <row r="60" spans="2:9" ht="15.75" customHeight="1">
      <c r="B60" s="1498">
        <v>3.1</v>
      </c>
      <c r="C60" s="1453" t="s">
        <v>1442</v>
      </c>
      <c r="D60" s="1451" t="s">
        <v>3201</v>
      </c>
      <c r="E60" s="1451">
        <v>596.38</v>
      </c>
      <c r="F60" s="1451">
        <v>300</v>
      </c>
      <c r="G60" s="1451">
        <f t="shared" si="0"/>
        <v>178914</v>
      </c>
      <c r="H60" s="1451">
        <f>'Emer. Super TOS'!H93+'Wait Super TOS'!D70</f>
        <v>492.15500000000009</v>
      </c>
      <c r="I60" s="1550">
        <f t="shared" si="1"/>
        <v>147646.50000000003</v>
      </c>
    </row>
    <row r="61" spans="2:9" ht="17.25" customHeight="1">
      <c r="B61" s="1498">
        <v>3.2</v>
      </c>
      <c r="C61" s="1456" t="s">
        <v>1771</v>
      </c>
      <c r="D61" s="1451" t="s">
        <v>3201</v>
      </c>
      <c r="E61" s="1451">
        <v>77</v>
      </c>
      <c r="F61" s="1451">
        <v>160</v>
      </c>
      <c r="G61" s="1451">
        <f t="shared" si="0"/>
        <v>12320</v>
      </c>
      <c r="H61" s="1451">
        <f>'Emer. Super TOS'!H102+'Wait Super TOS'!D79</f>
        <v>59</v>
      </c>
      <c r="I61" s="1550">
        <f t="shared" si="1"/>
        <v>9440</v>
      </c>
    </row>
    <row r="62" spans="2:9" ht="15.75" customHeight="1">
      <c r="B62" s="1498">
        <v>3.2</v>
      </c>
      <c r="C62" s="1453" t="s">
        <v>1440</v>
      </c>
      <c r="D62" s="1451" t="s">
        <v>1406</v>
      </c>
      <c r="E62" s="1451"/>
      <c r="F62" s="1451">
        <v>110</v>
      </c>
      <c r="G62" s="1451">
        <f t="shared" si="0"/>
        <v>0</v>
      </c>
      <c r="H62" s="1451">
        <f>'Emer. Super TOS'!H106+'Wait Super TOS'!D84</f>
        <v>37.200000000000003</v>
      </c>
      <c r="I62" s="1550">
        <f t="shared" si="1"/>
        <v>4092.0000000000005</v>
      </c>
    </row>
    <row r="63" spans="2:9" ht="19.5" customHeight="1">
      <c r="B63" s="1499">
        <v>3.3</v>
      </c>
      <c r="C63" s="1490" t="s">
        <v>1439</v>
      </c>
      <c r="D63" s="1479" t="s">
        <v>1406</v>
      </c>
      <c r="E63" s="1479">
        <v>134</v>
      </c>
      <c r="F63" s="1479">
        <v>120</v>
      </c>
      <c r="G63" s="1479">
        <f t="shared" si="0"/>
        <v>16080</v>
      </c>
      <c r="H63" s="1479">
        <f>'Emer. Super TOS'!H110+'Wait Super TOS'!D88</f>
        <v>84.2</v>
      </c>
      <c r="I63" s="1553">
        <f t="shared" si="1"/>
        <v>10104</v>
      </c>
    </row>
    <row r="64" spans="2:9" ht="15.75" customHeight="1">
      <c r="B64" s="2175" t="s">
        <v>1330</v>
      </c>
      <c r="C64" s="2175"/>
      <c r="D64" s="2175"/>
      <c r="E64" s="1302"/>
      <c r="F64" s="1302"/>
      <c r="G64" s="1302">
        <f>SUM(G60:G63)</f>
        <v>207314</v>
      </c>
      <c r="H64" s="1302"/>
      <c r="I64" s="1302">
        <f>SUM(I60:I63)</f>
        <v>171282.50000000003</v>
      </c>
    </row>
    <row r="65" spans="2:12" ht="15.75" customHeight="1">
      <c r="B65" s="1500"/>
      <c r="C65" s="1554" t="s">
        <v>1438</v>
      </c>
      <c r="D65" s="1484"/>
      <c r="E65" s="1484"/>
      <c r="F65" s="1484"/>
      <c r="G65" s="1484"/>
      <c r="H65" s="1484"/>
      <c r="I65" s="1555"/>
    </row>
    <row r="66" spans="2:12" ht="15.75" customHeight="1">
      <c r="B66" s="1498">
        <v>4.0999999999999996</v>
      </c>
      <c r="C66" s="1453" t="s">
        <v>1437</v>
      </c>
      <c r="D66" s="1451" t="s">
        <v>1406</v>
      </c>
      <c r="E66" s="1451">
        <v>790</v>
      </c>
      <c r="F66" s="1451">
        <v>23</v>
      </c>
      <c r="G66" s="1451">
        <f t="shared" si="0"/>
        <v>18170</v>
      </c>
      <c r="H66" s="1451">
        <f>'Emer. Super TOS'!H120+'Wait Super TOS'!D98</f>
        <v>845.8</v>
      </c>
      <c r="I66" s="1550">
        <f t="shared" si="1"/>
        <v>19453.399999999998</v>
      </c>
    </row>
    <row r="67" spans="2:12" ht="15.75" customHeight="1">
      <c r="B67" s="1498">
        <v>4.2</v>
      </c>
      <c r="C67" s="1453" t="s">
        <v>1598</v>
      </c>
      <c r="D67" s="1451" t="s">
        <v>1406</v>
      </c>
      <c r="E67" s="1451">
        <v>502</v>
      </c>
      <c r="F67" s="1451">
        <v>16</v>
      </c>
      <c r="G67" s="1451">
        <f t="shared" si="0"/>
        <v>8032</v>
      </c>
      <c r="H67" s="1451">
        <f>'Emer. Super TOS'!D131+'Wait Super TOS'!D107</f>
        <v>957.14</v>
      </c>
      <c r="I67" s="1550">
        <f t="shared" si="1"/>
        <v>15314.24</v>
      </c>
      <c r="L67" s="1307">
        <v>4149.6000000000004</v>
      </c>
    </row>
    <row r="68" spans="2:12" ht="15.75" customHeight="1">
      <c r="B68" s="1498">
        <v>4.3</v>
      </c>
      <c r="C68" s="1453" t="s">
        <v>1435</v>
      </c>
      <c r="D68" s="1451" t="s">
        <v>1406</v>
      </c>
      <c r="E68" s="1451">
        <v>667.74</v>
      </c>
      <c r="F68" s="1451">
        <v>33</v>
      </c>
      <c r="G68" s="1451">
        <f t="shared" si="0"/>
        <v>22035.420000000002</v>
      </c>
      <c r="H68" s="1451">
        <f>'Emer. Super TOS'!D136+'Wait Super TOS'!D111</f>
        <v>631.40000000000009</v>
      </c>
      <c r="I68" s="1550">
        <f t="shared" si="1"/>
        <v>20836.200000000004</v>
      </c>
    </row>
    <row r="69" spans="2:12" ht="15.75" customHeight="1">
      <c r="B69" s="1498">
        <v>4.4000000000000004</v>
      </c>
      <c r="C69" s="1453" t="s">
        <v>1434</v>
      </c>
      <c r="D69" s="1451" t="s">
        <v>1406</v>
      </c>
      <c r="E69" s="1451">
        <v>95.42</v>
      </c>
      <c r="F69" s="1451">
        <v>71</v>
      </c>
      <c r="G69" s="1451">
        <f t="shared" si="0"/>
        <v>6774.82</v>
      </c>
      <c r="H69" s="1451">
        <f>'Emer. Super TOS'!D145+'Wait Super TOS'!D120</f>
        <v>120.4</v>
      </c>
      <c r="I69" s="1550">
        <f t="shared" si="1"/>
        <v>8548.4</v>
      </c>
      <c r="L69" s="1307">
        <v>4668.3</v>
      </c>
    </row>
    <row r="70" spans="2:12" ht="15.75" customHeight="1">
      <c r="B70" s="1498">
        <v>4.5</v>
      </c>
      <c r="C70" s="1453" t="s">
        <v>1432</v>
      </c>
      <c r="D70" s="1451" t="s">
        <v>1416</v>
      </c>
      <c r="E70" s="1451">
        <v>2</v>
      </c>
      <c r="F70" s="1451">
        <v>5187</v>
      </c>
      <c r="G70" s="1451">
        <f t="shared" si="0"/>
        <v>10374</v>
      </c>
      <c r="H70" s="1451">
        <f>'Emer. Super TOS'!D149</f>
        <v>2</v>
      </c>
      <c r="I70" s="1550">
        <f t="shared" si="1"/>
        <v>10374</v>
      </c>
    </row>
    <row r="71" spans="2:12" ht="15.75" customHeight="1">
      <c r="B71" s="1498">
        <v>4.5999999999999996</v>
      </c>
      <c r="C71" s="1453" t="s">
        <v>1431</v>
      </c>
      <c r="D71" s="1451" t="s">
        <v>1416</v>
      </c>
      <c r="E71" s="1451">
        <v>7</v>
      </c>
      <c r="F71" s="1451">
        <v>4149.6000000000004</v>
      </c>
      <c r="G71" s="1451">
        <f t="shared" si="0"/>
        <v>29047.200000000004</v>
      </c>
      <c r="H71" s="1451">
        <f>'Emer. Super TOS'!D153</f>
        <v>1</v>
      </c>
      <c r="I71" s="1550">
        <f t="shared" si="1"/>
        <v>4149.6000000000004</v>
      </c>
    </row>
    <row r="72" spans="2:12" ht="15.75" customHeight="1">
      <c r="B72" s="1499">
        <v>4.7</v>
      </c>
      <c r="C72" s="1483" t="s">
        <v>1429</v>
      </c>
      <c r="D72" s="1479" t="s">
        <v>1416</v>
      </c>
      <c r="E72" s="1479">
        <v>6</v>
      </c>
      <c r="F72" s="1479">
        <v>4668.3</v>
      </c>
      <c r="G72" s="1479">
        <f t="shared" si="0"/>
        <v>28009.800000000003</v>
      </c>
      <c r="H72" s="1479">
        <f>'Emer. Super TOS'!D157</f>
        <v>2</v>
      </c>
      <c r="I72" s="1553">
        <f t="shared" si="1"/>
        <v>9336.6</v>
      </c>
    </row>
    <row r="73" spans="2:12" ht="15.75" customHeight="1">
      <c r="B73" s="2058" t="s">
        <v>1330</v>
      </c>
      <c r="C73" s="2058"/>
      <c r="D73" s="2058"/>
      <c r="E73" s="1481"/>
      <c r="F73" s="1481"/>
      <c r="G73" s="1481">
        <f>SUM(G66:G72)</f>
        <v>122443.24</v>
      </c>
      <c r="H73" s="1481"/>
      <c r="I73" s="1481">
        <f>SUM(I66:I72)</f>
        <v>88012.440000000017</v>
      </c>
    </row>
    <row r="74" spans="2:12" ht="15.75" customHeight="1">
      <c r="B74" s="1500"/>
      <c r="C74" s="1554" t="s">
        <v>1428</v>
      </c>
      <c r="D74" s="1484"/>
      <c r="E74" s="1484"/>
      <c r="F74" s="1484"/>
      <c r="G74" s="1484"/>
      <c r="H74" s="1484"/>
      <c r="I74" s="1555"/>
    </row>
    <row r="75" spans="2:12" ht="15.75" customHeight="1">
      <c r="B75" s="1498"/>
      <c r="C75" s="1453" t="s">
        <v>1427</v>
      </c>
      <c r="D75" s="1451"/>
      <c r="E75" s="1451"/>
      <c r="F75" s="1451"/>
      <c r="G75" s="1451"/>
      <c r="H75" s="1451"/>
      <c r="I75" s="1550"/>
    </row>
    <row r="76" spans="2:12" ht="15.75" customHeight="1">
      <c r="B76" s="1498">
        <v>5.0999999999999996</v>
      </c>
      <c r="C76" s="1453" t="s">
        <v>1426</v>
      </c>
      <c r="D76" s="1451" t="s">
        <v>1416</v>
      </c>
      <c r="E76" s="1451">
        <v>22</v>
      </c>
      <c r="F76" s="1451">
        <v>3892.5</v>
      </c>
      <c r="G76" s="1451">
        <f t="shared" ref="G76:G123" si="2">E76*F76</f>
        <v>85635</v>
      </c>
      <c r="H76" s="1451">
        <f>'Emer. Super TOS'!D165+'Wait Super TOS'!H68</f>
        <v>10</v>
      </c>
      <c r="I76" s="1550">
        <f t="shared" ref="I76:I123" si="3">F76*H76</f>
        <v>38925</v>
      </c>
    </row>
    <row r="77" spans="2:12" ht="15.75" customHeight="1">
      <c r="B77" s="1498">
        <v>5.2</v>
      </c>
      <c r="C77" s="1453" t="s">
        <v>1425</v>
      </c>
      <c r="D77" s="1451" t="s">
        <v>1416</v>
      </c>
      <c r="E77" s="1451">
        <v>2</v>
      </c>
      <c r="F77" s="1451">
        <v>3373.5</v>
      </c>
      <c r="G77" s="1451">
        <f t="shared" si="2"/>
        <v>6747</v>
      </c>
      <c r="H77" s="1451">
        <f>'Emer. Super TOS'!D169</f>
        <v>2</v>
      </c>
      <c r="I77" s="1550">
        <f t="shared" si="3"/>
        <v>6747</v>
      </c>
    </row>
    <row r="78" spans="2:12" ht="15.75" customHeight="1">
      <c r="B78" s="1498">
        <v>5.3</v>
      </c>
      <c r="C78" s="1453" t="s">
        <v>1610</v>
      </c>
      <c r="D78" s="1451" t="s">
        <v>1416</v>
      </c>
      <c r="E78" s="1451">
        <v>1</v>
      </c>
      <c r="F78" s="1451">
        <v>4914</v>
      </c>
      <c r="G78" s="1451">
        <f t="shared" si="2"/>
        <v>4914</v>
      </c>
      <c r="H78" s="1451"/>
      <c r="I78" s="1550">
        <f t="shared" si="3"/>
        <v>0</v>
      </c>
    </row>
    <row r="79" spans="2:12" ht="15.75" customHeight="1">
      <c r="B79" s="1498">
        <v>5.4</v>
      </c>
      <c r="C79" s="1453" t="s">
        <v>1577</v>
      </c>
      <c r="D79" s="1451" t="s">
        <v>1416</v>
      </c>
      <c r="E79" s="1451">
        <v>1</v>
      </c>
      <c r="F79" s="1451">
        <v>4095</v>
      </c>
      <c r="G79" s="1451">
        <f t="shared" si="2"/>
        <v>4095</v>
      </c>
      <c r="H79" s="1451">
        <f>'Emer. Super TOS'!D173+'Wait Super TOS'!H72</f>
        <v>3</v>
      </c>
      <c r="I79" s="1550">
        <f t="shared" si="3"/>
        <v>12285</v>
      </c>
    </row>
    <row r="80" spans="2:12" ht="15.75" customHeight="1">
      <c r="B80" s="1498">
        <v>5.5</v>
      </c>
      <c r="C80" s="1453" t="s">
        <v>1422</v>
      </c>
      <c r="D80" s="1451" t="s">
        <v>1416</v>
      </c>
      <c r="E80" s="1451">
        <v>1</v>
      </c>
      <c r="F80" s="1451">
        <v>1170</v>
      </c>
      <c r="G80" s="1451">
        <f t="shared" si="2"/>
        <v>1170</v>
      </c>
      <c r="H80" s="1451"/>
      <c r="I80" s="1550">
        <f t="shared" si="3"/>
        <v>0</v>
      </c>
    </row>
    <row r="81" spans="2:9" ht="15.75" customHeight="1">
      <c r="B81" s="1498"/>
      <c r="C81" s="1453" t="s">
        <v>1433</v>
      </c>
      <c r="D81" s="1451"/>
      <c r="E81" s="1451"/>
      <c r="F81" s="1451"/>
      <c r="G81" s="1451"/>
      <c r="H81" s="1451"/>
      <c r="I81" s="1550"/>
    </row>
    <row r="82" spans="2:9" ht="15.75" customHeight="1">
      <c r="B82" s="1498">
        <v>5.6</v>
      </c>
      <c r="C82" s="1453" t="s">
        <v>1772</v>
      </c>
      <c r="D82" s="1451" t="s">
        <v>1416</v>
      </c>
      <c r="E82" s="1451">
        <v>2</v>
      </c>
      <c r="F82" s="1451">
        <v>3300</v>
      </c>
      <c r="G82" s="1451">
        <f t="shared" si="2"/>
        <v>6600</v>
      </c>
      <c r="H82" s="1451"/>
      <c r="I82" s="1550">
        <f t="shared" si="3"/>
        <v>0</v>
      </c>
    </row>
    <row r="83" spans="2:9" ht="15.75" customHeight="1">
      <c r="B83" s="1498">
        <v>5.7</v>
      </c>
      <c r="C83" s="1453" t="s">
        <v>1505</v>
      </c>
      <c r="D83" s="1451" t="s">
        <v>1416</v>
      </c>
      <c r="E83" s="1451">
        <v>3</v>
      </c>
      <c r="F83" s="1451">
        <v>5733</v>
      </c>
      <c r="G83" s="1451">
        <f t="shared" si="2"/>
        <v>17199</v>
      </c>
      <c r="H83" s="1451">
        <f>'Emer. Super TOS'!D177</f>
        <v>2</v>
      </c>
      <c r="I83" s="1550">
        <f t="shared" si="3"/>
        <v>11466</v>
      </c>
    </row>
    <row r="84" spans="2:9" ht="15.75" customHeight="1">
      <c r="B84" s="1498">
        <v>5.8</v>
      </c>
      <c r="C84" s="1453" t="s">
        <v>1419</v>
      </c>
      <c r="D84" s="1451" t="s">
        <v>1416</v>
      </c>
      <c r="E84" s="1451">
        <v>3</v>
      </c>
      <c r="F84" s="1451">
        <v>2450</v>
      </c>
      <c r="G84" s="1451">
        <f t="shared" si="2"/>
        <v>7350</v>
      </c>
      <c r="H84" s="1451"/>
      <c r="I84" s="1550">
        <f t="shared" si="3"/>
        <v>0</v>
      </c>
    </row>
    <row r="85" spans="2:9" ht="15.75" customHeight="1">
      <c r="B85" s="1498">
        <v>5.9</v>
      </c>
      <c r="C85" s="1453" t="s">
        <v>1417</v>
      </c>
      <c r="D85" s="1451" t="s">
        <v>1416</v>
      </c>
      <c r="E85" s="1451">
        <v>2</v>
      </c>
      <c r="F85" s="1451">
        <v>3276</v>
      </c>
      <c r="G85" s="1451">
        <f t="shared" si="2"/>
        <v>6552</v>
      </c>
      <c r="H85" s="1451"/>
      <c r="I85" s="1550">
        <f t="shared" si="3"/>
        <v>0</v>
      </c>
    </row>
    <row r="86" spans="2:9" ht="15.75" customHeight="1">
      <c r="B86" s="1499">
        <v>5.0999999999999996</v>
      </c>
      <c r="C86" s="1483" t="s">
        <v>1418</v>
      </c>
      <c r="D86" s="1479" t="s">
        <v>1416</v>
      </c>
      <c r="E86" s="1479">
        <v>4</v>
      </c>
      <c r="F86" s="1479">
        <v>3685.5</v>
      </c>
      <c r="G86" s="1479">
        <f t="shared" si="2"/>
        <v>14742</v>
      </c>
      <c r="H86" s="1479">
        <f>'Emer. Super TOS'!D181</f>
        <v>5</v>
      </c>
      <c r="I86" s="1553">
        <f t="shared" si="3"/>
        <v>18427.5</v>
      </c>
    </row>
    <row r="87" spans="2:9" ht="15.75" customHeight="1">
      <c r="B87" s="2058" t="s">
        <v>1330</v>
      </c>
      <c r="C87" s="2058"/>
      <c r="D87" s="2058"/>
      <c r="E87" s="1481"/>
      <c r="F87" s="1481"/>
      <c r="G87" s="1481">
        <f>SUM(G76:G86)</f>
        <v>155004</v>
      </c>
      <c r="H87" s="1481"/>
      <c r="I87" s="1481">
        <f>SUM(I76:I86)</f>
        <v>87850.5</v>
      </c>
    </row>
    <row r="88" spans="2:9" ht="15.75" customHeight="1">
      <c r="B88" s="1500"/>
      <c r="C88" s="1554" t="s">
        <v>1415</v>
      </c>
      <c r="D88" s="1484"/>
      <c r="E88" s="1484"/>
      <c r="F88" s="1484"/>
      <c r="G88" s="1484"/>
      <c r="H88" s="1484"/>
      <c r="I88" s="1555"/>
    </row>
    <row r="89" spans="2:9" ht="15.75" customHeight="1">
      <c r="B89" s="1501"/>
      <c r="C89" s="1453" t="s">
        <v>1773</v>
      </c>
      <c r="D89" s="1451"/>
      <c r="E89" s="1451"/>
      <c r="F89" s="1451"/>
      <c r="G89" s="1451"/>
      <c r="H89" s="1451"/>
      <c r="I89" s="1550"/>
    </row>
    <row r="90" spans="2:9" ht="15.75" customHeight="1">
      <c r="B90" s="1498">
        <v>6.1</v>
      </c>
      <c r="C90" s="1453" t="s">
        <v>1414</v>
      </c>
      <c r="D90" s="1451" t="s">
        <v>3201</v>
      </c>
      <c r="E90" s="1451">
        <v>209</v>
      </c>
      <c r="F90" s="1451">
        <v>140</v>
      </c>
      <c r="G90" s="1451">
        <f t="shared" si="2"/>
        <v>29260</v>
      </c>
      <c r="H90" s="1451">
        <f>'Emer. Super TOS'!H177+'Wait Super TOS'!H100</f>
        <v>185.36900000000003</v>
      </c>
      <c r="I90" s="1550">
        <f t="shared" si="3"/>
        <v>25951.660000000003</v>
      </c>
    </row>
    <row r="91" spans="2:9" ht="15.75" customHeight="1">
      <c r="B91" s="1498">
        <v>6.2</v>
      </c>
      <c r="C91" s="1458" t="s">
        <v>1413</v>
      </c>
      <c r="D91" s="1451" t="s">
        <v>3201</v>
      </c>
      <c r="E91" s="1451">
        <v>908</v>
      </c>
      <c r="F91" s="1451">
        <v>150</v>
      </c>
      <c r="G91" s="1451">
        <f t="shared" si="2"/>
        <v>136200</v>
      </c>
      <c r="H91" s="1451">
        <f>'Emer. Super TOS'!H247+'Wait Super TOS'!D177</f>
        <v>839.30450000000008</v>
      </c>
      <c r="I91" s="1550">
        <f t="shared" si="3"/>
        <v>125895.67500000002</v>
      </c>
    </row>
    <row r="92" spans="2:9" s="1340" customFormat="1" ht="15.75" customHeight="1">
      <c r="B92" s="1498">
        <v>6.4</v>
      </c>
      <c r="C92" s="1453" t="s">
        <v>1412</v>
      </c>
      <c r="D92" s="1451" t="s">
        <v>3201</v>
      </c>
      <c r="E92" s="1451">
        <v>347</v>
      </c>
      <c r="F92" s="1451">
        <v>310</v>
      </c>
      <c r="G92" s="1451">
        <f t="shared" si="2"/>
        <v>107570</v>
      </c>
      <c r="H92" s="1451">
        <f>'Emer. Super TOS'!H289+'Wait Super TOS'!H145</f>
        <v>370.92000000000007</v>
      </c>
      <c r="I92" s="1550">
        <f t="shared" si="3"/>
        <v>114985.20000000003</v>
      </c>
    </row>
    <row r="93" spans="2:9" ht="15.75" customHeight="1">
      <c r="B93" s="1501">
        <v>6.12</v>
      </c>
      <c r="C93" s="1459" t="s">
        <v>1774</v>
      </c>
      <c r="D93" s="1451" t="s">
        <v>3201</v>
      </c>
      <c r="E93" s="1451">
        <v>347</v>
      </c>
      <c r="F93" s="1451">
        <v>300</v>
      </c>
      <c r="G93" s="1451">
        <f t="shared" si="2"/>
        <v>104100</v>
      </c>
      <c r="H93" s="1451">
        <f>'Emer. Super TOS'!D359+'Wait Super TOS'!H172</f>
        <v>332.75550000000004</v>
      </c>
      <c r="I93" s="1550">
        <f t="shared" si="3"/>
        <v>99826.650000000009</v>
      </c>
    </row>
    <row r="94" spans="2:9" ht="16.5" customHeight="1">
      <c r="B94" s="1501">
        <v>6.13</v>
      </c>
      <c r="C94" s="1459" t="s">
        <v>1409</v>
      </c>
      <c r="D94" s="1451" t="s">
        <v>1406</v>
      </c>
      <c r="E94" s="1451">
        <v>378</v>
      </c>
      <c r="F94" s="1451">
        <v>100</v>
      </c>
      <c r="G94" s="1451">
        <f t="shared" si="2"/>
        <v>37800</v>
      </c>
      <c r="H94" s="1451">
        <f>'Emer. Super TOS'!H333+'Wait Super TOS'!D196</f>
        <v>244.25</v>
      </c>
      <c r="I94" s="1550">
        <f t="shared" si="3"/>
        <v>24425</v>
      </c>
    </row>
    <row r="95" spans="2:9" ht="15.75" customHeight="1">
      <c r="B95" s="1501">
        <v>6.17</v>
      </c>
      <c r="C95" s="1453" t="s">
        <v>1775</v>
      </c>
      <c r="D95" s="1451" t="s">
        <v>1406</v>
      </c>
      <c r="E95" s="1451">
        <v>39</v>
      </c>
      <c r="F95" s="1451">
        <v>150</v>
      </c>
      <c r="G95" s="1451">
        <f>E95*F95</f>
        <v>5850</v>
      </c>
      <c r="H95" s="1451">
        <v>45.65</v>
      </c>
      <c r="I95" s="1550">
        <f t="shared" si="3"/>
        <v>6847.5</v>
      </c>
    </row>
    <row r="96" spans="2:9" ht="17.25" customHeight="1">
      <c r="B96" s="1501">
        <v>6.21</v>
      </c>
      <c r="C96" s="1459" t="s">
        <v>1511</v>
      </c>
      <c r="D96" s="1451" t="s">
        <v>3201</v>
      </c>
      <c r="E96" s="1451">
        <v>89</v>
      </c>
      <c r="F96" s="1451">
        <v>550</v>
      </c>
      <c r="G96" s="1451">
        <f t="shared" si="2"/>
        <v>48950</v>
      </c>
      <c r="H96" s="1451">
        <f>'Emer. Super TOS'!D368+'Wait Super TOS'!D225</f>
        <v>125.39999999999998</v>
      </c>
      <c r="I96" s="1550">
        <f t="shared" si="3"/>
        <v>68969.999999999985</v>
      </c>
    </row>
    <row r="97" spans="2:9" ht="16.5" customHeight="1">
      <c r="B97" s="1501">
        <v>6.22</v>
      </c>
      <c r="C97" s="1460" t="s">
        <v>3397</v>
      </c>
      <c r="D97" s="1451" t="s">
        <v>1402</v>
      </c>
      <c r="E97" s="1451">
        <v>83</v>
      </c>
      <c r="F97" s="1451">
        <v>100</v>
      </c>
      <c r="G97" s="1451">
        <f t="shared" si="2"/>
        <v>8300</v>
      </c>
      <c r="H97" s="1451">
        <f>'Emer. Super TOS'!D377+'Wait Super TOS'!D235</f>
        <v>100.75</v>
      </c>
      <c r="I97" s="1550">
        <f t="shared" si="3"/>
        <v>10075</v>
      </c>
    </row>
    <row r="98" spans="2:9" ht="18.75" customHeight="1">
      <c r="B98" s="1502">
        <v>6.23</v>
      </c>
      <c r="C98" s="1486" t="s">
        <v>1403</v>
      </c>
      <c r="D98" s="1479" t="s">
        <v>1402</v>
      </c>
      <c r="E98" s="1479">
        <v>83</v>
      </c>
      <c r="F98" s="1479">
        <v>265</v>
      </c>
      <c r="G98" s="1479">
        <f t="shared" si="2"/>
        <v>21995</v>
      </c>
      <c r="H98" s="1479">
        <f>'Emer. Super TOS'!D386+'Wait Super TOS'!H189</f>
        <v>103.55</v>
      </c>
      <c r="I98" s="1553">
        <f t="shared" si="3"/>
        <v>27440.75</v>
      </c>
    </row>
    <row r="99" spans="2:9" ht="15.75" customHeight="1">
      <c r="B99" s="2058" t="s">
        <v>1330</v>
      </c>
      <c r="C99" s="2058"/>
      <c r="D99" s="2058"/>
      <c r="E99" s="1481"/>
      <c r="F99" s="1481"/>
      <c r="G99" s="1481">
        <f>SUM(G90:G98)</f>
        <v>500025</v>
      </c>
      <c r="H99" s="1481"/>
      <c r="I99" s="1481">
        <f>SUM(I90:I98)</f>
        <v>504417.43500000006</v>
      </c>
    </row>
    <row r="100" spans="2:9" ht="15.75" customHeight="1">
      <c r="B100" s="1500"/>
      <c r="C100" s="1554" t="s">
        <v>1401</v>
      </c>
      <c r="D100" s="1484"/>
      <c r="E100" s="1484"/>
      <c r="F100" s="1484"/>
      <c r="G100" s="1484"/>
      <c r="H100" s="1484"/>
      <c r="I100" s="1555"/>
    </row>
    <row r="101" spans="2:9" ht="15.75" customHeight="1">
      <c r="B101" s="1498">
        <v>7.1</v>
      </c>
      <c r="C101" s="1453" t="s">
        <v>1603</v>
      </c>
      <c r="D101" s="1451" t="s">
        <v>3201</v>
      </c>
      <c r="E101" s="1451">
        <v>990</v>
      </c>
      <c r="F101" s="1451">
        <f>28*2/3</f>
        <v>18.666666666666668</v>
      </c>
      <c r="G101" s="1451">
        <f t="shared" si="2"/>
        <v>18480</v>
      </c>
      <c r="H101" s="1451">
        <f>'Emer. Super TOS'!D391+'Wait Super TOS'!H193</f>
        <v>839.30450000000008</v>
      </c>
      <c r="I101" s="1550">
        <f t="shared" si="3"/>
        <v>15667.017333333335</v>
      </c>
    </row>
    <row r="102" spans="2:9" ht="15.75" customHeight="1">
      <c r="B102" s="1498">
        <v>7.2</v>
      </c>
      <c r="C102" s="1453" t="s">
        <v>1399</v>
      </c>
      <c r="D102" s="1451" t="s">
        <v>3201</v>
      </c>
      <c r="E102" s="1451">
        <v>347</v>
      </c>
      <c r="F102" s="1451">
        <f t="shared" ref="F102:F103" si="4">28*2/3</f>
        <v>18.666666666666668</v>
      </c>
      <c r="G102" s="1451">
        <f t="shared" si="2"/>
        <v>6477.3333333333339</v>
      </c>
      <c r="H102" s="1451">
        <f>'Emer. Super TOS'!D394+'Wait Super TOS'!H196</f>
        <v>370.92000000000007</v>
      </c>
      <c r="I102" s="1550">
        <f t="shared" si="3"/>
        <v>6923.840000000002</v>
      </c>
    </row>
    <row r="103" spans="2:9" ht="15.75" customHeight="1">
      <c r="B103" s="1499">
        <v>7.3</v>
      </c>
      <c r="C103" s="1483" t="s">
        <v>1398</v>
      </c>
      <c r="D103" s="1479" t="s">
        <v>3201</v>
      </c>
      <c r="E103" s="1479">
        <v>209</v>
      </c>
      <c r="F103" s="1479">
        <f t="shared" si="4"/>
        <v>18.666666666666668</v>
      </c>
      <c r="G103" s="1479">
        <f t="shared" si="2"/>
        <v>3901.3333333333335</v>
      </c>
      <c r="H103" s="1479">
        <f>'Emer. Super TOS'!D397+'Wait Super TOS'!H199</f>
        <v>185.36900000000003</v>
      </c>
      <c r="I103" s="1553">
        <f t="shared" si="3"/>
        <v>3460.2213333333339</v>
      </c>
    </row>
    <row r="104" spans="2:9" ht="15.75" customHeight="1">
      <c r="B104" s="2058" t="s">
        <v>1330</v>
      </c>
      <c r="C104" s="2058"/>
      <c r="D104" s="2058"/>
      <c r="E104" s="1481"/>
      <c r="F104" s="1481"/>
      <c r="G104" s="1481">
        <f>SUM(G101:G103)</f>
        <v>28858.666666666668</v>
      </c>
      <c r="H104" s="1481"/>
      <c r="I104" s="1481">
        <f>SUM(I101:I103)</f>
        <v>26051.078666666672</v>
      </c>
    </row>
    <row r="105" spans="2:9" ht="15.75" customHeight="1">
      <c r="B105" s="1500"/>
      <c r="C105" s="1554" t="s">
        <v>1395</v>
      </c>
      <c r="D105" s="1484"/>
      <c r="E105" s="1484"/>
      <c r="F105" s="1484"/>
      <c r="G105" s="1484"/>
      <c r="H105" s="1484"/>
      <c r="I105" s="1555"/>
    </row>
    <row r="106" spans="2:9" ht="15.75" customHeight="1">
      <c r="B106" s="1498">
        <v>9.1</v>
      </c>
      <c r="C106" s="1453" t="s">
        <v>1394</v>
      </c>
      <c r="D106" s="1451"/>
      <c r="E106" s="1451"/>
      <c r="F106" s="1451"/>
      <c r="G106" s="1451"/>
      <c r="H106" s="1451"/>
      <c r="I106" s="1550"/>
    </row>
    <row r="107" spans="2:9" ht="15.75" customHeight="1">
      <c r="B107" s="1498"/>
      <c r="C107" s="1453" t="s">
        <v>1391</v>
      </c>
      <c r="D107" s="1451" t="s">
        <v>1370</v>
      </c>
      <c r="E107" s="1451">
        <v>11</v>
      </c>
      <c r="F107" s="1451">
        <v>70</v>
      </c>
      <c r="G107" s="1451">
        <f t="shared" si="2"/>
        <v>770</v>
      </c>
      <c r="H107" s="1451">
        <f>'Emer. Super TOS'!D403</f>
        <v>17.190000000000001</v>
      </c>
      <c r="I107" s="1550">
        <f t="shared" si="3"/>
        <v>1203.3000000000002</v>
      </c>
    </row>
    <row r="108" spans="2:9" ht="15.75" customHeight="1">
      <c r="B108" s="1498"/>
      <c r="C108" s="1453" t="s">
        <v>1390</v>
      </c>
      <c r="D108" s="1451" t="s">
        <v>1370</v>
      </c>
      <c r="E108" s="1451">
        <v>10</v>
      </c>
      <c r="F108" s="1451">
        <v>80</v>
      </c>
      <c r="G108" s="1451">
        <f t="shared" si="2"/>
        <v>800</v>
      </c>
      <c r="H108" s="1451">
        <v>0</v>
      </c>
      <c r="I108" s="1550">
        <f t="shared" si="3"/>
        <v>0</v>
      </c>
    </row>
    <row r="109" spans="2:9" ht="15.75" customHeight="1">
      <c r="B109" s="1498"/>
      <c r="C109" s="1453" t="s">
        <v>1389</v>
      </c>
      <c r="D109" s="1451" t="s">
        <v>1370</v>
      </c>
      <c r="E109" s="1451">
        <v>43</v>
      </c>
      <c r="F109" s="1451">
        <v>95</v>
      </c>
      <c r="G109" s="1451">
        <f t="shared" si="2"/>
        <v>4085</v>
      </c>
      <c r="H109" s="1451">
        <f>'Emer. Super TOS'!D407</f>
        <v>3.05</v>
      </c>
      <c r="I109" s="1550">
        <f t="shared" si="3"/>
        <v>289.75</v>
      </c>
    </row>
    <row r="110" spans="2:9" ht="15.75" customHeight="1">
      <c r="B110" s="1498"/>
      <c r="C110" s="1453" t="s">
        <v>1388</v>
      </c>
      <c r="D110" s="1451" t="s">
        <v>1370</v>
      </c>
      <c r="E110" s="1451"/>
      <c r="F110" s="1451">
        <v>125</v>
      </c>
      <c r="G110" s="1451">
        <f t="shared" ref="G110" si="5">E110*F110</f>
        <v>0</v>
      </c>
      <c r="H110" s="1451">
        <f>'Emer. Super TOS'!D411</f>
        <v>4.2</v>
      </c>
      <c r="I110" s="1550">
        <f t="shared" ref="I110" si="6">F110*H110</f>
        <v>525</v>
      </c>
    </row>
    <row r="111" spans="2:9" ht="15.75" customHeight="1">
      <c r="B111" s="1498">
        <v>9.3000000000000007</v>
      </c>
      <c r="C111" s="1453" t="s">
        <v>1386</v>
      </c>
      <c r="D111" s="1451"/>
      <c r="E111" s="1451"/>
      <c r="F111" s="1451"/>
      <c r="G111" s="1451"/>
      <c r="H111" s="1451"/>
      <c r="I111" s="1550"/>
    </row>
    <row r="112" spans="2:9" ht="15.75" customHeight="1">
      <c r="B112" s="1498"/>
      <c r="C112" s="1453" t="s">
        <v>1384</v>
      </c>
      <c r="D112" s="1451" t="s">
        <v>4</v>
      </c>
      <c r="E112" s="1451">
        <v>25</v>
      </c>
      <c r="F112" s="1451">
        <v>95</v>
      </c>
      <c r="G112" s="1451">
        <f t="shared" si="2"/>
        <v>2375</v>
      </c>
      <c r="H112" s="1451">
        <f>'Emer. Super TOS'!D416</f>
        <v>3</v>
      </c>
      <c r="I112" s="1550">
        <f t="shared" si="3"/>
        <v>285</v>
      </c>
    </row>
    <row r="113" spans="2:9" ht="15.75" customHeight="1">
      <c r="B113" s="1498"/>
      <c r="C113" s="1453" t="s">
        <v>1383</v>
      </c>
      <c r="D113" s="1451" t="s">
        <v>4</v>
      </c>
      <c r="E113" s="1451">
        <v>4</v>
      </c>
      <c r="F113" s="1451">
        <v>105</v>
      </c>
      <c r="G113" s="1451">
        <f t="shared" si="2"/>
        <v>420</v>
      </c>
      <c r="H113" s="1451"/>
      <c r="I113" s="1550">
        <f t="shared" si="3"/>
        <v>0</v>
      </c>
    </row>
    <row r="114" spans="2:9" ht="15.75" customHeight="1">
      <c r="B114" s="1498"/>
      <c r="C114" s="1453" t="s">
        <v>1382</v>
      </c>
      <c r="D114" s="1451" t="s">
        <v>4</v>
      </c>
      <c r="E114" s="1451"/>
      <c r="F114" s="1451"/>
      <c r="G114" s="1451"/>
      <c r="H114" s="1451"/>
      <c r="I114" s="1550"/>
    </row>
    <row r="115" spans="2:9" ht="15.75" customHeight="1">
      <c r="B115" s="1498">
        <v>9.4</v>
      </c>
      <c r="C115" s="1453" t="s">
        <v>1381</v>
      </c>
      <c r="D115" s="1451" t="s">
        <v>4</v>
      </c>
      <c r="E115" s="1451"/>
      <c r="F115" s="1451"/>
      <c r="G115" s="1451"/>
      <c r="H115" s="1451"/>
      <c r="I115" s="1550"/>
    </row>
    <row r="116" spans="2:9" ht="15.75" customHeight="1">
      <c r="B116" s="1498">
        <v>9.5</v>
      </c>
      <c r="C116" s="1453" t="s">
        <v>1380</v>
      </c>
      <c r="D116" s="1451"/>
      <c r="E116" s="1451"/>
      <c r="F116" s="1451"/>
      <c r="G116" s="1451"/>
      <c r="H116" s="1451"/>
      <c r="I116" s="1550"/>
    </row>
    <row r="117" spans="2:9" ht="15.75" customHeight="1">
      <c r="B117" s="1498"/>
      <c r="C117" s="1453" t="s">
        <v>1379</v>
      </c>
      <c r="D117" s="1451" t="s">
        <v>1370</v>
      </c>
      <c r="E117" s="1451">
        <v>50</v>
      </c>
      <c r="F117" s="1451">
        <v>65</v>
      </c>
      <c r="G117" s="1451">
        <f t="shared" si="2"/>
        <v>3250</v>
      </c>
      <c r="H117" s="1451">
        <f>'Emer. Super TOS'!H365</f>
        <v>11.4</v>
      </c>
      <c r="I117" s="1550">
        <f t="shared" si="3"/>
        <v>741</v>
      </c>
    </row>
    <row r="118" spans="2:9" ht="15.75" customHeight="1">
      <c r="B118" s="1498"/>
      <c r="C118" s="1453" t="s">
        <v>1378</v>
      </c>
      <c r="D118" s="1451" t="s">
        <v>1370</v>
      </c>
      <c r="E118" s="1451">
        <v>80</v>
      </c>
      <c r="F118" s="1451">
        <v>95</v>
      </c>
      <c r="G118" s="1451">
        <f t="shared" si="2"/>
        <v>7600</v>
      </c>
      <c r="H118" s="1451">
        <f>'Emer. Super TOS'!H369</f>
        <v>9</v>
      </c>
      <c r="I118" s="1550">
        <f t="shared" si="3"/>
        <v>855</v>
      </c>
    </row>
    <row r="119" spans="2:9" ht="15.75" customHeight="1">
      <c r="B119" s="1498"/>
      <c r="C119" s="1453" t="s">
        <v>1377</v>
      </c>
      <c r="D119" s="1451" t="s">
        <v>1370</v>
      </c>
      <c r="E119" s="1451">
        <v>127</v>
      </c>
      <c r="F119" s="1451">
        <v>125</v>
      </c>
      <c r="G119" s="1451">
        <f t="shared" si="2"/>
        <v>15875</v>
      </c>
      <c r="H119" s="1451">
        <f>'Emer. Super TOS'!H373</f>
        <v>17.7</v>
      </c>
      <c r="I119" s="1550">
        <f t="shared" si="3"/>
        <v>2212.5</v>
      </c>
    </row>
    <row r="120" spans="2:9" ht="15.75" customHeight="1">
      <c r="B120" s="1498">
        <v>9.9</v>
      </c>
      <c r="C120" s="1453" t="s">
        <v>1373</v>
      </c>
      <c r="D120" s="1451" t="s">
        <v>4</v>
      </c>
      <c r="E120" s="1451">
        <v>5</v>
      </c>
      <c r="F120" s="1451">
        <v>905</v>
      </c>
      <c r="G120" s="1451">
        <f t="shared" si="2"/>
        <v>4525</v>
      </c>
      <c r="H120" s="1451">
        <f>'Emer. Super TOS'!H377</f>
        <v>6</v>
      </c>
      <c r="I120" s="1550">
        <f t="shared" si="3"/>
        <v>5430</v>
      </c>
    </row>
    <row r="121" spans="2:9" ht="15.75" customHeight="1">
      <c r="B121" s="1501">
        <v>9.16</v>
      </c>
      <c r="C121" s="1453" t="s">
        <v>1372</v>
      </c>
      <c r="D121" s="1451" t="s">
        <v>4</v>
      </c>
      <c r="E121" s="1451">
        <v>4</v>
      </c>
      <c r="F121" s="1451">
        <v>90</v>
      </c>
      <c r="G121" s="1451">
        <f t="shared" si="2"/>
        <v>360</v>
      </c>
      <c r="H121" s="1451"/>
      <c r="I121" s="1550">
        <f t="shared" si="3"/>
        <v>0</v>
      </c>
    </row>
    <row r="122" spans="2:9" ht="15.75" customHeight="1">
      <c r="B122" s="1501">
        <v>9.18</v>
      </c>
      <c r="C122" s="1453" t="s">
        <v>1371</v>
      </c>
      <c r="D122" s="1451" t="s">
        <v>1370</v>
      </c>
      <c r="E122" s="1451">
        <v>102</v>
      </c>
      <c r="F122" s="1451">
        <v>180</v>
      </c>
      <c r="G122" s="1451">
        <f t="shared" si="2"/>
        <v>18360</v>
      </c>
      <c r="H122" s="1451"/>
      <c r="I122" s="1550">
        <f t="shared" si="3"/>
        <v>0</v>
      </c>
    </row>
    <row r="123" spans="2:9" ht="15.75" customHeight="1">
      <c r="B123" s="1502">
        <v>9.19</v>
      </c>
      <c r="C123" s="1483" t="s">
        <v>1369</v>
      </c>
      <c r="D123" s="1479" t="s">
        <v>4</v>
      </c>
      <c r="E123" s="1479">
        <v>1</v>
      </c>
      <c r="F123" s="1479">
        <v>3000</v>
      </c>
      <c r="G123" s="1479">
        <f t="shared" si="2"/>
        <v>3000</v>
      </c>
      <c r="H123" s="1479"/>
      <c r="I123" s="1553">
        <f t="shared" si="3"/>
        <v>0</v>
      </c>
    </row>
    <row r="124" spans="2:9" ht="15.75" customHeight="1">
      <c r="B124" s="2058" t="s">
        <v>1330</v>
      </c>
      <c r="C124" s="2058"/>
      <c r="D124" s="2058"/>
      <c r="E124" s="1481"/>
      <c r="F124" s="1481"/>
      <c r="G124" s="1481">
        <f>SUM(G107:G123)</f>
        <v>61420</v>
      </c>
      <c r="H124" s="1481"/>
      <c r="I124" s="1481">
        <f>SUM(I107:I123)</f>
        <v>11541.55</v>
      </c>
    </row>
    <row r="125" spans="2:9" ht="15.75" customHeight="1">
      <c r="B125" s="1500"/>
      <c r="C125" s="1554" t="s">
        <v>1368</v>
      </c>
      <c r="D125" s="1484"/>
      <c r="E125" s="1484"/>
      <c r="F125" s="1484"/>
      <c r="G125" s="1484"/>
      <c r="H125" s="1484"/>
      <c r="I125" s="1555"/>
    </row>
    <row r="126" spans="2:9" ht="15.75" customHeight="1">
      <c r="B126" s="1501">
        <v>1.02</v>
      </c>
      <c r="C126" s="1461" t="s">
        <v>1776</v>
      </c>
      <c r="D126" s="1462" t="s">
        <v>1332</v>
      </c>
      <c r="E126" s="1462">
        <v>1</v>
      </c>
      <c r="F126" s="1451">
        <v>5000</v>
      </c>
      <c r="G126" s="1451">
        <f t="shared" ref="G126:G156" si="7">E126*F126</f>
        <v>5000</v>
      </c>
      <c r="H126" s="1451"/>
      <c r="I126" s="1550">
        <f t="shared" ref="I126:I156" si="8">F126*H126</f>
        <v>0</v>
      </c>
    </row>
    <row r="127" spans="2:9" ht="15.75" customHeight="1">
      <c r="B127" s="1501">
        <v>2</v>
      </c>
      <c r="C127" s="1461" t="s">
        <v>1366</v>
      </c>
      <c r="D127" s="1462"/>
      <c r="E127" s="1462"/>
      <c r="F127" s="1451"/>
      <c r="G127" s="1451"/>
      <c r="H127" s="1451"/>
      <c r="I127" s="1550"/>
    </row>
    <row r="128" spans="2:9" ht="15.75" customHeight="1">
      <c r="B128" s="1501">
        <v>2.0099999999999998</v>
      </c>
      <c r="C128" s="1461" t="s">
        <v>3202</v>
      </c>
      <c r="D128" s="1462" t="s">
        <v>1332</v>
      </c>
      <c r="E128" s="1462">
        <v>62</v>
      </c>
      <c r="F128" s="1451">
        <v>200</v>
      </c>
      <c r="G128" s="1451">
        <f t="shared" si="7"/>
        <v>12400</v>
      </c>
      <c r="H128" s="1451">
        <f>'Emer. Super TOS'!H383+'Wait Super TOS'!H205</f>
        <v>79</v>
      </c>
      <c r="I128" s="1550">
        <f t="shared" si="8"/>
        <v>15800</v>
      </c>
    </row>
    <row r="129" spans="2:9" ht="15.75" customHeight="1">
      <c r="B129" s="1501">
        <v>3</v>
      </c>
      <c r="C129" s="1461" t="s">
        <v>1365</v>
      </c>
      <c r="D129" s="1462"/>
      <c r="E129" s="1462"/>
      <c r="F129" s="1451"/>
      <c r="G129" s="1451">
        <f t="shared" si="7"/>
        <v>0</v>
      </c>
      <c r="H129" s="1451"/>
      <c r="I129" s="1550">
        <f t="shared" si="8"/>
        <v>0</v>
      </c>
    </row>
    <row r="130" spans="2:9" ht="15.75" customHeight="1">
      <c r="B130" s="1501">
        <v>3.01</v>
      </c>
      <c r="C130" s="1461" t="s">
        <v>1364</v>
      </c>
      <c r="D130" s="1462" t="s">
        <v>1332</v>
      </c>
      <c r="E130" s="1462">
        <v>10</v>
      </c>
      <c r="F130" s="1451">
        <v>81.25</v>
      </c>
      <c r="G130" s="1451">
        <f t="shared" si="7"/>
        <v>812.5</v>
      </c>
      <c r="H130" s="1451">
        <f>'Emer. Super TOS'!H387</f>
        <v>4</v>
      </c>
      <c r="I130" s="1550">
        <f t="shared" si="8"/>
        <v>325</v>
      </c>
    </row>
    <row r="131" spans="2:9" ht="15.75" customHeight="1">
      <c r="B131" s="1501">
        <v>3.02</v>
      </c>
      <c r="C131" s="1461" t="s">
        <v>1363</v>
      </c>
      <c r="D131" s="1462" t="s">
        <v>1360</v>
      </c>
      <c r="E131" s="1462">
        <v>17</v>
      </c>
      <c r="F131" s="1451">
        <v>131.25</v>
      </c>
      <c r="G131" s="1451">
        <f t="shared" si="7"/>
        <v>2231.25</v>
      </c>
      <c r="H131" s="1451">
        <f>'Emer. Super TOS'!H391+'Wait Super TOS'!H210</f>
        <v>19</v>
      </c>
      <c r="I131" s="1550">
        <f t="shared" si="8"/>
        <v>2493.75</v>
      </c>
    </row>
    <row r="132" spans="2:9" ht="15.75" customHeight="1">
      <c r="B132" s="1501">
        <v>3.03</v>
      </c>
      <c r="C132" s="1461" t="s">
        <v>1362</v>
      </c>
      <c r="D132" s="1462" t="s">
        <v>1360</v>
      </c>
      <c r="E132" s="1462">
        <v>4</v>
      </c>
      <c r="F132" s="1451">
        <v>80</v>
      </c>
      <c r="G132" s="1451">
        <f t="shared" si="7"/>
        <v>320</v>
      </c>
      <c r="H132" s="1451">
        <f>'Emer. Super TOS'!H395</f>
        <v>6</v>
      </c>
      <c r="I132" s="1550">
        <f t="shared" si="8"/>
        <v>480</v>
      </c>
    </row>
    <row r="133" spans="2:9" ht="15.75" customHeight="1">
      <c r="B133" s="1501">
        <v>4</v>
      </c>
      <c r="C133" s="1461" t="s">
        <v>1359</v>
      </c>
      <c r="D133" s="1462"/>
      <c r="E133" s="1462"/>
      <c r="F133" s="1451"/>
      <c r="G133" s="1451">
        <f t="shared" si="7"/>
        <v>0</v>
      </c>
      <c r="H133" s="1451"/>
      <c r="I133" s="1550">
        <f t="shared" si="8"/>
        <v>0</v>
      </c>
    </row>
    <row r="134" spans="2:9" ht="15.75" customHeight="1">
      <c r="B134" s="1501">
        <v>4.01</v>
      </c>
      <c r="C134" s="1461" t="s">
        <v>1358</v>
      </c>
      <c r="D134" s="1462" t="s">
        <v>1332</v>
      </c>
      <c r="E134" s="1462">
        <v>36</v>
      </c>
      <c r="F134" s="1451">
        <v>200</v>
      </c>
      <c r="G134" s="1451">
        <f t="shared" si="7"/>
        <v>7200</v>
      </c>
      <c r="H134" s="1451">
        <f>'Emer. Super TOS'!H400+'Wait Super TOS'!H214</f>
        <v>38</v>
      </c>
      <c r="I134" s="1550">
        <f t="shared" si="8"/>
        <v>7600</v>
      </c>
    </row>
    <row r="135" spans="2:9" ht="15.75" customHeight="1">
      <c r="B135" s="1501">
        <v>4.0199999999999996</v>
      </c>
      <c r="C135" s="1461" t="s">
        <v>1357</v>
      </c>
      <c r="D135" s="1462" t="s">
        <v>1332</v>
      </c>
      <c r="E135" s="1462">
        <v>1</v>
      </c>
      <c r="F135" s="1451">
        <v>785</v>
      </c>
      <c r="G135" s="1451">
        <f t="shared" si="7"/>
        <v>785</v>
      </c>
      <c r="H135" s="1451">
        <f>'Emer. Super TOS'!H404</f>
        <v>1</v>
      </c>
      <c r="I135" s="1550">
        <f t="shared" si="8"/>
        <v>785</v>
      </c>
    </row>
    <row r="136" spans="2:9" ht="15.75" customHeight="1">
      <c r="B136" s="1501">
        <v>5</v>
      </c>
      <c r="C136" s="1461" t="s">
        <v>1356</v>
      </c>
      <c r="D136" s="1462"/>
      <c r="E136" s="1462"/>
      <c r="F136" s="1451"/>
      <c r="G136" s="1451">
        <f t="shared" si="7"/>
        <v>0</v>
      </c>
      <c r="H136" s="1451"/>
      <c r="I136" s="1550">
        <f t="shared" si="8"/>
        <v>0</v>
      </c>
    </row>
    <row r="137" spans="2:9" ht="15.75" customHeight="1">
      <c r="B137" s="1501">
        <v>5.01</v>
      </c>
      <c r="C137" s="1461" t="s">
        <v>1355</v>
      </c>
      <c r="D137" s="1462" t="s">
        <v>1332</v>
      </c>
      <c r="E137" s="1462">
        <v>36</v>
      </c>
      <c r="F137" s="1451">
        <v>90</v>
      </c>
      <c r="G137" s="1451">
        <f t="shared" si="7"/>
        <v>3240</v>
      </c>
      <c r="H137" s="1451">
        <f>'Emer. Super TOS'!H409+'Wait Super TOS'!H219</f>
        <v>38</v>
      </c>
      <c r="I137" s="1550">
        <f t="shared" si="8"/>
        <v>3420</v>
      </c>
    </row>
    <row r="138" spans="2:9" ht="15.75" customHeight="1">
      <c r="B138" s="1501">
        <v>5.0199999999999996</v>
      </c>
      <c r="C138" s="1461" t="s">
        <v>1354</v>
      </c>
      <c r="D138" s="1462" t="s">
        <v>1332</v>
      </c>
      <c r="E138" s="1462">
        <v>1</v>
      </c>
      <c r="F138" s="1451">
        <v>281.25</v>
      </c>
      <c r="G138" s="1451">
        <f t="shared" si="7"/>
        <v>281.25</v>
      </c>
      <c r="H138" s="1451">
        <f>'Emer. Super TOS'!H413</f>
        <v>1</v>
      </c>
      <c r="I138" s="1550">
        <f t="shared" si="8"/>
        <v>281.25</v>
      </c>
    </row>
    <row r="139" spans="2:9" ht="15.75" customHeight="1">
      <c r="B139" s="1501">
        <v>6</v>
      </c>
      <c r="C139" s="1461" t="s">
        <v>1353</v>
      </c>
      <c r="D139" s="1462"/>
      <c r="E139" s="1462"/>
      <c r="F139" s="1451"/>
      <c r="G139" s="1451">
        <f t="shared" si="7"/>
        <v>0</v>
      </c>
      <c r="H139" s="1451"/>
      <c r="I139" s="1550">
        <f t="shared" si="8"/>
        <v>0</v>
      </c>
    </row>
    <row r="140" spans="2:9" ht="15.75" customHeight="1">
      <c r="B140" s="1501">
        <v>6.01</v>
      </c>
      <c r="C140" s="1461" t="s">
        <v>1352</v>
      </c>
      <c r="D140" s="1462" t="s">
        <v>1332</v>
      </c>
      <c r="E140" s="1462">
        <v>13</v>
      </c>
      <c r="F140" s="1451">
        <v>130</v>
      </c>
      <c r="G140" s="1451">
        <f t="shared" si="7"/>
        <v>1690</v>
      </c>
      <c r="H140" s="1451">
        <f>'Emer. Super TOS'!D422+'Wait Super TOS'!H224</f>
        <v>11</v>
      </c>
      <c r="I140" s="1550">
        <f t="shared" si="8"/>
        <v>1430</v>
      </c>
    </row>
    <row r="141" spans="2:9" ht="15.75" customHeight="1">
      <c r="B141" s="1501">
        <v>6.03</v>
      </c>
      <c r="C141" s="1461" t="s">
        <v>1351</v>
      </c>
      <c r="D141" s="1462" t="s">
        <v>1332</v>
      </c>
      <c r="E141" s="1462">
        <v>13</v>
      </c>
      <c r="F141" s="1451">
        <v>168.75</v>
      </c>
      <c r="G141" s="1451">
        <f t="shared" si="7"/>
        <v>2193.75</v>
      </c>
      <c r="H141" s="1451">
        <f>'Emer. Super TOS'!D426+'Wait Super TOS'!H229</f>
        <v>11</v>
      </c>
      <c r="I141" s="1550">
        <f t="shared" si="8"/>
        <v>1856.25</v>
      </c>
    </row>
    <row r="142" spans="2:9" ht="15.75" customHeight="1">
      <c r="B142" s="1501">
        <v>7</v>
      </c>
      <c r="C142" s="1461" t="s">
        <v>1350</v>
      </c>
      <c r="D142" s="1462"/>
      <c r="E142" s="1462"/>
      <c r="F142" s="1451"/>
      <c r="G142" s="1451">
        <f t="shared" si="7"/>
        <v>0</v>
      </c>
      <c r="H142" s="1451"/>
      <c r="I142" s="1550">
        <f t="shared" si="8"/>
        <v>0</v>
      </c>
    </row>
    <row r="143" spans="2:9" ht="15.75" customHeight="1">
      <c r="B143" s="1501">
        <v>7.01</v>
      </c>
      <c r="C143" s="1461" t="s">
        <v>1349</v>
      </c>
      <c r="D143" s="1462" t="s">
        <v>1332</v>
      </c>
      <c r="E143" s="1462">
        <v>35</v>
      </c>
      <c r="F143" s="1451">
        <v>1500</v>
      </c>
      <c r="G143" s="1451">
        <f t="shared" si="7"/>
        <v>52500</v>
      </c>
      <c r="H143" s="1451">
        <f>'Emer. Super TOS'!D435+'Wait Super TOS'!H234</f>
        <v>29</v>
      </c>
      <c r="I143" s="1550">
        <f t="shared" si="8"/>
        <v>43500</v>
      </c>
    </row>
    <row r="144" spans="2:9" ht="15.75" customHeight="1">
      <c r="B144" s="1501">
        <v>7.02</v>
      </c>
      <c r="C144" s="1461" t="s">
        <v>1348</v>
      </c>
      <c r="D144" s="1462" t="s">
        <v>1332</v>
      </c>
      <c r="E144" s="1462">
        <v>8</v>
      </c>
      <c r="F144" s="1451">
        <v>1200</v>
      </c>
      <c r="G144" s="1451">
        <f t="shared" si="7"/>
        <v>9600</v>
      </c>
      <c r="H144" s="1451">
        <f>'Emer. Super TOS'!D431</f>
        <v>27</v>
      </c>
      <c r="I144" s="1550">
        <f t="shared" si="8"/>
        <v>32400</v>
      </c>
    </row>
    <row r="145" spans="2:9" ht="15.75" customHeight="1">
      <c r="B145" s="1501">
        <v>7.03</v>
      </c>
      <c r="C145" s="1461" t="s">
        <v>1347</v>
      </c>
      <c r="D145" s="1462" t="s">
        <v>1332</v>
      </c>
      <c r="E145" s="1462">
        <v>11</v>
      </c>
      <c r="F145" s="1451">
        <v>406.25</v>
      </c>
      <c r="G145" s="1451">
        <f t="shared" si="7"/>
        <v>4468.75</v>
      </c>
      <c r="H145" s="1451">
        <f>'Emer. Super TOS'!D439</f>
        <v>19</v>
      </c>
      <c r="I145" s="1550">
        <f t="shared" si="8"/>
        <v>7718.75</v>
      </c>
    </row>
    <row r="146" spans="2:9" ht="15.75" customHeight="1">
      <c r="B146" s="1501">
        <v>7.04</v>
      </c>
      <c r="C146" s="1461" t="s">
        <v>1346</v>
      </c>
      <c r="D146" s="1462" t="s">
        <v>1332</v>
      </c>
      <c r="E146" s="1462">
        <v>7</v>
      </c>
      <c r="F146" s="1451">
        <v>406.25</v>
      </c>
      <c r="G146" s="1451">
        <f t="shared" si="7"/>
        <v>2843.75</v>
      </c>
      <c r="H146" s="1451">
        <f>'Emer. Super TOS'!D443</f>
        <v>4</v>
      </c>
      <c r="I146" s="1550">
        <f t="shared" si="8"/>
        <v>1625</v>
      </c>
    </row>
    <row r="147" spans="2:9" ht="15.75" customHeight="1">
      <c r="B147" s="1501">
        <v>7.05</v>
      </c>
      <c r="C147" s="1461" t="s">
        <v>1619</v>
      </c>
      <c r="D147" s="1462" t="s">
        <v>1332</v>
      </c>
      <c r="E147" s="1462">
        <v>5</v>
      </c>
      <c r="F147" s="1451">
        <v>1375</v>
      </c>
      <c r="G147" s="1451">
        <f t="shared" si="7"/>
        <v>6875</v>
      </c>
      <c r="H147" s="1451"/>
      <c r="I147" s="1550">
        <f t="shared" si="8"/>
        <v>0</v>
      </c>
    </row>
    <row r="148" spans="2:9" ht="15.75" customHeight="1">
      <c r="B148" s="1501">
        <v>8</v>
      </c>
      <c r="C148" s="1461" t="s">
        <v>1344</v>
      </c>
      <c r="D148" s="1462"/>
      <c r="E148" s="1462"/>
      <c r="F148" s="1451"/>
      <c r="G148" s="1451">
        <f t="shared" si="7"/>
        <v>0</v>
      </c>
      <c r="H148" s="1451"/>
      <c r="I148" s="1550">
        <f t="shared" si="8"/>
        <v>0</v>
      </c>
    </row>
    <row r="149" spans="2:9" ht="15.75" customHeight="1">
      <c r="B149" s="1501">
        <v>8.01</v>
      </c>
      <c r="C149" s="1461" t="s">
        <v>1343</v>
      </c>
      <c r="D149" s="1462" t="s">
        <v>1332</v>
      </c>
      <c r="E149" s="1462">
        <v>1</v>
      </c>
      <c r="F149" s="1451">
        <v>266.25</v>
      </c>
      <c r="G149" s="1451">
        <f t="shared" si="7"/>
        <v>266.25</v>
      </c>
      <c r="H149" s="1451">
        <f>'Emer. Super TOS'!D448+'Wait Super TOS'!H239</f>
        <v>2</v>
      </c>
      <c r="I149" s="1550">
        <f t="shared" si="8"/>
        <v>532.5</v>
      </c>
    </row>
    <row r="150" spans="2:9" ht="15.75" customHeight="1">
      <c r="B150" s="1501">
        <v>8.02</v>
      </c>
      <c r="C150" s="1461" t="s">
        <v>1342</v>
      </c>
      <c r="D150" s="1462" t="s">
        <v>1332</v>
      </c>
      <c r="E150" s="1462">
        <v>1</v>
      </c>
      <c r="F150" s="1451">
        <v>120</v>
      </c>
      <c r="G150" s="1451">
        <f t="shared" si="7"/>
        <v>120</v>
      </c>
      <c r="H150" s="1451"/>
      <c r="I150" s="1550">
        <f t="shared" si="8"/>
        <v>0</v>
      </c>
    </row>
    <row r="151" spans="2:9" ht="15.75" customHeight="1">
      <c r="B151" s="1501">
        <v>9</v>
      </c>
      <c r="C151" s="1461" t="s">
        <v>1341</v>
      </c>
      <c r="D151" s="1462"/>
      <c r="E151" s="1462"/>
      <c r="F151" s="1451"/>
      <c r="G151" s="1451">
        <f t="shared" si="7"/>
        <v>0</v>
      </c>
      <c r="H151" s="1451"/>
      <c r="I151" s="1550">
        <f t="shared" si="8"/>
        <v>0</v>
      </c>
    </row>
    <row r="152" spans="2:9" ht="15.75" customHeight="1">
      <c r="B152" s="1501">
        <v>9.1</v>
      </c>
      <c r="C152" s="1461" t="s">
        <v>1777</v>
      </c>
      <c r="D152" s="1462" t="s">
        <v>313</v>
      </c>
      <c r="E152" s="1462">
        <v>10</v>
      </c>
      <c r="F152" s="1451">
        <v>90</v>
      </c>
      <c r="G152" s="1451">
        <f t="shared" si="7"/>
        <v>900</v>
      </c>
      <c r="H152" s="1451"/>
      <c r="I152" s="1550">
        <f t="shared" si="8"/>
        <v>0</v>
      </c>
    </row>
    <row r="153" spans="2:9" ht="15.75" customHeight="1">
      <c r="B153" s="1501">
        <v>10</v>
      </c>
      <c r="C153" s="1461" t="s">
        <v>1340</v>
      </c>
      <c r="D153" s="1462"/>
      <c r="E153" s="1462"/>
      <c r="F153" s="1451"/>
      <c r="G153" s="1451">
        <f t="shared" si="7"/>
        <v>0</v>
      </c>
      <c r="H153" s="1451"/>
      <c r="I153" s="1550">
        <f t="shared" si="8"/>
        <v>0</v>
      </c>
    </row>
    <row r="154" spans="2:9" ht="15.75" customHeight="1">
      <c r="B154" s="1501">
        <v>10.02</v>
      </c>
      <c r="C154" s="1461" t="s">
        <v>1337</v>
      </c>
      <c r="D154" s="1462" t="s">
        <v>1336</v>
      </c>
      <c r="E154" s="1462">
        <v>9</v>
      </c>
      <c r="F154" s="1451">
        <v>40</v>
      </c>
      <c r="G154" s="1451">
        <f t="shared" si="7"/>
        <v>360</v>
      </c>
      <c r="H154" s="1451"/>
      <c r="I154" s="1550">
        <f t="shared" si="8"/>
        <v>0</v>
      </c>
    </row>
    <row r="155" spans="2:9" ht="15.75" customHeight="1">
      <c r="B155" s="1501">
        <v>10.02</v>
      </c>
      <c r="C155" s="1461" t="s">
        <v>1518</v>
      </c>
      <c r="D155" s="1462"/>
      <c r="E155" s="1462"/>
      <c r="F155" s="1451"/>
      <c r="G155" s="1451">
        <f t="shared" si="7"/>
        <v>0</v>
      </c>
      <c r="H155" s="1451"/>
      <c r="I155" s="1550">
        <f t="shared" si="8"/>
        <v>0</v>
      </c>
    </row>
    <row r="156" spans="2:9" ht="15.75" customHeight="1">
      <c r="B156" s="1502"/>
      <c r="C156" s="1557" t="s">
        <v>1235</v>
      </c>
      <c r="D156" s="1558" t="s">
        <v>1336</v>
      </c>
      <c r="E156" s="1558">
        <v>12</v>
      </c>
      <c r="F156" s="1479">
        <v>50</v>
      </c>
      <c r="G156" s="1479">
        <f t="shared" si="7"/>
        <v>600</v>
      </c>
      <c r="H156" s="1479">
        <f>'Emer. Super TOS'!D454</f>
        <v>15.45</v>
      </c>
      <c r="I156" s="1553">
        <f t="shared" si="8"/>
        <v>772.5</v>
      </c>
    </row>
    <row r="157" spans="2:9" ht="15.75" customHeight="1">
      <c r="B157" s="2058" t="s">
        <v>1330</v>
      </c>
      <c r="C157" s="2058"/>
      <c r="D157" s="2058"/>
      <c r="E157" s="1481"/>
      <c r="F157" s="1481"/>
      <c r="G157" s="1481">
        <f>SUM(G126:G156)</f>
        <v>114687.5</v>
      </c>
      <c r="H157" s="1481"/>
      <c r="I157" s="1481">
        <f>SUM(I126:I156)</f>
        <v>121020</v>
      </c>
    </row>
  </sheetData>
  <mergeCells count="19">
    <mergeCell ref="G2:H2"/>
    <mergeCell ref="G1:H1"/>
    <mergeCell ref="G3:H3"/>
    <mergeCell ref="B6:B7"/>
    <mergeCell ref="C6:C7"/>
    <mergeCell ref="D6:D7"/>
    <mergeCell ref="E6:G6"/>
    <mergeCell ref="H6:I6"/>
    <mergeCell ref="B17:D17"/>
    <mergeCell ref="B35:D35"/>
    <mergeCell ref="B39:D39"/>
    <mergeCell ref="B58:D58"/>
    <mergeCell ref="B64:D64"/>
    <mergeCell ref="B157:D157"/>
    <mergeCell ref="B73:D73"/>
    <mergeCell ref="B87:D87"/>
    <mergeCell ref="B99:D99"/>
    <mergeCell ref="B104:D104"/>
    <mergeCell ref="B124:D124"/>
  </mergeCells>
  <printOptions horizontalCentered="1"/>
  <pageMargins left="0.5" right="0.25" top="0.5" bottom="0.5" header="0.35" footer="0.25"/>
  <pageSetup paperSize="9" scale="77" firstPageNumber="120" orientation="portrait" useFirstPageNumber="1" r:id="rId1"/>
  <headerFooter alignWithMargins="0">
    <oddFooter>&amp;LContractor_________________&amp;CSupervisor_________________&amp;RConsultant________________</oddFooter>
  </headerFooter>
  <rowBreaks count="3" manualBreakCount="3">
    <brk id="58" max="9" man="1"/>
    <brk id="104" max="9" man="1"/>
    <brk id="147" max="10"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3"/>
  <sheetViews>
    <sheetView view="pageBreakPreview" zoomScale="115" zoomScaleNormal="115" zoomScaleSheetLayoutView="115" zoomScalePageLayoutView="85" workbookViewId="0">
      <selection activeCell="H1" sqref="H1:I1"/>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191"/>
      <c r="H1" s="821"/>
      <c r="I1" s="1192"/>
      <c r="J1" s="820"/>
    </row>
    <row r="2" spans="1:10">
      <c r="A2" s="834"/>
      <c r="B2" s="2059" t="s">
        <v>1917</v>
      </c>
      <c r="C2" s="2059"/>
      <c r="D2" s="2059"/>
      <c r="E2" s="2059"/>
      <c r="F2" s="819"/>
      <c r="G2" s="1191"/>
      <c r="J2" s="834"/>
    </row>
    <row r="3" spans="1:10">
      <c r="A3" s="834"/>
      <c r="B3" s="2059" t="s">
        <v>1920</v>
      </c>
      <c r="C3" s="2059"/>
      <c r="D3" s="2059"/>
      <c r="E3" s="2059"/>
      <c r="F3" s="2059"/>
      <c r="G3" s="1191"/>
      <c r="H3" s="2060" t="s">
        <v>2989</v>
      </c>
      <c r="I3" s="2060"/>
      <c r="J3" s="834"/>
    </row>
    <row r="4" spans="1:10">
      <c r="A4" s="834"/>
      <c r="B4" s="2059" t="s">
        <v>1921</v>
      </c>
      <c r="C4" s="2059"/>
      <c r="D4" s="2059"/>
      <c r="E4" s="2059"/>
      <c r="F4" s="819"/>
      <c r="G4" s="1191"/>
      <c r="H4" s="2061"/>
      <c r="I4" s="2061"/>
      <c r="J4" s="834"/>
    </row>
    <row r="5" spans="1:10">
      <c r="A5" s="834"/>
      <c r="B5" s="824"/>
      <c r="C5" s="1191"/>
      <c r="D5" s="1191"/>
      <c r="E5" s="825"/>
      <c r="F5" s="819"/>
      <c r="G5" s="1190"/>
      <c r="H5" s="827"/>
      <c r="I5" s="1190"/>
      <c r="J5" s="834"/>
    </row>
    <row r="6" spans="1:10">
      <c r="A6" s="1162"/>
      <c r="B6" s="909" t="s">
        <v>1884</v>
      </c>
      <c r="C6" s="911" t="s">
        <v>526</v>
      </c>
      <c r="D6" s="910" t="s">
        <v>1885</v>
      </c>
      <c r="E6" s="911" t="s">
        <v>1886</v>
      </c>
      <c r="F6" s="909" t="s">
        <v>1884</v>
      </c>
      <c r="G6" s="911" t="s">
        <v>526</v>
      </c>
      <c r="H6" s="910" t="s">
        <v>1885</v>
      </c>
      <c r="I6" s="911" t="s">
        <v>1886</v>
      </c>
      <c r="J6" s="1162"/>
    </row>
    <row r="7" spans="1:10">
      <c r="A7" s="834"/>
      <c r="B7" s="831"/>
      <c r="C7" s="829"/>
      <c r="D7" s="832"/>
      <c r="E7" s="837" t="s">
        <v>1887</v>
      </c>
      <c r="F7" s="831"/>
      <c r="G7" s="829"/>
      <c r="H7" s="832"/>
      <c r="I7" s="837" t="s">
        <v>3010</v>
      </c>
    </row>
    <row r="8" spans="1:10">
      <c r="A8" s="834"/>
      <c r="B8" s="831"/>
      <c r="C8" s="829"/>
      <c r="D8" s="832"/>
      <c r="E8" s="837" t="s">
        <v>1888</v>
      </c>
      <c r="F8" s="831">
        <v>1</v>
      </c>
      <c r="G8" s="829">
        <v>22.55</v>
      </c>
      <c r="H8" s="832"/>
      <c r="I8" s="913" t="s">
        <v>3006</v>
      </c>
    </row>
    <row r="9" spans="1:10">
      <c r="A9" s="834"/>
      <c r="B9" s="831"/>
      <c r="C9" s="829"/>
      <c r="D9" s="832"/>
      <c r="E9" s="837" t="s">
        <v>1889</v>
      </c>
      <c r="F9" s="831"/>
      <c r="G9" s="829">
        <v>10.6</v>
      </c>
      <c r="H9" s="832"/>
      <c r="I9" s="913" t="s">
        <v>3007</v>
      </c>
    </row>
    <row r="10" spans="1:10">
      <c r="A10" s="834"/>
      <c r="B10" s="831"/>
      <c r="C10" s="829"/>
      <c r="D10" s="832"/>
      <c r="E10" s="913" t="s">
        <v>2990</v>
      </c>
      <c r="F10" s="831"/>
      <c r="G10" s="829">
        <v>0.5</v>
      </c>
      <c r="H10" s="832">
        <f>F8*G8*G9*G10</f>
        <v>119.515</v>
      </c>
      <c r="I10" s="837"/>
    </row>
    <row r="11" spans="1:10">
      <c r="A11" s="834"/>
      <c r="B11" s="831">
        <v>1</v>
      </c>
      <c r="C11" s="829">
        <v>25.35</v>
      </c>
      <c r="D11" s="832"/>
      <c r="E11" s="913" t="s">
        <v>2991</v>
      </c>
      <c r="F11" s="831"/>
      <c r="G11" s="829"/>
      <c r="H11" s="832"/>
      <c r="I11" s="837"/>
    </row>
    <row r="12" spans="1:10">
      <c r="A12" s="834"/>
      <c r="B12" s="831"/>
      <c r="C12" s="829">
        <v>13.4</v>
      </c>
      <c r="D12" s="832">
        <f>C12*C11*B11</f>
        <v>339.69000000000005</v>
      </c>
      <c r="E12" s="837"/>
      <c r="F12" s="831"/>
      <c r="G12" s="829"/>
      <c r="H12" s="832"/>
      <c r="I12" s="837" t="s">
        <v>1915</v>
      </c>
    </row>
    <row r="13" spans="1:10">
      <c r="A13" s="834"/>
      <c r="B13" s="831"/>
      <c r="C13" s="829"/>
      <c r="D13" s="832"/>
      <c r="E13" s="837"/>
      <c r="F13" s="831">
        <v>2</v>
      </c>
      <c r="G13" s="829">
        <v>22.25</v>
      </c>
      <c r="H13" s="832"/>
      <c r="I13" s="913" t="s">
        <v>1916</v>
      </c>
    </row>
    <row r="14" spans="1:10" ht="18">
      <c r="A14" s="834"/>
      <c r="B14" s="839"/>
      <c r="C14" s="839"/>
      <c r="D14" s="838">
        <f>D12</f>
        <v>339.69000000000005</v>
      </c>
      <c r="E14" s="845" t="s">
        <v>3185</v>
      </c>
      <c r="F14" s="831"/>
      <c r="G14" s="829">
        <v>0.4</v>
      </c>
      <c r="H14" s="832"/>
      <c r="I14" s="913" t="s">
        <v>3008</v>
      </c>
    </row>
    <row r="15" spans="1:10">
      <c r="A15" s="834"/>
      <c r="B15" s="831"/>
      <c r="C15" s="829"/>
      <c r="D15" s="832"/>
      <c r="E15" s="837"/>
      <c r="F15" s="831"/>
      <c r="G15" s="829">
        <v>0.5</v>
      </c>
      <c r="H15" s="832">
        <f>F13*G13*G14*G15</f>
        <v>8.9</v>
      </c>
      <c r="I15" s="837"/>
    </row>
    <row r="16" spans="1:10">
      <c r="A16" s="834"/>
      <c r="B16" s="831"/>
      <c r="C16" s="829"/>
      <c r="D16" s="832"/>
      <c r="E16" s="837" t="s">
        <v>1890</v>
      </c>
      <c r="F16" s="831"/>
      <c r="G16" s="829"/>
      <c r="H16" s="832"/>
      <c r="I16" s="837"/>
    </row>
    <row r="17" spans="1:10">
      <c r="A17" s="834"/>
      <c r="B17" s="831">
        <v>1</v>
      </c>
      <c r="C17" s="829">
        <v>22.05</v>
      </c>
      <c r="D17" s="832"/>
      <c r="E17" s="913" t="s">
        <v>2992</v>
      </c>
      <c r="F17" s="831">
        <v>4</v>
      </c>
      <c r="G17" s="829">
        <v>9.8000000000000007</v>
      </c>
      <c r="H17" s="832"/>
      <c r="I17" s="913" t="s">
        <v>1914</v>
      </c>
    </row>
    <row r="18" spans="1:10">
      <c r="A18" s="834"/>
      <c r="B18" s="831"/>
      <c r="C18" s="829">
        <v>10.1</v>
      </c>
      <c r="D18" s="832"/>
      <c r="E18" s="913" t="s">
        <v>2993</v>
      </c>
      <c r="F18" s="831"/>
      <c r="G18" s="829">
        <v>0.4</v>
      </c>
      <c r="H18" s="832"/>
      <c r="I18" s="913" t="s">
        <v>3009</v>
      </c>
    </row>
    <row r="19" spans="1:10">
      <c r="A19" s="834"/>
      <c r="B19" s="831"/>
      <c r="C19" s="829">
        <v>0.21</v>
      </c>
      <c r="D19" s="832">
        <f>B17*C17*C18*C19</f>
        <v>46.768050000000002</v>
      </c>
      <c r="E19" s="837"/>
      <c r="F19" s="831"/>
      <c r="G19" s="829">
        <v>0.5</v>
      </c>
      <c r="H19" s="832">
        <f>F17*G17*G18*G19</f>
        <v>7.8400000000000007</v>
      </c>
      <c r="I19" s="837"/>
    </row>
    <row r="20" spans="1:10">
      <c r="A20" s="834"/>
      <c r="B20" s="831"/>
      <c r="C20" s="829"/>
      <c r="D20" s="832"/>
      <c r="E20" s="837"/>
      <c r="F20" s="831"/>
      <c r="G20" s="829"/>
      <c r="H20" s="832"/>
      <c r="I20" s="837"/>
    </row>
    <row r="21" spans="1:10" ht="18">
      <c r="A21" s="834"/>
      <c r="B21" s="831"/>
      <c r="C21" s="829"/>
      <c r="D21" s="832"/>
      <c r="E21" s="837" t="s">
        <v>1915</v>
      </c>
      <c r="F21" s="839"/>
      <c r="G21" s="839"/>
      <c r="H21" s="838">
        <f>H10-H15-H19</f>
        <v>102.77499999999999</v>
      </c>
      <c r="I21" s="845" t="s">
        <v>3184</v>
      </c>
    </row>
    <row r="22" spans="1:10">
      <c r="A22" s="834"/>
      <c r="B22" s="831">
        <v>2</v>
      </c>
      <c r="C22" s="829">
        <v>22.05</v>
      </c>
      <c r="D22" s="832"/>
      <c r="E22" s="913" t="s">
        <v>1916</v>
      </c>
      <c r="F22" s="831"/>
      <c r="G22" s="829"/>
      <c r="H22" s="832"/>
      <c r="I22" s="913"/>
    </row>
    <row r="23" spans="1:10">
      <c r="A23" s="834"/>
      <c r="B23" s="831"/>
      <c r="C23" s="829">
        <v>0.9</v>
      </c>
      <c r="D23" s="832"/>
      <c r="E23" s="913" t="s">
        <v>2992</v>
      </c>
      <c r="F23" s="831"/>
      <c r="G23" s="829"/>
      <c r="H23" s="832"/>
      <c r="I23" s="837" t="s">
        <v>2921</v>
      </c>
      <c r="J23" s="834"/>
    </row>
    <row r="24" spans="1:10">
      <c r="A24" s="834"/>
      <c r="B24" s="831"/>
      <c r="C24" s="829">
        <v>0.21</v>
      </c>
      <c r="D24" s="832">
        <f>B22*C22*C23*C24</f>
        <v>8.3349000000000011</v>
      </c>
      <c r="E24" s="913"/>
      <c r="F24" s="831">
        <v>1</v>
      </c>
      <c r="G24" s="829">
        <f>'Emer. Sub TOS'!C11</f>
        <v>25.35</v>
      </c>
      <c r="H24" s="832"/>
      <c r="I24" s="837" t="s">
        <v>2205</v>
      </c>
      <c r="J24" s="834"/>
    </row>
    <row r="25" spans="1:10">
      <c r="A25" s="834"/>
      <c r="B25" s="831"/>
      <c r="C25" s="829"/>
      <c r="D25" s="832"/>
      <c r="E25" s="837"/>
      <c r="F25" s="831"/>
      <c r="G25" s="829">
        <f>'Emer. Sub TOS'!C12</f>
        <v>13.4</v>
      </c>
      <c r="H25" s="832"/>
      <c r="I25" s="913"/>
      <c r="J25" s="834"/>
    </row>
    <row r="26" spans="1:10">
      <c r="A26" s="834"/>
      <c r="B26" s="831">
        <v>4</v>
      </c>
      <c r="C26" s="829">
        <v>8.3000000000000007</v>
      </c>
      <c r="D26" s="832"/>
      <c r="E26" s="913" t="s">
        <v>1914</v>
      </c>
      <c r="F26" s="831"/>
      <c r="G26" s="829">
        <v>0.3</v>
      </c>
      <c r="H26" s="832">
        <f>F24*G24*G25*G26</f>
        <v>101.90700000000001</v>
      </c>
      <c r="I26" s="913" t="s">
        <v>1936</v>
      </c>
      <c r="J26" s="834"/>
    </row>
    <row r="27" spans="1:10">
      <c r="A27" s="834"/>
      <c r="B27" s="831"/>
      <c r="C27" s="829">
        <v>0.9</v>
      </c>
      <c r="D27" s="832"/>
      <c r="E27" s="913" t="s">
        <v>2994</v>
      </c>
      <c r="F27" s="831"/>
      <c r="G27" s="829"/>
      <c r="H27" s="832"/>
      <c r="I27" s="913"/>
      <c r="J27" s="834"/>
    </row>
    <row r="28" spans="1:10">
      <c r="A28" s="834"/>
      <c r="B28" s="831"/>
      <c r="C28" s="829">
        <v>0.21</v>
      </c>
      <c r="D28" s="832">
        <f>B26*C26*C27*C28</f>
        <v>6.2747999999999999</v>
      </c>
      <c r="E28" s="913" t="s">
        <v>2995</v>
      </c>
      <c r="F28" s="831"/>
      <c r="G28" s="829"/>
      <c r="H28" s="832">
        <v>32.158349999999999</v>
      </c>
      <c r="I28" s="913" t="s">
        <v>1937</v>
      </c>
      <c r="J28" s="834"/>
    </row>
    <row r="29" spans="1:10">
      <c r="A29" s="834"/>
      <c r="B29" s="831"/>
      <c r="C29" s="829"/>
      <c r="D29" s="832"/>
      <c r="E29" s="837"/>
      <c r="F29" s="831"/>
      <c r="G29" s="829"/>
      <c r="H29" s="832"/>
      <c r="I29" s="913"/>
      <c r="J29" s="834"/>
    </row>
    <row r="30" spans="1:10" ht="18">
      <c r="A30" s="834"/>
      <c r="B30" s="839"/>
      <c r="C30" s="839"/>
      <c r="D30" s="838">
        <f>D19-D24-D28</f>
        <v>32.158349999999999</v>
      </c>
      <c r="E30" s="845" t="s">
        <v>3162</v>
      </c>
      <c r="F30" s="831"/>
      <c r="G30" s="829"/>
      <c r="H30" s="832">
        <v>145.06560000000002</v>
      </c>
      <c r="I30" s="913" t="s">
        <v>1938</v>
      </c>
      <c r="J30" s="834"/>
    </row>
    <row r="31" spans="1:10">
      <c r="A31" s="834"/>
      <c r="B31" s="831"/>
      <c r="C31" s="829"/>
      <c r="D31" s="832"/>
      <c r="E31" s="837"/>
      <c r="F31" s="831"/>
      <c r="G31" s="829"/>
      <c r="H31" s="832"/>
      <c r="I31" s="913"/>
      <c r="J31" s="834"/>
    </row>
    <row r="32" spans="1:10">
      <c r="A32" s="834"/>
      <c r="B32" s="831"/>
      <c r="C32" s="829"/>
      <c r="D32" s="832"/>
      <c r="E32" s="837" t="s">
        <v>2903</v>
      </c>
      <c r="F32" s="831"/>
      <c r="G32" s="829"/>
      <c r="H32" s="832">
        <v>79.949000000000012</v>
      </c>
      <c r="I32" s="913" t="s">
        <v>1915</v>
      </c>
      <c r="J32" s="834"/>
    </row>
    <row r="33" spans="1:10">
      <c r="A33" s="834"/>
      <c r="B33" s="831"/>
      <c r="C33" s="829"/>
      <c r="D33" s="832"/>
      <c r="E33" s="837" t="s">
        <v>2904</v>
      </c>
      <c r="F33" s="831"/>
      <c r="G33" s="829"/>
      <c r="H33" s="832"/>
      <c r="I33" s="913"/>
      <c r="J33" s="834"/>
    </row>
    <row r="34" spans="1:10" ht="18">
      <c r="A34" s="834"/>
      <c r="B34" s="831">
        <v>4</v>
      </c>
      <c r="C34" s="829">
        <v>23.85</v>
      </c>
      <c r="D34" s="832"/>
      <c r="E34" s="913" t="s">
        <v>1916</v>
      </c>
      <c r="F34" s="839"/>
      <c r="G34" s="839"/>
      <c r="H34" s="838">
        <f>H26+H28+H30-H32</f>
        <v>199.18195000000003</v>
      </c>
      <c r="I34" s="845" t="s">
        <v>3183</v>
      </c>
      <c r="J34" s="834"/>
    </row>
    <row r="35" spans="1:10">
      <c r="A35" s="834"/>
      <c r="B35" s="831"/>
      <c r="C35" s="829">
        <v>0.9</v>
      </c>
      <c r="D35" s="832"/>
      <c r="E35" s="913" t="s">
        <v>2996</v>
      </c>
      <c r="F35" s="1193"/>
      <c r="G35" s="848"/>
      <c r="H35" s="843"/>
      <c r="I35" s="435"/>
      <c r="J35" s="834"/>
    </row>
    <row r="36" spans="1:10" ht="18.75" customHeight="1">
      <c r="A36" s="834"/>
      <c r="B36" s="831"/>
      <c r="C36" s="829">
        <v>0.92</v>
      </c>
      <c r="D36" s="832">
        <f>B34*C34*C35*C36</f>
        <v>78.991200000000021</v>
      </c>
      <c r="E36" s="837"/>
      <c r="F36" s="831"/>
      <c r="G36" s="829"/>
      <c r="H36" s="832"/>
      <c r="I36" s="913" t="s">
        <v>2967</v>
      </c>
      <c r="J36" s="834"/>
    </row>
    <row r="37" spans="1:10">
      <c r="A37" s="834"/>
      <c r="B37" s="831"/>
      <c r="C37" s="829"/>
      <c r="D37" s="832"/>
      <c r="E37" s="837"/>
      <c r="F37" s="831">
        <v>1</v>
      </c>
      <c r="G37" s="829">
        <v>22.85</v>
      </c>
      <c r="H37" s="832"/>
      <c r="I37" s="913" t="s">
        <v>3012</v>
      </c>
      <c r="J37" s="834"/>
    </row>
    <row r="38" spans="1:10">
      <c r="A38" s="834"/>
      <c r="B38" s="831">
        <v>6</v>
      </c>
      <c r="C38" s="829">
        <v>13.3</v>
      </c>
      <c r="D38" s="832"/>
      <c r="E38" s="913" t="s">
        <v>1914</v>
      </c>
      <c r="F38" s="831"/>
      <c r="G38" s="829">
        <v>10.9</v>
      </c>
      <c r="H38" s="832">
        <f>F37*G37*G38</f>
        <v>249.06500000000003</v>
      </c>
      <c r="I38" s="913" t="s">
        <v>3013</v>
      </c>
      <c r="J38" s="834"/>
    </row>
    <row r="39" spans="1:10">
      <c r="A39" s="834"/>
      <c r="B39" s="831"/>
      <c r="C39" s="829">
        <v>0.9</v>
      </c>
      <c r="D39" s="832"/>
      <c r="E39" s="913" t="s">
        <v>2997</v>
      </c>
      <c r="F39" s="831"/>
      <c r="G39" s="829"/>
      <c r="H39" s="832"/>
      <c r="I39" s="913"/>
      <c r="J39" s="834"/>
    </row>
    <row r="40" spans="1:10">
      <c r="A40" s="834"/>
      <c r="B40" s="831"/>
      <c r="C40" s="829">
        <v>0.92</v>
      </c>
      <c r="D40" s="832">
        <f>B38*C38*C39*C40</f>
        <v>66.074400000000011</v>
      </c>
      <c r="E40" s="913" t="s">
        <v>2195</v>
      </c>
      <c r="F40" s="831"/>
      <c r="G40" s="829"/>
      <c r="H40" s="832"/>
      <c r="I40" s="837" t="s">
        <v>1915</v>
      </c>
      <c r="J40" s="834"/>
    </row>
    <row r="41" spans="1:10">
      <c r="A41" s="834"/>
      <c r="B41" s="831"/>
      <c r="C41" s="829"/>
      <c r="D41" s="832"/>
      <c r="E41" s="913"/>
      <c r="F41" s="831">
        <v>2</v>
      </c>
      <c r="G41" s="829">
        <v>22.85</v>
      </c>
      <c r="H41" s="832"/>
      <c r="I41" s="913" t="s">
        <v>3014</v>
      </c>
      <c r="J41" s="834"/>
    </row>
    <row r="42" spans="1:10" ht="18">
      <c r="A42" s="834"/>
      <c r="B42" s="839"/>
      <c r="C42" s="839"/>
      <c r="D42" s="838">
        <f>D36+D40</f>
        <v>145.06560000000002</v>
      </c>
      <c r="E42" s="845" t="s">
        <v>3164</v>
      </c>
      <c r="F42" s="831"/>
      <c r="G42" s="829">
        <v>0.25</v>
      </c>
      <c r="H42" s="832">
        <f>F41*G41*G42</f>
        <v>11.425000000000001</v>
      </c>
      <c r="I42" s="913"/>
      <c r="J42" s="834"/>
    </row>
    <row r="43" spans="1:10">
      <c r="A43" s="834"/>
      <c r="B43" s="831"/>
      <c r="C43" s="829"/>
      <c r="D43" s="832"/>
      <c r="E43" s="837"/>
      <c r="F43" s="831"/>
      <c r="G43" s="829"/>
      <c r="H43" s="832"/>
      <c r="I43" s="913"/>
      <c r="J43" s="834"/>
    </row>
    <row r="44" spans="1:10">
      <c r="A44" s="834"/>
      <c r="B44" s="831"/>
      <c r="C44" s="829"/>
      <c r="D44" s="832"/>
      <c r="E44" s="837" t="s">
        <v>1927</v>
      </c>
      <c r="F44" s="831">
        <v>4</v>
      </c>
      <c r="G44" s="829">
        <v>10.4</v>
      </c>
      <c r="H44" s="832"/>
      <c r="I44" s="913" t="s">
        <v>3015</v>
      </c>
      <c r="J44" s="834"/>
    </row>
    <row r="45" spans="1:10">
      <c r="A45" s="834"/>
      <c r="B45" s="831"/>
      <c r="C45" s="829"/>
      <c r="D45" s="832"/>
      <c r="E45" s="837" t="s">
        <v>2998</v>
      </c>
      <c r="F45" s="831"/>
      <c r="G45" s="829">
        <v>0.25</v>
      </c>
      <c r="H45" s="832">
        <f>F44*G44*G45</f>
        <v>10.4</v>
      </c>
      <c r="I45" s="913" t="s">
        <v>3016</v>
      </c>
      <c r="J45" s="834"/>
    </row>
    <row r="46" spans="1:10">
      <c r="A46" s="834"/>
      <c r="B46" s="831">
        <v>4</v>
      </c>
      <c r="C46" s="829">
        <v>23.85</v>
      </c>
      <c r="D46" s="832"/>
      <c r="E46" s="913" t="s">
        <v>1929</v>
      </c>
      <c r="F46" s="435"/>
      <c r="G46" s="435"/>
      <c r="H46" s="435"/>
      <c r="I46" s="435"/>
      <c r="J46" s="834"/>
    </row>
    <row r="47" spans="1:10" ht="18">
      <c r="A47" s="834"/>
      <c r="B47" s="831"/>
      <c r="C47" s="829">
        <v>0.9</v>
      </c>
      <c r="D47" s="832"/>
      <c r="E47" s="913" t="s">
        <v>2999</v>
      </c>
      <c r="F47" s="839"/>
      <c r="G47" s="839"/>
      <c r="H47" s="838">
        <f>H38-H42-H45</f>
        <v>227.24</v>
      </c>
      <c r="I47" s="845" t="s">
        <v>3182</v>
      </c>
      <c r="J47" s="834"/>
    </row>
    <row r="48" spans="1:10">
      <c r="A48" s="834"/>
      <c r="B48" s="831"/>
      <c r="C48" s="829">
        <v>0.5</v>
      </c>
      <c r="D48" s="832">
        <f>B46*C46*C47*C48</f>
        <v>42.930000000000007</v>
      </c>
      <c r="E48" s="913"/>
      <c r="F48" s="831"/>
      <c r="G48" s="829"/>
      <c r="H48" s="832"/>
      <c r="I48" s="913"/>
      <c r="J48" s="834"/>
    </row>
    <row r="49" spans="1:10">
      <c r="A49" s="834"/>
      <c r="B49" s="831"/>
      <c r="C49" s="829"/>
      <c r="D49" s="832"/>
      <c r="E49" s="913"/>
      <c r="F49" s="831"/>
      <c r="G49" s="829"/>
      <c r="H49" s="832"/>
      <c r="I49" s="837" t="s">
        <v>1894</v>
      </c>
      <c r="J49" s="834"/>
    </row>
    <row r="50" spans="1:10">
      <c r="A50" s="834"/>
      <c r="B50" s="831">
        <v>6</v>
      </c>
      <c r="C50" s="829">
        <v>8.3000000000000007</v>
      </c>
      <c r="D50" s="832"/>
      <c r="E50" s="913" t="s">
        <v>3000</v>
      </c>
      <c r="F50" s="831"/>
      <c r="G50" s="829"/>
      <c r="H50" s="832"/>
      <c r="I50" s="837" t="s">
        <v>1939</v>
      </c>
      <c r="J50" s="834"/>
    </row>
    <row r="51" spans="1:10">
      <c r="A51" s="834"/>
      <c r="B51" s="831"/>
      <c r="C51" s="829">
        <v>0.9</v>
      </c>
      <c r="D51" s="832"/>
      <c r="E51" s="913" t="s">
        <v>3001</v>
      </c>
      <c r="F51" s="831">
        <v>4</v>
      </c>
      <c r="G51" s="829">
        <v>23.35</v>
      </c>
      <c r="H51" s="832"/>
      <c r="I51" s="913" t="s">
        <v>3017</v>
      </c>
      <c r="J51" s="834"/>
    </row>
    <row r="52" spans="1:10">
      <c r="A52" s="834"/>
      <c r="B52" s="831"/>
      <c r="C52" s="829">
        <v>0.5</v>
      </c>
      <c r="D52" s="832">
        <f>B50*C50*C51*C52</f>
        <v>22.410000000000004</v>
      </c>
      <c r="E52" s="913">
        <f>11.9-(4*0.9)</f>
        <v>8.3000000000000007</v>
      </c>
      <c r="F52" s="831"/>
      <c r="G52" s="829">
        <v>0.5</v>
      </c>
      <c r="H52" s="832">
        <f>G52*G51*F51</f>
        <v>46.7</v>
      </c>
      <c r="I52" s="913"/>
      <c r="J52" s="834"/>
    </row>
    <row r="53" spans="1:10">
      <c r="A53" s="834"/>
      <c r="B53" s="831"/>
      <c r="C53" s="829"/>
      <c r="D53" s="832"/>
      <c r="E53" s="837"/>
      <c r="F53" s="831"/>
      <c r="G53" s="829"/>
      <c r="H53" s="832"/>
      <c r="I53" s="913"/>
      <c r="J53" s="834"/>
    </row>
    <row r="54" spans="1:10">
      <c r="A54" s="834"/>
      <c r="B54" s="831"/>
      <c r="C54" s="829"/>
      <c r="D54" s="832"/>
      <c r="E54" s="837" t="s">
        <v>3011</v>
      </c>
      <c r="F54" s="831">
        <v>6</v>
      </c>
      <c r="G54" s="829">
        <v>9.8000000000000007</v>
      </c>
      <c r="H54" s="832"/>
      <c r="I54" s="913" t="s">
        <v>3018</v>
      </c>
      <c r="J54" s="834"/>
    </row>
    <row r="55" spans="1:10">
      <c r="A55" s="834"/>
      <c r="B55" s="831"/>
      <c r="C55" s="829"/>
      <c r="D55" s="832"/>
      <c r="E55" s="913" t="s">
        <v>3002</v>
      </c>
      <c r="F55" s="831"/>
      <c r="G55" s="829">
        <v>0.5</v>
      </c>
      <c r="H55" s="832">
        <f>G55*G54*F54</f>
        <v>29.400000000000002</v>
      </c>
      <c r="I55" s="913"/>
      <c r="J55" s="834"/>
    </row>
    <row r="56" spans="1:10">
      <c r="A56" s="834"/>
      <c r="B56" s="831">
        <v>6</v>
      </c>
      <c r="C56" s="829">
        <v>20.95</v>
      </c>
      <c r="D56" s="832"/>
      <c r="E56" s="913" t="s">
        <v>3003</v>
      </c>
      <c r="F56" s="831"/>
      <c r="G56" s="829"/>
      <c r="H56" s="832"/>
      <c r="I56" s="913"/>
      <c r="J56" s="834"/>
    </row>
    <row r="57" spans="1:10" ht="18">
      <c r="A57" s="834"/>
      <c r="B57" s="831"/>
      <c r="C57" s="829">
        <v>0.25</v>
      </c>
      <c r="D57" s="832"/>
      <c r="E57" s="913" t="s">
        <v>2913</v>
      </c>
      <c r="F57" s="839"/>
      <c r="G57" s="839"/>
      <c r="H57" s="838">
        <f>H55+H52</f>
        <v>76.100000000000009</v>
      </c>
      <c r="I57" s="845" t="s">
        <v>3181</v>
      </c>
      <c r="J57" s="834"/>
    </row>
    <row r="58" spans="1:10">
      <c r="A58" s="834"/>
      <c r="B58" s="831"/>
      <c r="C58" s="829">
        <v>0.28000000000000003</v>
      </c>
      <c r="D58" s="832">
        <f>B56*C56*C57*C58</f>
        <v>8.7989999999999995</v>
      </c>
      <c r="E58" s="837"/>
      <c r="F58" s="831"/>
      <c r="G58" s="829"/>
      <c r="H58" s="832"/>
      <c r="I58" s="837"/>
      <c r="J58" s="834"/>
    </row>
    <row r="59" spans="1:10">
      <c r="A59" s="834"/>
      <c r="B59" s="435"/>
      <c r="C59" s="1193"/>
      <c r="D59" s="1193"/>
      <c r="E59" s="435"/>
      <c r="F59" s="831"/>
      <c r="G59" s="829"/>
      <c r="H59" s="832"/>
      <c r="I59" s="837"/>
      <c r="J59" s="834"/>
    </row>
    <row r="60" spans="1:10">
      <c r="A60" s="834"/>
      <c r="B60" s="831"/>
      <c r="C60" s="829"/>
      <c r="D60" s="832"/>
      <c r="E60" s="913" t="s">
        <v>1914</v>
      </c>
      <c r="F60" s="831"/>
      <c r="G60" s="829"/>
      <c r="H60" s="832"/>
      <c r="I60" s="837"/>
      <c r="J60" s="834"/>
    </row>
    <row r="61" spans="1:10" ht="31.5">
      <c r="A61" s="834"/>
      <c r="B61" s="831">
        <v>10</v>
      </c>
      <c r="C61" s="829">
        <v>8.3000000000000007</v>
      </c>
      <c r="D61" s="832"/>
      <c r="E61" s="913" t="s">
        <v>3004</v>
      </c>
      <c r="F61" s="831"/>
      <c r="G61" s="829"/>
      <c r="H61" s="832"/>
      <c r="I61" s="837"/>
      <c r="J61" s="834"/>
    </row>
    <row r="62" spans="1:10">
      <c r="A62" s="834"/>
      <c r="B62" s="831"/>
      <c r="C62" s="829">
        <v>0.25</v>
      </c>
      <c r="D62" s="832"/>
      <c r="E62" s="913" t="s">
        <v>2915</v>
      </c>
      <c r="F62" s="831"/>
      <c r="G62" s="829"/>
      <c r="H62" s="832"/>
      <c r="I62" s="837"/>
      <c r="J62" s="834"/>
    </row>
    <row r="63" spans="1:10">
      <c r="A63" s="834"/>
      <c r="B63" s="831"/>
      <c r="C63" s="829">
        <v>0.28000000000000003</v>
      </c>
      <c r="D63" s="832">
        <f>B61*C61*C62*C63</f>
        <v>5.8100000000000005</v>
      </c>
      <c r="E63" s="837"/>
      <c r="F63" s="831"/>
      <c r="G63" s="829"/>
      <c r="H63" s="832"/>
      <c r="I63" s="837"/>
      <c r="J63" s="834"/>
    </row>
    <row r="64" spans="1:10">
      <c r="A64" s="834"/>
      <c r="B64" s="831"/>
      <c r="C64" s="829"/>
      <c r="D64" s="832"/>
      <c r="E64" s="837"/>
      <c r="F64" s="831"/>
      <c r="G64" s="829"/>
      <c r="H64" s="832"/>
      <c r="I64" s="837"/>
      <c r="J64" s="834"/>
    </row>
    <row r="65" spans="1:10" ht="18">
      <c r="A65" s="834"/>
      <c r="B65" s="839"/>
      <c r="C65" s="839"/>
      <c r="D65" s="838">
        <f>D48+D52+D58+D63</f>
        <v>79.949000000000012</v>
      </c>
      <c r="E65" s="845" t="s">
        <v>3180</v>
      </c>
      <c r="F65" s="831"/>
      <c r="G65" s="829"/>
      <c r="H65" s="832"/>
      <c r="I65" s="837"/>
      <c r="J65" s="834"/>
    </row>
    <row r="66" spans="1:10">
      <c r="A66" s="1162"/>
      <c r="B66" s="909" t="s">
        <v>1884</v>
      </c>
      <c r="C66" s="911" t="s">
        <v>526</v>
      </c>
      <c r="D66" s="910" t="s">
        <v>1885</v>
      </c>
      <c r="E66" s="911" t="s">
        <v>1886</v>
      </c>
      <c r="F66" s="909" t="s">
        <v>1884</v>
      </c>
      <c r="G66" s="911" t="s">
        <v>526</v>
      </c>
      <c r="H66" s="910" t="s">
        <v>1885</v>
      </c>
      <c r="I66" s="911" t="s">
        <v>1886</v>
      </c>
      <c r="J66" s="1162"/>
    </row>
    <row r="67" spans="1:10">
      <c r="A67" s="834"/>
      <c r="B67" s="831"/>
      <c r="C67" s="829"/>
      <c r="D67" s="832"/>
      <c r="E67" s="837" t="s">
        <v>3022</v>
      </c>
      <c r="F67" s="831"/>
      <c r="G67" s="829"/>
      <c r="H67" s="832"/>
      <c r="I67" s="837" t="s">
        <v>1843</v>
      </c>
    </row>
    <row r="68" spans="1:10">
      <c r="A68" s="834"/>
      <c r="B68" s="831">
        <v>1</v>
      </c>
      <c r="C68" s="829">
        <v>22.85</v>
      </c>
      <c r="D68" s="832"/>
      <c r="E68" s="913" t="s">
        <v>3019</v>
      </c>
      <c r="F68" s="831"/>
      <c r="G68" s="829"/>
      <c r="H68" s="832"/>
      <c r="I68" s="837" t="s">
        <v>3035</v>
      </c>
    </row>
    <row r="69" spans="1:10">
      <c r="A69" s="834"/>
      <c r="B69" s="831"/>
      <c r="C69" s="829">
        <v>10.9</v>
      </c>
      <c r="D69" s="832">
        <f>B68*C68*C69</f>
        <v>249.06500000000003</v>
      </c>
      <c r="E69" s="913" t="s">
        <v>3020</v>
      </c>
      <c r="F69" s="831">
        <v>4</v>
      </c>
      <c r="G69" s="829">
        <v>23.35</v>
      </c>
      <c r="H69" s="832"/>
      <c r="I69" s="913" t="s">
        <v>1951</v>
      </c>
    </row>
    <row r="70" spans="1:10">
      <c r="A70" s="834"/>
      <c r="B70" s="435"/>
      <c r="C70" s="1193"/>
      <c r="D70" s="1193"/>
      <c r="E70" s="435"/>
      <c r="F70" s="831"/>
      <c r="G70" s="829">
        <v>0.4</v>
      </c>
      <c r="H70" s="832"/>
      <c r="I70" s="913" t="s">
        <v>3017</v>
      </c>
    </row>
    <row r="71" spans="1:10">
      <c r="A71" s="834"/>
      <c r="B71" s="831"/>
      <c r="C71" s="829"/>
      <c r="D71" s="832"/>
      <c r="E71" s="837" t="s">
        <v>1915</v>
      </c>
      <c r="F71" s="831"/>
      <c r="G71" s="829">
        <v>0.74</v>
      </c>
      <c r="H71" s="832">
        <f>G71*G70*G69*F69</f>
        <v>27.6464</v>
      </c>
      <c r="I71" s="837"/>
    </row>
    <row r="72" spans="1:10">
      <c r="A72" s="834"/>
      <c r="B72" s="831"/>
      <c r="C72" s="829"/>
      <c r="D72" s="832"/>
      <c r="E72" s="913" t="s">
        <v>1916</v>
      </c>
      <c r="F72" s="831"/>
      <c r="G72" s="829"/>
      <c r="H72" s="832"/>
      <c r="I72" s="913"/>
    </row>
    <row r="73" spans="1:10">
      <c r="A73" s="834"/>
      <c r="B73" s="831">
        <v>2</v>
      </c>
      <c r="C73" s="829">
        <v>22.85</v>
      </c>
      <c r="D73" s="832"/>
      <c r="E73" s="913" t="s">
        <v>3019</v>
      </c>
      <c r="F73" s="831">
        <v>6</v>
      </c>
      <c r="G73" s="829">
        <v>9.8000000000000007</v>
      </c>
      <c r="H73" s="832"/>
      <c r="I73" s="913" t="s">
        <v>1952</v>
      </c>
    </row>
    <row r="74" spans="1:10">
      <c r="A74" s="834"/>
      <c r="B74" s="831"/>
      <c r="C74" s="829">
        <v>0.25</v>
      </c>
      <c r="D74" s="832">
        <f>B73*C73*C74</f>
        <v>11.425000000000001</v>
      </c>
      <c r="E74" s="837"/>
      <c r="F74" s="831"/>
      <c r="G74" s="829">
        <v>0.4</v>
      </c>
      <c r="H74" s="832"/>
      <c r="I74" s="913" t="s">
        <v>3018</v>
      </c>
    </row>
    <row r="75" spans="1:10">
      <c r="A75" s="834"/>
      <c r="B75" s="831"/>
      <c r="C75" s="829"/>
      <c r="D75" s="832"/>
      <c r="E75" s="913" t="s">
        <v>1914</v>
      </c>
      <c r="F75" s="831"/>
      <c r="G75" s="829">
        <v>0.74</v>
      </c>
      <c r="H75" s="832">
        <f>G75*G74*G73*F73</f>
        <v>17.404800000000002</v>
      </c>
      <c r="I75" s="837"/>
    </row>
    <row r="76" spans="1:10" ht="18">
      <c r="A76" s="834"/>
      <c r="B76" s="831">
        <v>4</v>
      </c>
      <c r="C76" s="829">
        <v>10.4</v>
      </c>
      <c r="D76" s="832"/>
      <c r="E76" s="913" t="s">
        <v>3021</v>
      </c>
      <c r="F76" s="831"/>
      <c r="G76" s="829"/>
      <c r="H76" s="832">
        <f>H71+H75</f>
        <v>45.051200000000001</v>
      </c>
      <c r="I76" s="913" t="s">
        <v>3179</v>
      </c>
    </row>
    <row r="77" spans="1:10">
      <c r="A77" s="834"/>
      <c r="B77" s="831"/>
      <c r="C77" s="829">
        <v>0.25</v>
      </c>
      <c r="D77" s="832">
        <f>B76*C76*C77</f>
        <v>10.4</v>
      </c>
      <c r="E77" s="837"/>
      <c r="F77" s="831"/>
      <c r="G77" s="829"/>
      <c r="H77" s="832"/>
      <c r="I77" s="837"/>
    </row>
    <row r="78" spans="1:10">
      <c r="A78" s="834"/>
      <c r="B78" s="435"/>
      <c r="C78" s="1193"/>
      <c r="D78" s="1193"/>
      <c r="E78" s="435"/>
      <c r="F78" s="831"/>
      <c r="G78" s="829"/>
      <c r="H78" s="832"/>
      <c r="I78" s="837" t="s">
        <v>1953</v>
      </c>
    </row>
    <row r="79" spans="1:10" ht="18">
      <c r="A79" s="834"/>
      <c r="B79" s="839"/>
      <c r="C79" s="839"/>
      <c r="D79" s="838">
        <f>D69-D74-D77</f>
        <v>227.24</v>
      </c>
      <c r="E79" s="845" t="s">
        <v>3178</v>
      </c>
      <c r="F79" s="831">
        <v>1</v>
      </c>
      <c r="G79" s="829">
        <v>7.95</v>
      </c>
      <c r="H79" s="832"/>
      <c r="I79" s="837" t="s">
        <v>3032</v>
      </c>
    </row>
    <row r="80" spans="1:10">
      <c r="A80" s="834"/>
      <c r="B80" s="831"/>
      <c r="C80" s="829"/>
      <c r="D80" s="832"/>
      <c r="E80" s="837"/>
      <c r="F80" s="831"/>
      <c r="G80" s="829">
        <v>0.4</v>
      </c>
      <c r="H80" s="832"/>
      <c r="I80" s="913"/>
    </row>
    <row r="81" spans="1:10">
      <c r="A81" s="834"/>
      <c r="B81" s="831"/>
      <c r="C81" s="829"/>
      <c r="D81" s="832"/>
      <c r="E81" s="837" t="s">
        <v>1942</v>
      </c>
      <c r="F81" s="831"/>
      <c r="G81" s="829">
        <v>0.43</v>
      </c>
      <c r="H81" s="832">
        <f>F79*G79*G80*G81</f>
        <v>1.3673999999999999</v>
      </c>
      <c r="I81" s="913"/>
    </row>
    <row r="82" spans="1:10">
      <c r="A82" s="834"/>
      <c r="B82" s="831">
        <v>4</v>
      </c>
      <c r="C82" s="829">
        <v>23.35</v>
      </c>
      <c r="D82" s="832"/>
      <c r="E82" s="913" t="s">
        <v>3023</v>
      </c>
      <c r="F82" s="831"/>
      <c r="G82" s="829"/>
      <c r="H82" s="832"/>
      <c r="I82" s="913"/>
    </row>
    <row r="83" spans="1:10">
      <c r="A83" s="834"/>
      <c r="B83" s="831"/>
      <c r="C83" s="829">
        <v>0.25</v>
      </c>
      <c r="D83" s="832"/>
      <c r="E83" s="913"/>
      <c r="F83" s="831">
        <v>1</v>
      </c>
      <c r="G83" s="829">
        <v>11.4</v>
      </c>
      <c r="H83" s="832"/>
      <c r="I83" s="913" t="s">
        <v>3033</v>
      </c>
      <c r="J83" s="834"/>
    </row>
    <row r="84" spans="1:10">
      <c r="A84" s="834"/>
      <c r="B84" s="831"/>
      <c r="C84" s="829">
        <v>0.4</v>
      </c>
      <c r="D84" s="832">
        <f>B82*C82*C83*C84</f>
        <v>9.3400000000000016</v>
      </c>
      <c r="E84" s="913"/>
      <c r="F84" s="831"/>
      <c r="G84" s="829">
        <v>0.4</v>
      </c>
      <c r="H84" s="832"/>
      <c r="I84" s="913"/>
      <c r="J84" s="834"/>
    </row>
    <row r="85" spans="1:10">
      <c r="A85" s="834"/>
      <c r="B85" s="831"/>
      <c r="C85" s="829"/>
      <c r="D85" s="832"/>
      <c r="E85" s="913"/>
      <c r="F85" s="831"/>
      <c r="G85" s="829">
        <v>0.46</v>
      </c>
      <c r="H85" s="832">
        <f>F83*G83*G84*G85</f>
        <v>2.0976000000000004</v>
      </c>
      <c r="I85" s="913"/>
      <c r="J85" s="834"/>
    </row>
    <row r="86" spans="1:10">
      <c r="A86" s="834"/>
      <c r="B86" s="831">
        <v>6</v>
      </c>
      <c r="C86" s="829">
        <v>10.4</v>
      </c>
      <c r="D86" s="832"/>
      <c r="E86" s="913" t="s">
        <v>3024</v>
      </c>
      <c r="F86" s="831"/>
      <c r="G86" s="829"/>
      <c r="H86" s="832"/>
      <c r="I86" s="913"/>
      <c r="J86" s="834"/>
    </row>
    <row r="87" spans="1:10">
      <c r="A87" s="834"/>
      <c r="B87" s="831"/>
      <c r="C87" s="829">
        <v>0.25</v>
      </c>
      <c r="D87" s="832"/>
      <c r="E87" s="913"/>
      <c r="F87" s="831">
        <v>1</v>
      </c>
      <c r="G87" s="829">
        <v>3.75</v>
      </c>
      <c r="H87" s="832"/>
      <c r="I87" s="913" t="s">
        <v>3034</v>
      </c>
      <c r="J87" s="834"/>
    </row>
    <row r="88" spans="1:10" ht="19.5" customHeight="1">
      <c r="A88" s="834"/>
      <c r="B88" s="831"/>
      <c r="C88" s="829">
        <v>0.4</v>
      </c>
      <c r="D88" s="832">
        <f>B86*C86*C87*C88</f>
        <v>6.2400000000000011</v>
      </c>
      <c r="E88" s="913"/>
      <c r="F88" s="831"/>
      <c r="G88" s="829">
        <v>0.4</v>
      </c>
      <c r="H88" s="832"/>
      <c r="I88" s="913"/>
      <c r="J88" s="834"/>
    </row>
    <row r="89" spans="1:10">
      <c r="A89" s="834"/>
      <c r="B89" s="435"/>
      <c r="C89" s="1193"/>
      <c r="D89" s="1193"/>
      <c r="E89" s="435"/>
      <c r="F89" s="831"/>
      <c r="G89" s="829">
        <v>0.2</v>
      </c>
      <c r="H89" s="832">
        <f>F87*G87*G88*G89</f>
        <v>0.30000000000000004</v>
      </c>
      <c r="I89" s="837"/>
      <c r="J89" s="834"/>
    </row>
    <row r="90" spans="1:10" ht="18">
      <c r="A90" s="834"/>
      <c r="B90" s="839"/>
      <c r="C90" s="839"/>
      <c r="D90" s="838">
        <f>D84+D88</f>
        <v>15.580000000000002</v>
      </c>
      <c r="E90" s="845" t="s">
        <v>3177</v>
      </c>
      <c r="F90" s="435"/>
      <c r="G90" s="435"/>
      <c r="H90" s="435"/>
      <c r="I90" s="435"/>
      <c r="J90" s="834"/>
    </row>
    <row r="91" spans="1:10" ht="18">
      <c r="A91" s="834"/>
      <c r="B91" s="435"/>
      <c r="C91" s="1193"/>
      <c r="D91" s="1193"/>
      <c r="E91" s="435"/>
      <c r="F91" s="839"/>
      <c r="G91" s="839"/>
      <c r="H91" s="838">
        <f>H81+H85+H89</f>
        <v>3.7650000000000006</v>
      </c>
      <c r="I91" s="845" t="s">
        <v>3176</v>
      </c>
      <c r="J91" s="834"/>
    </row>
    <row r="92" spans="1:10">
      <c r="A92" s="834"/>
      <c r="B92" s="831"/>
      <c r="C92" s="829"/>
      <c r="D92" s="832"/>
      <c r="E92" s="837" t="s">
        <v>3027</v>
      </c>
      <c r="F92" s="831"/>
      <c r="G92" s="829"/>
      <c r="H92" s="832"/>
      <c r="I92" s="837"/>
      <c r="J92" s="834"/>
    </row>
    <row r="93" spans="1:10">
      <c r="A93" s="834"/>
      <c r="B93" s="831"/>
      <c r="C93" s="829"/>
      <c r="D93" s="832"/>
      <c r="E93" s="837" t="s">
        <v>1945</v>
      </c>
      <c r="F93" s="831"/>
      <c r="G93" s="829"/>
      <c r="H93" s="832"/>
      <c r="I93" s="837" t="s">
        <v>2987</v>
      </c>
      <c r="J93" s="834"/>
    </row>
    <row r="94" spans="1:10">
      <c r="A94" s="834"/>
      <c r="B94" s="831">
        <v>8</v>
      </c>
      <c r="C94" s="829">
        <v>23.35</v>
      </c>
      <c r="D94" s="832"/>
      <c r="E94" s="913" t="s">
        <v>3025</v>
      </c>
      <c r="F94" s="435"/>
      <c r="G94" s="435"/>
      <c r="H94" s="435"/>
      <c r="I94" s="435"/>
      <c r="J94" s="834"/>
    </row>
    <row r="95" spans="1:10" ht="18">
      <c r="A95" s="834"/>
      <c r="B95" s="831"/>
      <c r="C95" s="829">
        <v>0.4</v>
      </c>
      <c r="D95" s="832">
        <f>B94*C94*C95</f>
        <v>74.720000000000013</v>
      </c>
      <c r="E95" s="913"/>
      <c r="F95" s="839"/>
      <c r="G95" s="839"/>
      <c r="H95" s="838">
        <f>H76-H91</f>
        <v>41.286200000000001</v>
      </c>
      <c r="I95" s="845" t="s">
        <v>3172</v>
      </c>
      <c r="J95" s="834"/>
    </row>
    <row r="96" spans="1:10">
      <c r="A96" s="834"/>
      <c r="B96" s="831"/>
      <c r="C96" s="829"/>
      <c r="D96" s="832"/>
      <c r="E96" s="913"/>
      <c r="F96" s="831"/>
      <c r="G96" s="829"/>
      <c r="H96" s="832"/>
      <c r="I96" s="913"/>
      <c r="J96" s="834"/>
    </row>
    <row r="97" spans="1:10">
      <c r="A97" s="834"/>
      <c r="B97" s="831">
        <v>12</v>
      </c>
      <c r="C97" s="829">
        <v>10.9</v>
      </c>
      <c r="D97" s="832"/>
      <c r="E97" s="913" t="s">
        <v>3026</v>
      </c>
      <c r="F97" s="831"/>
      <c r="G97" s="829"/>
      <c r="H97" s="832"/>
      <c r="I97" s="837"/>
      <c r="J97" s="834"/>
    </row>
    <row r="98" spans="1:10">
      <c r="A98" s="834"/>
      <c r="B98" s="831"/>
      <c r="C98" s="829">
        <v>0.4</v>
      </c>
      <c r="D98" s="832">
        <f>B97*C97*C98</f>
        <v>52.320000000000007</v>
      </c>
      <c r="E98" s="913"/>
      <c r="F98" s="831"/>
      <c r="G98" s="829"/>
      <c r="H98" s="832"/>
      <c r="I98" s="913"/>
      <c r="J98" s="834"/>
    </row>
    <row r="99" spans="1:10">
      <c r="A99" s="834"/>
      <c r="B99" s="831"/>
      <c r="C99" s="829"/>
      <c r="D99" s="832"/>
      <c r="E99" s="913"/>
      <c r="F99" s="831"/>
      <c r="G99" s="829"/>
      <c r="H99" s="832"/>
      <c r="I99" s="837"/>
      <c r="J99" s="834"/>
    </row>
    <row r="100" spans="1:10">
      <c r="A100" s="834"/>
      <c r="B100" s="831"/>
      <c r="C100" s="829"/>
      <c r="D100" s="832"/>
      <c r="E100" s="913"/>
      <c r="F100" s="831"/>
      <c r="G100" s="829"/>
      <c r="H100" s="832"/>
      <c r="I100" s="837"/>
      <c r="J100" s="834"/>
    </row>
    <row r="101" spans="1:10">
      <c r="A101" s="834"/>
      <c r="B101" s="831">
        <v>56</v>
      </c>
      <c r="C101" s="829">
        <v>0.4</v>
      </c>
      <c r="D101" s="832"/>
      <c r="E101" s="913" t="s">
        <v>1915</v>
      </c>
      <c r="F101" s="831"/>
      <c r="G101" s="829"/>
      <c r="H101" s="832"/>
      <c r="I101" s="837"/>
      <c r="J101" s="834"/>
    </row>
    <row r="102" spans="1:10">
      <c r="A102" s="834"/>
      <c r="B102" s="831"/>
      <c r="C102" s="829">
        <v>0.25</v>
      </c>
      <c r="D102" s="832">
        <f>B101*C101*C102</f>
        <v>5.6000000000000005</v>
      </c>
      <c r="E102" s="913"/>
      <c r="F102" s="831"/>
      <c r="G102" s="829"/>
      <c r="H102" s="832"/>
      <c r="I102" s="837"/>
      <c r="J102" s="834"/>
    </row>
    <row r="103" spans="1:10">
      <c r="A103" s="834"/>
      <c r="B103" s="435"/>
      <c r="C103" s="1193"/>
      <c r="D103" s="1193"/>
      <c r="E103" s="435"/>
      <c r="F103" s="831"/>
      <c r="G103" s="829"/>
      <c r="H103" s="832"/>
      <c r="I103" s="837"/>
      <c r="J103" s="834"/>
    </row>
    <row r="104" spans="1:10" ht="18">
      <c r="A104" s="834"/>
      <c r="B104" s="839"/>
      <c r="C104" s="839"/>
      <c r="D104" s="838">
        <f>D95+D98-D102</f>
        <v>121.44000000000003</v>
      </c>
      <c r="E104" s="845" t="s">
        <v>3175</v>
      </c>
      <c r="F104" s="831"/>
      <c r="G104" s="829"/>
      <c r="H104" s="832"/>
      <c r="I104" s="837"/>
      <c r="J104" s="834"/>
    </row>
    <row r="105" spans="1:10">
      <c r="A105" s="834"/>
      <c r="B105" s="831"/>
      <c r="C105" s="829"/>
      <c r="D105" s="832"/>
      <c r="E105" s="837"/>
      <c r="F105" s="831"/>
      <c r="G105" s="829"/>
      <c r="H105" s="832"/>
      <c r="I105" s="837"/>
      <c r="J105" s="834"/>
    </row>
    <row r="106" spans="1:10">
      <c r="A106" s="834"/>
      <c r="B106" s="831"/>
      <c r="C106" s="829"/>
      <c r="D106" s="832"/>
      <c r="E106" s="837" t="s">
        <v>1899</v>
      </c>
      <c r="F106" s="831"/>
      <c r="G106" s="829"/>
      <c r="H106" s="832"/>
      <c r="I106" s="837"/>
      <c r="J106" s="834"/>
    </row>
    <row r="107" spans="1:10">
      <c r="A107" s="834"/>
      <c r="B107" s="831"/>
      <c r="C107" s="829"/>
      <c r="D107" s="832"/>
      <c r="E107" s="844" t="s">
        <v>3174</v>
      </c>
      <c r="F107" s="1193"/>
      <c r="G107" s="848"/>
      <c r="H107" s="843"/>
      <c r="I107" s="435"/>
      <c r="J107" s="834" t="e">
        <f>#REF!*#REF!</f>
        <v>#REF!</v>
      </c>
    </row>
    <row r="108" spans="1:10">
      <c r="A108" s="834"/>
      <c r="B108" s="839"/>
      <c r="C108" s="839"/>
      <c r="D108" s="838">
        <f>'[23]EMG &amp;Waitng Reinf'!N30+'[23]EMG &amp;Waitng Reinf'!N70</f>
        <v>1263.4578000000001</v>
      </c>
      <c r="E108" s="845" t="s">
        <v>3028</v>
      </c>
      <c r="F108" s="1193"/>
      <c r="G108" s="848"/>
      <c r="H108" s="843"/>
      <c r="I108" s="435"/>
      <c r="J108" s="834"/>
    </row>
    <row r="109" spans="1:10">
      <c r="A109" s="834"/>
      <c r="B109" s="831"/>
      <c r="C109" s="829"/>
      <c r="D109" s="832"/>
      <c r="E109" s="833"/>
      <c r="F109" s="1193"/>
      <c r="G109" s="848"/>
      <c r="H109" s="843"/>
      <c r="I109" s="435"/>
      <c r="J109" s="834"/>
    </row>
    <row r="110" spans="1:10">
      <c r="A110" s="834"/>
      <c r="B110" s="831"/>
      <c r="C110" s="829"/>
      <c r="D110" s="832"/>
      <c r="E110" s="844" t="s">
        <v>3171</v>
      </c>
      <c r="F110" s="1193"/>
      <c r="G110" s="848"/>
      <c r="H110" s="843"/>
      <c r="I110" s="435"/>
      <c r="J110" s="834"/>
    </row>
    <row r="111" spans="1:10">
      <c r="A111" s="834"/>
      <c r="B111" s="839"/>
      <c r="C111" s="839"/>
      <c r="D111" s="838">
        <f>'[23]EMG &amp;Waitng Reinf'!K70+'[23]EMG &amp;Waitng Reinf'!K30</f>
        <v>1289.11015</v>
      </c>
      <c r="E111" s="845" t="s">
        <v>2935</v>
      </c>
      <c r="F111" s="1193"/>
      <c r="G111" s="848"/>
      <c r="H111" s="843"/>
      <c r="I111" s="435"/>
      <c r="J111" s="834"/>
    </row>
    <row r="112" spans="1:10">
      <c r="A112" s="834"/>
      <c r="B112" s="831"/>
      <c r="C112" s="829"/>
      <c r="D112" s="832"/>
      <c r="E112" s="837"/>
      <c r="F112" s="1193"/>
      <c r="G112" s="848"/>
      <c r="H112" s="843"/>
      <c r="I112" s="435"/>
      <c r="J112" s="834"/>
    </row>
    <row r="113" spans="1:11" ht="31.5">
      <c r="A113" s="834"/>
      <c r="B113" s="831"/>
      <c r="C113" s="829"/>
      <c r="D113" s="832"/>
      <c r="E113" s="837" t="s">
        <v>3173</v>
      </c>
      <c r="F113" s="1193"/>
      <c r="G113" s="848"/>
      <c r="H113" s="843"/>
      <c r="I113" s="435"/>
      <c r="J113" s="834"/>
    </row>
    <row r="114" spans="1:11">
      <c r="A114" s="834"/>
      <c r="B114" s="831"/>
      <c r="C114" s="829"/>
      <c r="D114" s="832"/>
      <c r="E114" s="913" t="s">
        <v>1916</v>
      </c>
      <c r="F114" s="1193"/>
      <c r="G114" s="848"/>
      <c r="H114" s="843"/>
      <c r="I114" s="435"/>
      <c r="J114" s="834"/>
    </row>
    <row r="115" spans="1:11" ht="31.5">
      <c r="A115" s="834"/>
      <c r="B115" s="831">
        <v>6</v>
      </c>
      <c r="C115" s="829">
        <v>22.05</v>
      </c>
      <c r="D115" s="832"/>
      <c r="E115" s="913" t="s">
        <v>3029</v>
      </c>
      <c r="F115" s="1193"/>
      <c r="G115" s="848"/>
      <c r="H115" s="843"/>
      <c r="I115" s="435"/>
      <c r="J115" s="834"/>
    </row>
    <row r="116" spans="1:11">
      <c r="A116" s="834"/>
      <c r="B116" s="831"/>
      <c r="C116" s="829"/>
      <c r="D116" s="832">
        <f>B115*C115</f>
        <v>132.30000000000001</v>
      </c>
      <c r="E116" s="837"/>
      <c r="F116" s="1193"/>
      <c r="G116" s="848"/>
      <c r="H116" s="843"/>
      <c r="I116" s="435"/>
      <c r="J116" s="834"/>
    </row>
    <row r="117" spans="1:11">
      <c r="A117" s="834"/>
      <c r="B117" s="831"/>
      <c r="C117" s="829"/>
      <c r="D117" s="832"/>
      <c r="E117" s="913" t="s">
        <v>1914</v>
      </c>
      <c r="F117" s="1193"/>
      <c r="G117" s="848"/>
      <c r="H117" s="843"/>
      <c r="I117" s="435"/>
      <c r="J117" s="834"/>
    </row>
    <row r="118" spans="1:11">
      <c r="A118" s="834"/>
      <c r="B118" s="831">
        <v>10</v>
      </c>
      <c r="C118" s="829">
        <v>10.4</v>
      </c>
      <c r="D118" s="832"/>
      <c r="E118" s="913" t="s">
        <v>3021</v>
      </c>
      <c r="F118" s="1193"/>
      <c r="G118" s="848"/>
      <c r="H118" s="843"/>
      <c r="I118" s="435"/>
      <c r="J118" s="834"/>
      <c r="K118" s="834"/>
    </row>
    <row r="119" spans="1:11">
      <c r="A119" s="834"/>
      <c r="B119" s="831"/>
      <c r="C119" s="829"/>
      <c r="D119" s="832">
        <f>B118*C118</f>
        <v>104</v>
      </c>
      <c r="E119" s="837"/>
      <c r="F119" s="572"/>
      <c r="G119" s="1280"/>
      <c r="H119" s="572"/>
      <c r="I119" s="1279"/>
      <c r="J119" s="834" t="e">
        <f>SUM(J107:J118)</f>
        <v>#REF!</v>
      </c>
      <c r="K119" s="834"/>
    </row>
    <row r="120" spans="1:11" s="998" customFormat="1">
      <c r="A120" s="834"/>
      <c r="B120" s="831"/>
      <c r="C120" s="829"/>
      <c r="D120" s="832"/>
      <c r="E120" s="837"/>
      <c r="F120" s="435"/>
      <c r="G120" s="435"/>
      <c r="H120" s="435"/>
      <c r="I120" s="435"/>
      <c r="J120" s="834"/>
      <c r="K120" s="834"/>
    </row>
    <row r="121" spans="1:11" s="998" customFormat="1">
      <c r="A121" s="834"/>
      <c r="B121" s="839"/>
      <c r="C121" s="839"/>
      <c r="D121" s="838">
        <f>D119+D116</f>
        <v>236.3</v>
      </c>
      <c r="E121" s="845" t="s">
        <v>3031</v>
      </c>
      <c r="F121" s="831"/>
      <c r="G121" s="829"/>
      <c r="H121" s="832"/>
      <c r="I121" s="837"/>
      <c r="J121" s="834"/>
    </row>
    <row r="122" spans="1:11" s="998" customFormat="1">
      <c r="A122" s="834"/>
      <c r="B122" s="849"/>
      <c r="C122" s="850"/>
      <c r="D122" s="851"/>
      <c r="E122" s="1163"/>
      <c r="F122" s="849"/>
      <c r="G122" s="850"/>
      <c r="H122" s="851"/>
      <c r="I122" s="1163"/>
      <c r="J122" s="834"/>
    </row>
    <row r="123" spans="1:11">
      <c r="C123" s="103"/>
      <c r="D123" s="103"/>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5" max="9"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3"/>
  <sheetViews>
    <sheetView view="pageBreakPreview" topLeftCell="A19" zoomScale="115" zoomScaleNormal="115" zoomScaleSheetLayoutView="115" zoomScalePageLayoutView="85" workbookViewId="0">
      <selection activeCell="G3" sqref="G3"/>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191"/>
      <c r="H1" s="821"/>
      <c r="I1" s="1192"/>
      <c r="J1" s="820"/>
    </row>
    <row r="2" spans="1:10">
      <c r="A2" s="834"/>
      <c r="B2" s="2059" t="s">
        <v>1917</v>
      </c>
      <c r="C2" s="2059"/>
      <c r="D2" s="2059"/>
      <c r="E2" s="2059"/>
      <c r="F2" s="819"/>
      <c r="G2" s="1191"/>
      <c r="J2" s="834"/>
    </row>
    <row r="3" spans="1:10">
      <c r="A3" s="834"/>
      <c r="B3" s="2059" t="s">
        <v>1920</v>
      </c>
      <c r="C3" s="2059"/>
      <c r="D3" s="2059"/>
      <c r="E3" s="2059"/>
      <c r="F3" s="2059"/>
      <c r="G3" s="1191"/>
      <c r="H3" s="2060" t="s">
        <v>3037</v>
      </c>
      <c r="I3" s="2060"/>
      <c r="J3" s="834"/>
    </row>
    <row r="4" spans="1:10">
      <c r="A4" s="834"/>
      <c r="B4" s="2059" t="s">
        <v>1921</v>
      </c>
      <c r="C4" s="2059"/>
      <c r="D4" s="2059"/>
      <c r="E4" s="2059"/>
      <c r="F4" s="819"/>
      <c r="G4" s="1191"/>
      <c r="H4" s="2061"/>
      <c r="I4" s="2061"/>
      <c r="J4" s="834"/>
    </row>
    <row r="5" spans="1:10">
      <c r="A5" s="834"/>
      <c r="B5" s="824"/>
      <c r="C5" s="1191"/>
      <c r="D5" s="1191"/>
      <c r="E5" s="825"/>
      <c r="F5" s="819"/>
      <c r="G5" s="1190"/>
      <c r="H5" s="827"/>
      <c r="I5" s="1190"/>
      <c r="J5" s="834"/>
    </row>
    <row r="6" spans="1:10">
      <c r="A6" s="1162"/>
      <c r="B6" s="909" t="s">
        <v>1884</v>
      </c>
      <c r="C6" s="911" t="s">
        <v>526</v>
      </c>
      <c r="D6" s="910" t="s">
        <v>1885</v>
      </c>
      <c r="E6" s="911" t="s">
        <v>1886</v>
      </c>
      <c r="F6" s="909" t="s">
        <v>1884</v>
      </c>
      <c r="G6" s="911" t="s">
        <v>526</v>
      </c>
      <c r="H6" s="910" t="s">
        <v>1885</v>
      </c>
      <c r="I6" s="911" t="s">
        <v>1886</v>
      </c>
      <c r="J6" s="1162"/>
    </row>
    <row r="7" spans="1:10">
      <c r="A7" s="834"/>
      <c r="B7" s="831"/>
      <c r="C7" s="829"/>
      <c r="D7" s="832"/>
      <c r="E7" s="844" t="s">
        <v>1887</v>
      </c>
      <c r="F7" s="831"/>
      <c r="G7" s="829"/>
      <c r="H7" s="832"/>
      <c r="I7" s="844" t="s">
        <v>2916</v>
      </c>
    </row>
    <row r="8" spans="1:10">
      <c r="A8" s="834"/>
      <c r="B8" s="831"/>
      <c r="C8" s="829"/>
      <c r="D8" s="832"/>
      <c r="E8" s="844" t="s">
        <v>1888</v>
      </c>
      <c r="F8" s="831">
        <v>1</v>
      </c>
      <c r="G8" s="829">
        <v>15.7</v>
      </c>
      <c r="H8" s="832"/>
      <c r="I8" s="833" t="s">
        <v>3053</v>
      </c>
    </row>
    <row r="9" spans="1:10">
      <c r="A9" s="834"/>
      <c r="B9" s="831"/>
      <c r="C9" s="829"/>
      <c r="D9" s="832"/>
      <c r="E9" s="844" t="s">
        <v>1889</v>
      </c>
      <c r="F9" s="831"/>
      <c r="G9" s="829">
        <v>8.8000000000000007</v>
      </c>
      <c r="H9" s="832"/>
      <c r="I9" s="833" t="s">
        <v>3054</v>
      </c>
    </row>
    <row r="10" spans="1:10">
      <c r="A10" s="834"/>
      <c r="B10" s="831"/>
      <c r="C10" s="829"/>
      <c r="D10" s="832"/>
      <c r="E10" s="833" t="s">
        <v>3038</v>
      </c>
      <c r="F10" s="831"/>
      <c r="G10" s="829">
        <v>0</v>
      </c>
      <c r="H10" s="832">
        <f>F8*G8*G9*G10</f>
        <v>0</v>
      </c>
      <c r="I10" s="844"/>
    </row>
    <row r="11" spans="1:10">
      <c r="A11" s="834"/>
      <c r="B11" s="831">
        <v>1</v>
      </c>
      <c r="C11" s="829">
        <v>18.5</v>
      </c>
      <c r="D11" s="832"/>
      <c r="E11" s="833" t="s">
        <v>3039</v>
      </c>
      <c r="F11" s="831"/>
      <c r="G11" s="829"/>
      <c r="H11" s="832"/>
      <c r="I11" s="844"/>
    </row>
    <row r="12" spans="1:10">
      <c r="A12" s="834"/>
      <c r="B12" s="831"/>
      <c r="C12" s="829">
        <v>11.6</v>
      </c>
      <c r="D12" s="832">
        <f>C12*C11*B11</f>
        <v>214.6</v>
      </c>
      <c r="E12" s="844"/>
      <c r="F12" s="831"/>
      <c r="G12" s="829"/>
      <c r="H12" s="832"/>
      <c r="I12" s="844" t="s">
        <v>1915</v>
      </c>
    </row>
    <row r="13" spans="1:10">
      <c r="A13" s="834"/>
      <c r="B13" s="831"/>
      <c r="C13" s="829"/>
      <c r="D13" s="832"/>
      <c r="E13" s="844"/>
      <c r="F13" s="831">
        <v>2</v>
      </c>
      <c r="G13" s="829">
        <v>15.7</v>
      </c>
      <c r="H13" s="832"/>
      <c r="I13" s="833" t="s">
        <v>1916</v>
      </c>
    </row>
    <row r="14" spans="1:10" ht="18">
      <c r="A14" s="834"/>
      <c r="B14" s="839"/>
      <c r="C14" s="935"/>
      <c r="D14" s="838">
        <f>D12</f>
        <v>214.6</v>
      </c>
      <c r="E14" s="839" t="s">
        <v>3185</v>
      </c>
      <c r="F14" s="831"/>
      <c r="G14" s="829">
        <v>0.4</v>
      </c>
      <c r="H14" s="832"/>
      <c r="I14" s="833" t="s">
        <v>3055</v>
      </c>
    </row>
    <row r="15" spans="1:10">
      <c r="A15" s="834"/>
      <c r="B15" s="831"/>
      <c r="C15" s="829"/>
      <c r="D15" s="832"/>
      <c r="E15" s="844"/>
      <c r="F15" s="831"/>
      <c r="G15" s="829">
        <v>0</v>
      </c>
      <c r="H15" s="832">
        <f>F13*G13*G14*G15</f>
        <v>0</v>
      </c>
      <c r="I15" s="833"/>
    </row>
    <row r="16" spans="1:10">
      <c r="A16" s="834"/>
      <c r="B16" s="831"/>
      <c r="C16" s="829"/>
      <c r="D16" s="832"/>
      <c r="E16" s="844" t="s">
        <v>1890</v>
      </c>
      <c r="F16" s="831"/>
      <c r="G16" s="829"/>
      <c r="H16" s="832"/>
      <c r="I16" s="833"/>
    </row>
    <row r="17" spans="1:10">
      <c r="A17" s="834"/>
      <c r="B17" s="831">
        <v>1</v>
      </c>
      <c r="C17" s="829">
        <v>15.2</v>
      </c>
      <c r="D17" s="832"/>
      <c r="E17" s="833" t="s">
        <v>3040</v>
      </c>
      <c r="F17" s="831">
        <v>2</v>
      </c>
      <c r="G17" s="829">
        <v>8</v>
      </c>
      <c r="H17" s="832"/>
      <c r="I17" s="833" t="s">
        <v>1914</v>
      </c>
    </row>
    <row r="18" spans="1:10">
      <c r="A18" s="834"/>
      <c r="B18" s="831"/>
      <c r="C18" s="829">
        <v>8.3000000000000007</v>
      </c>
      <c r="D18" s="832"/>
      <c r="E18" s="833" t="s">
        <v>3041</v>
      </c>
      <c r="F18" s="831"/>
      <c r="G18" s="829">
        <v>0.4</v>
      </c>
      <c r="H18" s="832"/>
      <c r="I18" s="833" t="s">
        <v>3056</v>
      </c>
    </row>
    <row r="19" spans="1:10">
      <c r="A19" s="834"/>
      <c r="B19" s="831"/>
      <c r="C19" s="829">
        <v>0.1</v>
      </c>
      <c r="D19" s="832">
        <f>B17*C17*C18*C19</f>
        <v>12.616000000000001</v>
      </c>
      <c r="E19" s="844"/>
      <c r="F19" s="831"/>
      <c r="G19" s="829">
        <v>0</v>
      </c>
      <c r="H19" s="832">
        <f>F17*G17*G18*G19</f>
        <v>0</v>
      </c>
      <c r="I19" s="833"/>
    </row>
    <row r="20" spans="1:10">
      <c r="A20" s="834"/>
      <c r="B20" s="831"/>
      <c r="C20" s="829"/>
      <c r="D20" s="832"/>
      <c r="E20" s="844"/>
      <c r="F20" s="831"/>
      <c r="G20" s="829"/>
      <c r="H20" s="832"/>
      <c r="I20" s="833"/>
    </row>
    <row r="21" spans="1:10" ht="18">
      <c r="A21" s="834"/>
      <c r="B21" s="831"/>
      <c r="C21" s="829"/>
      <c r="D21" s="832"/>
      <c r="E21" s="844" t="s">
        <v>1915</v>
      </c>
      <c r="F21" s="839"/>
      <c r="G21" s="935"/>
      <c r="H21" s="838">
        <f>D49+D53+D59+D64+H10-H15-H19</f>
        <v>58.014499999999998</v>
      </c>
      <c r="I21" s="839" t="s">
        <v>3160</v>
      </c>
    </row>
    <row r="22" spans="1:10">
      <c r="A22" s="834"/>
      <c r="B22" s="831"/>
      <c r="C22" s="829"/>
      <c r="D22" s="832"/>
      <c r="E22" s="844"/>
      <c r="F22" s="831"/>
      <c r="G22" s="829"/>
      <c r="H22" s="832"/>
      <c r="I22" s="844"/>
    </row>
    <row r="23" spans="1:10">
      <c r="A23" s="834"/>
      <c r="B23" s="831">
        <v>2</v>
      </c>
      <c r="C23" s="829">
        <v>15.2</v>
      </c>
      <c r="D23" s="832"/>
      <c r="E23" s="833" t="s">
        <v>1916</v>
      </c>
      <c r="F23" s="831"/>
      <c r="G23" s="829"/>
      <c r="H23" s="832"/>
      <c r="I23" s="844" t="s">
        <v>2921</v>
      </c>
      <c r="J23" s="834"/>
    </row>
    <row r="24" spans="1:10">
      <c r="A24" s="834"/>
      <c r="B24" s="831"/>
      <c r="C24" s="829">
        <v>0.9</v>
      </c>
      <c r="D24" s="832"/>
      <c r="E24" s="833" t="s">
        <v>3040</v>
      </c>
      <c r="F24" s="831"/>
      <c r="G24" s="829"/>
      <c r="H24" s="832"/>
      <c r="I24" s="844" t="s">
        <v>2205</v>
      </c>
      <c r="J24" s="834"/>
    </row>
    <row r="25" spans="1:10">
      <c r="A25" s="834"/>
      <c r="B25" s="831"/>
      <c r="C25" s="829">
        <v>0.1</v>
      </c>
      <c r="D25" s="832">
        <f>B23*C23*C24*C25</f>
        <v>2.7360000000000002</v>
      </c>
      <c r="E25" s="833"/>
      <c r="F25" s="831">
        <v>1</v>
      </c>
      <c r="G25" s="829">
        <v>18.5</v>
      </c>
      <c r="H25" s="832"/>
      <c r="I25" s="833"/>
      <c r="J25" s="834"/>
    </row>
    <row r="26" spans="1:10">
      <c r="A26" s="834"/>
      <c r="B26" s="831"/>
      <c r="C26" s="829"/>
      <c r="D26" s="832"/>
      <c r="E26" s="833"/>
      <c r="F26" s="831"/>
      <c r="G26" s="829">
        <v>11.6</v>
      </c>
      <c r="H26" s="832"/>
      <c r="I26" s="833"/>
      <c r="J26" s="834"/>
    </row>
    <row r="27" spans="1:10">
      <c r="A27" s="834"/>
      <c r="B27" s="831">
        <v>2</v>
      </c>
      <c r="C27" s="829">
        <v>6.5</v>
      </c>
      <c r="D27" s="832"/>
      <c r="E27" s="833" t="s">
        <v>1914</v>
      </c>
      <c r="F27" s="831"/>
      <c r="G27" s="829">
        <v>0.3</v>
      </c>
      <c r="H27" s="832">
        <f>F25*G25*G26*G27</f>
        <v>64.38</v>
      </c>
      <c r="I27" s="833" t="s">
        <v>1936</v>
      </c>
      <c r="J27" s="834"/>
    </row>
    <row r="28" spans="1:10">
      <c r="A28" s="834"/>
      <c r="B28" s="831"/>
      <c r="C28" s="829">
        <v>0.9</v>
      </c>
      <c r="D28" s="832"/>
      <c r="E28" s="833" t="s">
        <v>3042</v>
      </c>
      <c r="F28" s="831"/>
      <c r="G28" s="829"/>
      <c r="H28" s="832"/>
      <c r="I28" s="833"/>
      <c r="J28" s="834"/>
    </row>
    <row r="29" spans="1:10">
      <c r="A29" s="834"/>
      <c r="B29" s="831"/>
      <c r="C29" s="829">
        <v>0.1</v>
      </c>
      <c r="D29" s="832">
        <f>B27*C27*C28*C29</f>
        <v>1.1700000000000002</v>
      </c>
      <c r="E29" s="833" t="s">
        <v>3043</v>
      </c>
      <c r="F29" s="831"/>
      <c r="G29" s="829"/>
      <c r="H29" s="832">
        <f>D31</f>
        <v>8.7100000000000009</v>
      </c>
      <c r="I29" s="833" t="s">
        <v>1937</v>
      </c>
      <c r="J29" s="834"/>
    </row>
    <row r="30" spans="1:10">
      <c r="A30" s="834"/>
      <c r="B30" s="831"/>
      <c r="C30" s="829"/>
      <c r="D30" s="832"/>
      <c r="E30" s="844"/>
      <c r="F30" s="831"/>
      <c r="G30" s="829"/>
      <c r="H30" s="832"/>
      <c r="I30" s="833"/>
      <c r="J30" s="834"/>
    </row>
    <row r="31" spans="1:10" ht="18">
      <c r="A31" s="834"/>
      <c r="B31" s="839"/>
      <c r="C31" s="935"/>
      <c r="D31" s="838">
        <f>D19-D25-D29</f>
        <v>8.7100000000000009</v>
      </c>
      <c r="E31" s="839" t="s">
        <v>3162</v>
      </c>
      <c r="F31" s="831"/>
      <c r="G31" s="829"/>
      <c r="H31" s="832">
        <f>D43</f>
        <v>10.926000000000002</v>
      </c>
      <c r="I31" s="833" t="s">
        <v>1938</v>
      </c>
      <c r="J31" s="834"/>
    </row>
    <row r="32" spans="1:10">
      <c r="A32" s="834"/>
      <c r="B32" s="831"/>
      <c r="C32" s="829"/>
      <c r="D32" s="832"/>
      <c r="E32" s="844"/>
      <c r="F32" s="831"/>
      <c r="G32" s="829"/>
      <c r="H32" s="832"/>
      <c r="I32" s="833"/>
      <c r="J32" s="834"/>
    </row>
    <row r="33" spans="1:10" ht="18.75" customHeight="1">
      <c r="A33" s="834"/>
      <c r="B33" s="831"/>
      <c r="C33" s="829"/>
      <c r="D33" s="832"/>
      <c r="E33" s="844" t="s">
        <v>2903</v>
      </c>
      <c r="F33" s="839"/>
      <c r="G33" s="935"/>
      <c r="H33" s="838">
        <f>H27+H29+H31</f>
        <v>84.016000000000005</v>
      </c>
      <c r="I33" s="839" t="s">
        <v>3082</v>
      </c>
      <c r="J33" s="834"/>
    </row>
    <row r="34" spans="1:10">
      <c r="A34" s="834"/>
      <c r="B34" s="831"/>
      <c r="C34" s="829"/>
      <c r="D34" s="832"/>
      <c r="E34" s="844" t="s">
        <v>2904</v>
      </c>
      <c r="F34" s="831"/>
      <c r="G34" s="829"/>
      <c r="H34" s="832"/>
      <c r="I34" s="833"/>
      <c r="J34" s="834"/>
    </row>
    <row r="35" spans="1:10">
      <c r="A35" s="834"/>
      <c r="B35" s="831">
        <v>4</v>
      </c>
      <c r="C35" s="829">
        <v>23.85</v>
      </c>
      <c r="D35" s="832"/>
      <c r="E35" s="833" t="s">
        <v>1916</v>
      </c>
      <c r="F35" s="831"/>
      <c r="G35" s="829"/>
      <c r="H35" s="832"/>
      <c r="I35" s="844" t="s">
        <v>3061</v>
      </c>
      <c r="J35" s="834"/>
    </row>
    <row r="36" spans="1:10" ht="18.75" customHeight="1">
      <c r="A36" s="834"/>
      <c r="B36" s="831"/>
      <c r="C36" s="829">
        <v>0.9</v>
      </c>
      <c r="D36" s="832"/>
      <c r="E36" s="833" t="s">
        <v>3044</v>
      </c>
      <c r="F36" s="831"/>
      <c r="G36" s="829"/>
      <c r="H36" s="832"/>
      <c r="I36" s="833" t="s">
        <v>3057</v>
      </c>
      <c r="J36" s="834"/>
    </row>
    <row r="37" spans="1:10">
      <c r="A37" s="834"/>
      <c r="B37" s="831"/>
      <c r="C37" s="829">
        <v>0.1</v>
      </c>
      <c r="D37" s="832">
        <f>B35*C35*C36*C37</f>
        <v>8.5860000000000021</v>
      </c>
      <c r="E37" s="844"/>
      <c r="F37" s="831">
        <v>1</v>
      </c>
      <c r="G37" s="829">
        <v>16</v>
      </c>
      <c r="H37" s="832"/>
      <c r="I37" s="833" t="s">
        <v>3058</v>
      </c>
      <c r="J37" s="834"/>
    </row>
    <row r="38" spans="1:10">
      <c r="A38" s="834"/>
      <c r="B38" s="831"/>
      <c r="C38" s="829"/>
      <c r="D38" s="832"/>
      <c r="E38" s="844"/>
      <c r="F38" s="831"/>
      <c r="G38" s="829">
        <v>9.1</v>
      </c>
      <c r="H38" s="832">
        <f>F37*G37*G38</f>
        <v>145.6</v>
      </c>
      <c r="I38" s="833"/>
      <c r="J38" s="834"/>
    </row>
    <row r="39" spans="1:10">
      <c r="A39" s="834"/>
      <c r="B39" s="831">
        <v>4</v>
      </c>
      <c r="C39" s="829">
        <v>6.5</v>
      </c>
      <c r="D39" s="832"/>
      <c r="E39" s="833" t="s">
        <v>1914</v>
      </c>
      <c r="F39" s="831"/>
      <c r="G39" s="829"/>
      <c r="H39" s="832"/>
      <c r="I39" s="844"/>
      <c r="J39" s="834"/>
    </row>
    <row r="40" spans="1:10">
      <c r="A40" s="834"/>
      <c r="B40" s="831"/>
      <c r="C40" s="829">
        <v>0.9</v>
      </c>
      <c r="D40" s="832"/>
      <c r="E40" s="833" t="s">
        <v>3045</v>
      </c>
      <c r="F40" s="831"/>
      <c r="G40" s="829"/>
      <c r="H40" s="832"/>
      <c r="I40" s="844" t="s">
        <v>1915</v>
      </c>
      <c r="J40" s="834"/>
    </row>
    <row r="41" spans="1:10">
      <c r="A41" s="834"/>
      <c r="B41" s="831"/>
      <c r="C41" s="829">
        <v>0.1</v>
      </c>
      <c r="D41" s="832">
        <f>B39*C39*C40*C41</f>
        <v>2.3400000000000003</v>
      </c>
      <c r="E41" s="833" t="s">
        <v>2195</v>
      </c>
      <c r="F41" s="831">
        <v>2</v>
      </c>
      <c r="G41" s="829">
        <v>16</v>
      </c>
      <c r="H41" s="832"/>
      <c r="I41" s="833" t="s">
        <v>3059</v>
      </c>
      <c r="J41" s="834"/>
    </row>
    <row r="42" spans="1:10">
      <c r="A42" s="834"/>
      <c r="B42" s="831"/>
      <c r="C42" s="829"/>
      <c r="D42" s="832"/>
      <c r="E42" s="844"/>
      <c r="F42" s="831"/>
      <c r="G42" s="829">
        <v>0.25</v>
      </c>
      <c r="H42" s="832">
        <f>F41*G41*G42</f>
        <v>8</v>
      </c>
      <c r="I42" s="833"/>
      <c r="J42" s="834"/>
    </row>
    <row r="43" spans="1:10" ht="18">
      <c r="A43" s="834"/>
      <c r="B43" s="839"/>
      <c r="C43" s="935"/>
      <c r="D43" s="838">
        <f>D37+D41</f>
        <v>10.926000000000002</v>
      </c>
      <c r="E43" s="839" t="s">
        <v>3164</v>
      </c>
      <c r="F43" s="831"/>
      <c r="G43" s="829"/>
      <c r="H43" s="832"/>
      <c r="I43" s="844"/>
      <c r="J43" s="834"/>
    </row>
    <row r="44" spans="1:10">
      <c r="A44" s="834"/>
      <c r="B44" s="831"/>
      <c r="C44" s="829"/>
      <c r="D44" s="832"/>
      <c r="E44" s="844"/>
      <c r="F44" s="831">
        <v>2</v>
      </c>
      <c r="G44" s="829">
        <v>8.6</v>
      </c>
      <c r="H44" s="832"/>
      <c r="I44" s="833" t="s">
        <v>3015</v>
      </c>
      <c r="J44" s="834"/>
    </row>
    <row r="45" spans="1:10">
      <c r="A45" s="834"/>
      <c r="B45" s="831"/>
      <c r="C45" s="829"/>
      <c r="D45" s="832"/>
      <c r="E45" s="844" t="s">
        <v>3046</v>
      </c>
      <c r="F45" s="831"/>
      <c r="G45" s="829">
        <v>0.25</v>
      </c>
      <c r="H45" s="832">
        <f>F44*G44*G45</f>
        <v>4.3</v>
      </c>
      <c r="I45" s="833" t="s">
        <v>3060</v>
      </c>
      <c r="J45" s="834"/>
    </row>
    <row r="46" spans="1:10">
      <c r="A46" s="834"/>
      <c r="B46" s="831"/>
      <c r="C46" s="829"/>
      <c r="D46" s="832"/>
      <c r="E46" s="844" t="s">
        <v>2907</v>
      </c>
      <c r="F46" s="831"/>
      <c r="G46" s="829"/>
      <c r="H46" s="832"/>
      <c r="I46" s="844"/>
      <c r="J46" s="834"/>
    </row>
    <row r="47" spans="1:10" ht="18">
      <c r="A47" s="834"/>
      <c r="B47" s="831">
        <v>4</v>
      </c>
      <c r="C47" s="829">
        <v>16.5</v>
      </c>
      <c r="D47" s="832"/>
      <c r="E47" s="833" t="s">
        <v>1929</v>
      </c>
      <c r="F47" s="839"/>
      <c r="G47" s="935"/>
      <c r="H47" s="838">
        <f>H38-H42-H45</f>
        <v>133.29999999999998</v>
      </c>
      <c r="I47" s="839" t="s">
        <v>3182</v>
      </c>
      <c r="J47" s="834"/>
    </row>
    <row r="48" spans="1:10">
      <c r="A48" s="834"/>
      <c r="B48" s="831"/>
      <c r="C48" s="829">
        <v>0.9</v>
      </c>
      <c r="D48" s="832"/>
      <c r="E48" s="833" t="s">
        <v>2999</v>
      </c>
      <c r="F48" s="831"/>
      <c r="G48" s="829"/>
      <c r="H48" s="832"/>
      <c r="I48" s="844"/>
      <c r="J48" s="834"/>
    </row>
    <row r="49" spans="1:10">
      <c r="A49" s="834"/>
      <c r="B49" s="831"/>
      <c r="C49" s="829">
        <v>0.5</v>
      </c>
      <c r="D49" s="832">
        <f>B47*C47*C48*C49</f>
        <v>29.7</v>
      </c>
      <c r="E49" s="833"/>
      <c r="F49" s="831"/>
      <c r="G49" s="829"/>
      <c r="H49" s="832"/>
      <c r="I49" s="844" t="s">
        <v>1894</v>
      </c>
      <c r="J49" s="834"/>
    </row>
    <row r="50" spans="1:10">
      <c r="A50" s="834"/>
      <c r="B50" s="831"/>
      <c r="C50" s="829"/>
      <c r="D50" s="832"/>
      <c r="E50" s="833"/>
      <c r="F50" s="831"/>
      <c r="G50" s="829"/>
      <c r="H50" s="832"/>
      <c r="I50" s="844" t="s">
        <v>1939</v>
      </c>
      <c r="J50" s="834"/>
    </row>
    <row r="51" spans="1:10">
      <c r="A51" s="834"/>
      <c r="B51" s="831">
        <v>4</v>
      </c>
      <c r="C51" s="829">
        <v>6.5</v>
      </c>
      <c r="D51" s="832"/>
      <c r="E51" s="833" t="s">
        <v>3000</v>
      </c>
      <c r="F51" s="831">
        <v>4</v>
      </c>
      <c r="G51" s="829">
        <v>16.5</v>
      </c>
      <c r="H51" s="832"/>
      <c r="I51" s="833" t="s">
        <v>3062</v>
      </c>
      <c r="J51" s="834"/>
    </row>
    <row r="52" spans="1:10">
      <c r="A52" s="834"/>
      <c r="B52" s="831"/>
      <c r="C52" s="829">
        <v>0.9</v>
      </c>
      <c r="D52" s="832"/>
      <c r="E52" s="833" t="s">
        <v>3047</v>
      </c>
      <c r="F52" s="831"/>
      <c r="G52" s="829">
        <v>0.4</v>
      </c>
      <c r="H52" s="832">
        <f>G52*G51*F51</f>
        <v>26.400000000000002</v>
      </c>
      <c r="I52" s="833"/>
      <c r="J52" s="834"/>
    </row>
    <row r="53" spans="1:10">
      <c r="A53" s="834"/>
      <c r="B53" s="831"/>
      <c r="C53" s="829">
        <v>0.5</v>
      </c>
      <c r="D53" s="832">
        <f>B51*C51*C52*C53</f>
        <v>11.700000000000001</v>
      </c>
      <c r="E53" s="833"/>
      <c r="F53" s="831"/>
      <c r="G53" s="829"/>
      <c r="H53" s="832"/>
      <c r="I53" s="833"/>
      <c r="J53" s="834"/>
    </row>
    <row r="54" spans="1:10">
      <c r="A54" s="834"/>
      <c r="B54" s="831"/>
      <c r="C54" s="829"/>
      <c r="D54" s="832"/>
      <c r="E54" s="844"/>
      <c r="F54" s="831">
        <v>4</v>
      </c>
      <c r="G54" s="829">
        <v>8</v>
      </c>
      <c r="H54" s="832"/>
      <c r="I54" s="833" t="s">
        <v>3063</v>
      </c>
      <c r="J54" s="834"/>
    </row>
    <row r="55" spans="1:10">
      <c r="A55" s="834"/>
      <c r="B55" s="831"/>
      <c r="C55" s="829"/>
      <c r="D55" s="832"/>
      <c r="E55" s="844" t="s">
        <v>2910</v>
      </c>
      <c r="F55" s="831"/>
      <c r="G55" s="829">
        <v>0.4</v>
      </c>
      <c r="H55" s="832">
        <f>G55*G54*F54</f>
        <v>12.8</v>
      </c>
      <c r="I55" s="844"/>
      <c r="J55" s="834"/>
    </row>
    <row r="56" spans="1:10">
      <c r="A56" s="834"/>
      <c r="B56" s="831"/>
      <c r="C56" s="829"/>
      <c r="D56" s="832"/>
      <c r="E56" s="844" t="s">
        <v>3048</v>
      </c>
      <c r="F56" s="831"/>
      <c r="G56" s="829"/>
      <c r="H56" s="832"/>
      <c r="I56" s="844"/>
      <c r="J56" s="834"/>
    </row>
    <row r="57" spans="1:10" ht="18">
      <c r="A57" s="834"/>
      <c r="B57" s="831">
        <v>6</v>
      </c>
      <c r="C57" s="829">
        <v>14.9</v>
      </c>
      <c r="D57" s="832"/>
      <c r="E57" s="833" t="s">
        <v>3049</v>
      </c>
      <c r="F57" s="839"/>
      <c r="G57" s="935"/>
      <c r="H57" s="838">
        <f>H55+H52</f>
        <v>39.200000000000003</v>
      </c>
      <c r="I57" s="839" t="s">
        <v>3189</v>
      </c>
      <c r="J57" s="834"/>
    </row>
    <row r="58" spans="1:10">
      <c r="A58" s="834"/>
      <c r="B58" s="831"/>
      <c r="C58" s="829">
        <v>0.25</v>
      </c>
      <c r="D58" s="832"/>
      <c r="E58" s="833" t="s">
        <v>3050</v>
      </c>
      <c r="F58" s="831"/>
      <c r="G58" s="829"/>
      <c r="H58" s="832"/>
      <c r="I58" s="844"/>
      <c r="J58" s="834"/>
    </row>
    <row r="59" spans="1:10">
      <c r="A59" s="834"/>
      <c r="B59" s="831"/>
      <c r="C59" s="829">
        <v>0.47</v>
      </c>
      <c r="D59" s="832">
        <f>B57*C57*C58*C59</f>
        <v>10.5045</v>
      </c>
      <c r="E59" s="833"/>
      <c r="F59" s="831"/>
      <c r="G59" s="829"/>
      <c r="H59" s="832"/>
      <c r="I59" s="844" t="s">
        <v>3022</v>
      </c>
      <c r="J59" s="834"/>
    </row>
    <row r="60" spans="1:10">
      <c r="A60" s="834"/>
      <c r="B60" s="831"/>
      <c r="C60" s="829"/>
      <c r="D60" s="832"/>
      <c r="E60" s="833"/>
      <c r="F60" s="831">
        <v>1</v>
      </c>
      <c r="G60" s="829">
        <v>16</v>
      </c>
      <c r="H60" s="832"/>
      <c r="I60" s="833" t="s">
        <v>3064</v>
      </c>
      <c r="J60" s="834"/>
    </row>
    <row r="61" spans="1:10">
      <c r="A61" s="834"/>
      <c r="B61" s="831"/>
      <c r="C61" s="829"/>
      <c r="D61" s="832"/>
      <c r="E61" s="833" t="s">
        <v>1914</v>
      </c>
      <c r="F61" s="831"/>
      <c r="G61" s="829">
        <v>9.1</v>
      </c>
      <c r="H61" s="832">
        <f>F60*G60*G61</f>
        <v>145.6</v>
      </c>
      <c r="I61" s="833" t="s">
        <v>3065</v>
      </c>
      <c r="J61" s="834"/>
    </row>
    <row r="62" spans="1:10">
      <c r="A62" s="834"/>
      <c r="B62" s="831">
        <v>8</v>
      </c>
      <c r="C62" s="829">
        <v>6.5</v>
      </c>
      <c r="D62" s="832"/>
      <c r="E62" s="833" t="s">
        <v>3051</v>
      </c>
      <c r="F62" s="831"/>
      <c r="G62" s="829"/>
      <c r="H62" s="832"/>
      <c r="I62" s="833"/>
      <c r="J62" s="834"/>
    </row>
    <row r="63" spans="1:10">
      <c r="A63" s="834"/>
      <c r="B63" s="831"/>
      <c r="C63" s="829">
        <v>0.25</v>
      </c>
      <c r="D63" s="832"/>
      <c r="E63" s="833" t="s">
        <v>3052</v>
      </c>
      <c r="F63" s="831"/>
      <c r="G63" s="829"/>
      <c r="H63" s="832"/>
      <c r="I63" s="844"/>
      <c r="J63" s="834"/>
    </row>
    <row r="64" spans="1:10">
      <c r="A64" s="834"/>
      <c r="B64" s="831"/>
      <c r="C64" s="829">
        <v>0.47</v>
      </c>
      <c r="D64" s="832">
        <f>B62*C62*C63*C64</f>
        <v>6.1099999999999994</v>
      </c>
      <c r="E64" s="844"/>
      <c r="F64" s="831"/>
      <c r="G64" s="829"/>
      <c r="H64" s="832"/>
      <c r="I64" s="844"/>
      <c r="J64" s="834"/>
    </row>
    <row r="65" spans="1:10">
      <c r="A65" s="834"/>
      <c r="B65" s="849"/>
      <c r="C65" s="850"/>
      <c r="D65" s="851"/>
      <c r="E65" s="974"/>
      <c r="F65" s="849"/>
      <c r="G65" s="850"/>
      <c r="H65" s="851"/>
      <c r="I65" s="974"/>
      <c r="J65" s="834"/>
    </row>
    <row r="66" spans="1:10">
      <c r="A66" s="1162"/>
      <c r="B66" s="909" t="s">
        <v>1884</v>
      </c>
      <c r="C66" s="911" t="s">
        <v>526</v>
      </c>
      <c r="D66" s="910" t="s">
        <v>1885</v>
      </c>
      <c r="E66" s="911" t="s">
        <v>1886</v>
      </c>
      <c r="F66" s="909" t="s">
        <v>1884</v>
      </c>
      <c r="G66" s="911" t="s">
        <v>526</v>
      </c>
      <c r="H66" s="910" t="s">
        <v>1885</v>
      </c>
      <c r="I66" s="911" t="s">
        <v>1886</v>
      </c>
      <c r="J66" s="1162"/>
    </row>
    <row r="67" spans="1:10">
      <c r="A67" s="834"/>
      <c r="B67" s="831"/>
      <c r="C67" s="829"/>
      <c r="D67" s="832"/>
      <c r="E67" s="844" t="s">
        <v>1915</v>
      </c>
      <c r="F67" s="831"/>
      <c r="G67" s="829"/>
      <c r="H67" s="832"/>
      <c r="I67" s="844" t="s">
        <v>1843</v>
      </c>
    </row>
    <row r="68" spans="1:10">
      <c r="A68" s="834"/>
      <c r="B68" s="831"/>
      <c r="C68" s="829"/>
      <c r="D68" s="832"/>
      <c r="E68" s="833" t="s">
        <v>1916</v>
      </c>
      <c r="F68" s="831"/>
      <c r="G68" s="829"/>
      <c r="H68" s="832"/>
      <c r="I68" s="844" t="s">
        <v>2558</v>
      </c>
    </row>
    <row r="69" spans="1:10">
      <c r="A69" s="834"/>
      <c r="B69" s="831">
        <v>2</v>
      </c>
      <c r="C69" s="829">
        <v>16</v>
      </c>
      <c r="D69" s="832"/>
      <c r="E69" s="833" t="s">
        <v>3064</v>
      </c>
      <c r="F69" s="831">
        <v>4</v>
      </c>
      <c r="G69" s="829">
        <v>16.5</v>
      </c>
      <c r="H69" s="832"/>
      <c r="I69" s="833" t="s">
        <v>1951</v>
      </c>
    </row>
    <row r="70" spans="1:10">
      <c r="A70" s="834"/>
      <c r="B70" s="831"/>
      <c r="C70" s="829">
        <v>0.25</v>
      </c>
      <c r="D70" s="832">
        <f>B69*C69*C70</f>
        <v>8</v>
      </c>
      <c r="E70" s="844"/>
      <c r="F70" s="831"/>
      <c r="G70" s="829">
        <v>0.4</v>
      </c>
      <c r="H70" s="832"/>
      <c r="I70" s="833" t="s">
        <v>3062</v>
      </c>
    </row>
    <row r="71" spans="1:10">
      <c r="A71" s="834"/>
      <c r="B71" s="831"/>
      <c r="C71" s="829"/>
      <c r="D71" s="832"/>
      <c r="E71" s="833"/>
      <c r="F71" s="831"/>
      <c r="G71" s="829">
        <v>0.47</v>
      </c>
      <c r="H71" s="832">
        <f>G71*G70*G69*F69</f>
        <v>12.407999999999999</v>
      </c>
      <c r="I71" s="833"/>
    </row>
    <row r="72" spans="1:10">
      <c r="A72" s="834"/>
      <c r="B72" s="831"/>
      <c r="C72" s="829"/>
      <c r="D72" s="832"/>
      <c r="E72" s="833" t="s">
        <v>1914</v>
      </c>
      <c r="F72" s="831"/>
      <c r="G72" s="829"/>
      <c r="H72" s="832"/>
      <c r="I72" s="833"/>
    </row>
    <row r="73" spans="1:10">
      <c r="A73" s="834"/>
      <c r="B73" s="831">
        <v>2</v>
      </c>
      <c r="C73" s="829">
        <v>8.6</v>
      </c>
      <c r="D73" s="832"/>
      <c r="E73" s="833" t="s">
        <v>3066</v>
      </c>
      <c r="F73" s="831">
        <v>4</v>
      </c>
      <c r="G73" s="829">
        <v>8</v>
      </c>
      <c r="H73" s="832"/>
      <c r="I73" s="833" t="s">
        <v>1952</v>
      </c>
    </row>
    <row r="74" spans="1:10">
      <c r="A74" s="834"/>
      <c r="B74" s="831"/>
      <c r="C74" s="829">
        <v>0.25</v>
      </c>
      <c r="D74" s="832">
        <f>B73*C73*C74</f>
        <v>4.3</v>
      </c>
      <c r="E74" s="844"/>
      <c r="F74" s="831"/>
      <c r="G74" s="829">
        <v>0.4</v>
      </c>
      <c r="H74" s="832"/>
      <c r="I74" s="833" t="s">
        <v>3063</v>
      </c>
    </row>
    <row r="75" spans="1:10">
      <c r="A75" s="834"/>
      <c r="B75" s="831"/>
      <c r="C75" s="829"/>
      <c r="D75" s="832"/>
      <c r="E75" s="844"/>
      <c r="F75" s="831"/>
      <c r="G75" s="829">
        <v>0.47</v>
      </c>
      <c r="H75" s="832">
        <f>G75*G74*G73*F73</f>
        <v>6.016</v>
      </c>
      <c r="I75" s="833"/>
    </row>
    <row r="76" spans="1:10" ht="18">
      <c r="A76" s="834"/>
      <c r="B76" s="839"/>
      <c r="C76" s="935"/>
      <c r="D76" s="838">
        <f>H61-D74-D70</f>
        <v>133.29999999999998</v>
      </c>
      <c r="E76" s="839" t="s">
        <v>3188</v>
      </c>
      <c r="F76" s="435"/>
      <c r="G76" s="435"/>
      <c r="H76" s="435"/>
      <c r="I76" s="435"/>
    </row>
    <row r="77" spans="1:10" ht="18">
      <c r="A77" s="834"/>
      <c r="B77" s="831"/>
      <c r="C77" s="829"/>
      <c r="D77" s="832"/>
      <c r="E77" s="844"/>
      <c r="F77" s="1187"/>
      <c r="G77" s="1188"/>
      <c r="H77" s="1189">
        <f>H71+H75</f>
        <v>18.423999999999999</v>
      </c>
      <c r="I77" s="833" t="s">
        <v>3187</v>
      </c>
    </row>
    <row r="78" spans="1:10">
      <c r="A78" s="834"/>
      <c r="B78" s="831"/>
      <c r="C78" s="829"/>
      <c r="D78" s="832"/>
      <c r="E78" s="844" t="s">
        <v>1942</v>
      </c>
      <c r="F78" s="831"/>
      <c r="G78" s="829"/>
      <c r="H78" s="832"/>
      <c r="I78" s="833"/>
    </row>
    <row r="79" spans="1:10">
      <c r="A79" s="834"/>
      <c r="B79" s="831">
        <v>4</v>
      </c>
      <c r="C79" s="829">
        <v>16.5</v>
      </c>
      <c r="D79" s="832"/>
      <c r="E79" s="833" t="s">
        <v>3067</v>
      </c>
      <c r="F79" s="831"/>
      <c r="G79" s="829"/>
      <c r="H79" s="832"/>
      <c r="I79" s="844" t="s">
        <v>1953</v>
      </c>
    </row>
    <row r="80" spans="1:10">
      <c r="A80" s="834"/>
      <c r="B80" s="831"/>
      <c r="C80" s="829">
        <v>0.25</v>
      </c>
      <c r="D80" s="832"/>
      <c r="E80" s="844"/>
      <c r="F80" s="831">
        <v>1</v>
      </c>
      <c r="G80" s="829">
        <v>9.65</v>
      </c>
      <c r="H80" s="832"/>
      <c r="I80" s="833" t="s">
        <v>3079</v>
      </c>
    </row>
    <row r="81" spans="1:10">
      <c r="A81" s="834"/>
      <c r="B81" s="831"/>
      <c r="C81" s="829">
        <v>0.4</v>
      </c>
      <c r="D81" s="832">
        <f>B79*C79*C80*C81</f>
        <v>6.6000000000000005</v>
      </c>
      <c r="E81" s="844"/>
      <c r="F81" s="831"/>
      <c r="G81" s="829">
        <v>0.4</v>
      </c>
      <c r="H81" s="832"/>
      <c r="I81" s="833"/>
    </row>
    <row r="82" spans="1:10">
      <c r="A82" s="834"/>
      <c r="B82" s="831"/>
      <c r="C82" s="829"/>
      <c r="D82" s="832"/>
      <c r="E82" s="844"/>
      <c r="F82" s="831"/>
      <c r="G82" s="829">
        <v>0.67</v>
      </c>
      <c r="H82" s="832">
        <f>F80*G80*G81*G82</f>
        <v>2.5862000000000003</v>
      </c>
      <c r="I82" s="833"/>
    </row>
    <row r="83" spans="1:10">
      <c r="A83" s="834"/>
      <c r="B83" s="831">
        <v>4</v>
      </c>
      <c r="C83" s="829">
        <v>8.6</v>
      </c>
      <c r="D83" s="832"/>
      <c r="E83" s="833" t="s">
        <v>3068</v>
      </c>
      <c r="F83" s="831"/>
      <c r="G83" s="829"/>
      <c r="H83" s="832"/>
      <c r="I83" s="833"/>
      <c r="J83" s="834"/>
    </row>
    <row r="84" spans="1:10">
      <c r="A84" s="834"/>
      <c r="B84" s="831"/>
      <c r="C84" s="829">
        <v>0.25</v>
      </c>
      <c r="D84" s="832"/>
      <c r="E84" s="844"/>
      <c r="F84" s="831">
        <v>1</v>
      </c>
      <c r="G84" s="829">
        <v>16.05</v>
      </c>
      <c r="H84" s="832"/>
      <c r="I84" s="833" t="s">
        <v>3080</v>
      </c>
      <c r="J84" s="834"/>
    </row>
    <row r="85" spans="1:10">
      <c r="A85" s="834"/>
      <c r="B85" s="831"/>
      <c r="C85" s="829">
        <v>0.4</v>
      </c>
      <c r="D85" s="832">
        <f>B83*C83*C84*C85</f>
        <v>3.44</v>
      </c>
      <c r="E85" s="844"/>
      <c r="F85" s="831"/>
      <c r="G85" s="829">
        <v>0.4</v>
      </c>
      <c r="H85" s="832"/>
      <c r="I85" s="833"/>
      <c r="J85" s="834"/>
    </row>
    <row r="86" spans="1:10">
      <c r="A86" s="834"/>
      <c r="B86" s="435"/>
      <c r="C86" s="1193"/>
      <c r="D86" s="1193"/>
      <c r="E86" s="435"/>
      <c r="F86" s="831"/>
      <c r="G86" s="829">
        <v>0.46</v>
      </c>
      <c r="H86" s="832">
        <f>F84*G84*G85*G86</f>
        <v>2.9532000000000007</v>
      </c>
      <c r="I86" s="833"/>
      <c r="J86" s="834"/>
    </row>
    <row r="87" spans="1:10" ht="18">
      <c r="A87" s="834"/>
      <c r="B87" s="839"/>
      <c r="C87" s="935"/>
      <c r="D87" s="838">
        <f>D81+D85</f>
        <v>10.040000000000001</v>
      </c>
      <c r="E87" s="839" t="s">
        <v>3177</v>
      </c>
      <c r="F87" s="831"/>
      <c r="G87" s="829"/>
      <c r="H87" s="832"/>
      <c r="I87" s="833"/>
      <c r="J87" s="834"/>
    </row>
    <row r="88" spans="1:10" ht="19.5" customHeight="1">
      <c r="A88" s="834"/>
      <c r="B88" s="435"/>
      <c r="C88" s="1193"/>
      <c r="D88" s="1193"/>
      <c r="E88" s="435"/>
      <c r="F88" s="831">
        <v>1</v>
      </c>
      <c r="G88" s="829">
        <v>11.95</v>
      </c>
      <c r="H88" s="832"/>
      <c r="I88" s="833" t="s">
        <v>3081</v>
      </c>
      <c r="J88" s="834"/>
    </row>
    <row r="89" spans="1:10">
      <c r="A89" s="834"/>
      <c r="B89" s="831"/>
      <c r="C89" s="829"/>
      <c r="D89" s="832"/>
      <c r="E89" s="844" t="s">
        <v>3071</v>
      </c>
      <c r="F89" s="831"/>
      <c r="G89" s="829">
        <v>0.4</v>
      </c>
      <c r="H89" s="832"/>
      <c r="I89" s="833"/>
      <c r="J89" s="834"/>
    </row>
    <row r="90" spans="1:10">
      <c r="A90" s="834"/>
      <c r="B90" s="831"/>
      <c r="C90" s="829"/>
      <c r="D90" s="832"/>
      <c r="E90" s="844" t="s">
        <v>3072</v>
      </c>
      <c r="F90" s="831"/>
      <c r="G90" s="829">
        <v>0.3</v>
      </c>
      <c r="H90" s="832">
        <f>F88*G88*G89*G90</f>
        <v>1.4339999999999999</v>
      </c>
      <c r="I90" s="833"/>
      <c r="J90" s="834"/>
    </row>
    <row r="91" spans="1:10">
      <c r="A91" s="834"/>
      <c r="B91" s="831">
        <v>8</v>
      </c>
      <c r="C91" s="829">
        <v>16.5</v>
      </c>
      <c r="D91" s="832"/>
      <c r="E91" s="833" t="s">
        <v>3069</v>
      </c>
      <c r="F91" s="435"/>
      <c r="G91" s="435"/>
      <c r="H91" s="435"/>
      <c r="I91" s="435"/>
      <c r="J91" s="834"/>
    </row>
    <row r="92" spans="1:10" ht="18">
      <c r="A92" s="834"/>
      <c r="B92" s="831"/>
      <c r="C92" s="829">
        <v>0.4</v>
      </c>
      <c r="D92" s="832">
        <f>B91*C91*C92</f>
        <v>52.800000000000004</v>
      </c>
      <c r="E92" s="844"/>
      <c r="F92" s="839"/>
      <c r="G92" s="935"/>
      <c r="H92" s="838">
        <f>H82+H86+H90</f>
        <v>6.9734000000000007</v>
      </c>
      <c r="I92" s="839" t="s">
        <v>3176</v>
      </c>
      <c r="J92" s="834"/>
    </row>
    <row r="93" spans="1:10">
      <c r="A93" s="834"/>
      <c r="B93" s="831"/>
      <c r="C93" s="829"/>
      <c r="D93" s="832"/>
      <c r="E93" s="844"/>
      <c r="F93" s="831"/>
      <c r="G93" s="829"/>
      <c r="H93" s="832"/>
      <c r="I93" s="833"/>
      <c r="J93" s="834"/>
    </row>
    <row r="94" spans="1:10">
      <c r="A94" s="834"/>
      <c r="B94" s="831">
        <v>8</v>
      </c>
      <c r="C94" s="829">
        <v>9.1</v>
      </c>
      <c r="D94" s="832"/>
      <c r="E94" s="833" t="s">
        <v>3070</v>
      </c>
      <c r="F94" s="831"/>
      <c r="G94" s="829"/>
      <c r="H94" s="832">
        <f>H77-H92</f>
        <v>11.450599999999998</v>
      </c>
      <c r="I94" s="833" t="s">
        <v>2987</v>
      </c>
      <c r="J94" s="834"/>
    </row>
    <row r="95" spans="1:10">
      <c r="A95" s="834"/>
      <c r="B95" s="831"/>
      <c r="C95" s="829">
        <v>0.4</v>
      </c>
      <c r="D95" s="832">
        <f>B94*C94*C95</f>
        <v>29.12</v>
      </c>
      <c r="E95" s="844"/>
      <c r="F95" s="435"/>
      <c r="G95" s="435"/>
      <c r="H95" s="435"/>
      <c r="I95" s="435"/>
      <c r="J95" s="834"/>
    </row>
    <row r="96" spans="1:10" ht="18">
      <c r="A96" s="834"/>
      <c r="B96" s="831"/>
      <c r="C96" s="829"/>
      <c r="D96" s="832"/>
      <c r="E96" s="844"/>
      <c r="F96" s="839"/>
      <c r="G96" s="935"/>
      <c r="H96" s="838">
        <f>H94</f>
        <v>11.450599999999998</v>
      </c>
      <c r="I96" s="839" t="s">
        <v>3172</v>
      </c>
      <c r="J96" s="834"/>
    </row>
    <row r="97" spans="1:10">
      <c r="A97" s="834"/>
      <c r="B97" s="831"/>
      <c r="C97" s="829"/>
      <c r="D97" s="832"/>
      <c r="E97" s="844"/>
      <c r="F97" s="831"/>
      <c r="G97" s="829"/>
      <c r="H97" s="832"/>
      <c r="I97" s="833"/>
      <c r="J97" s="834"/>
    </row>
    <row r="98" spans="1:10">
      <c r="A98" s="834"/>
      <c r="B98" s="831">
        <v>30</v>
      </c>
      <c r="C98" s="829">
        <v>0.4</v>
      </c>
      <c r="D98" s="832"/>
      <c r="E98" s="844" t="s">
        <v>1915</v>
      </c>
      <c r="F98" s="831"/>
      <c r="G98" s="829"/>
      <c r="H98" s="832"/>
      <c r="I98" s="833"/>
      <c r="J98" s="834"/>
    </row>
    <row r="99" spans="1:10">
      <c r="A99" s="834"/>
      <c r="B99" s="831"/>
      <c r="C99" s="829">
        <v>0.25</v>
      </c>
      <c r="D99" s="832">
        <f>B98*C98*C99</f>
        <v>3</v>
      </c>
      <c r="E99" s="844"/>
      <c r="F99" s="831"/>
      <c r="G99" s="829"/>
      <c r="H99" s="832"/>
      <c r="I99" s="833"/>
      <c r="J99" s="834"/>
    </row>
    <row r="100" spans="1:10">
      <c r="A100" s="834"/>
      <c r="B100" s="435"/>
      <c r="C100" s="1193"/>
      <c r="D100" s="1193"/>
      <c r="E100" s="435"/>
      <c r="F100" s="831"/>
      <c r="G100" s="829"/>
      <c r="H100" s="832"/>
      <c r="I100" s="833"/>
      <c r="J100" s="834"/>
    </row>
    <row r="101" spans="1:10" ht="18">
      <c r="A101" s="834"/>
      <c r="B101" s="839"/>
      <c r="C101" s="935"/>
      <c r="D101" s="838">
        <f>D92+D95-D99</f>
        <v>78.92</v>
      </c>
      <c r="E101" s="839" t="s">
        <v>3186</v>
      </c>
      <c r="F101" s="831"/>
      <c r="G101" s="829"/>
      <c r="H101" s="832"/>
      <c r="I101" s="833"/>
      <c r="J101" s="834"/>
    </row>
    <row r="102" spans="1:10">
      <c r="A102" s="834"/>
      <c r="B102" s="831"/>
      <c r="C102" s="829"/>
      <c r="D102" s="832"/>
      <c r="E102" s="844"/>
      <c r="F102" s="831"/>
      <c r="G102" s="829"/>
      <c r="H102" s="832"/>
      <c r="I102" s="833"/>
      <c r="J102" s="834"/>
    </row>
    <row r="103" spans="1:10">
      <c r="A103" s="834"/>
      <c r="B103" s="831"/>
      <c r="C103" s="829"/>
      <c r="D103" s="832"/>
      <c r="E103" s="837" t="s">
        <v>1899</v>
      </c>
      <c r="F103" s="831"/>
      <c r="G103" s="829"/>
      <c r="H103" s="832"/>
      <c r="I103" s="833"/>
      <c r="J103" s="834"/>
    </row>
    <row r="104" spans="1:10">
      <c r="A104" s="834"/>
      <c r="B104" s="831"/>
      <c r="C104" s="829"/>
      <c r="D104" s="832"/>
      <c r="E104" s="844" t="s">
        <v>3174</v>
      </c>
      <c r="F104" s="831"/>
      <c r="G104" s="829"/>
      <c r="H104" s="832"/>
      <c r="I104" s="837"/>
      <c r="J104" s="834"/>
    </row>
    <row r="105" spans="1:10">
      <c r="A105" s="834"/>
      <c r="B105" s="839"/>
      <c r="C105" s="839"/>
      <c r="D105" s="838">
        <f>'[23]EMG &amp;Waitng Reinf'!N182</f>
        <v>799.03560000000004</v>
      </c>
      <c r="E105" s="845" t="s">
        <v>3028</v>
      </c>
      <c r="F105" s="831"/>
      <c r="G105" s="829"/>
      <c r="H105" s="832"/>
      <c r="I105" s="837"/>
      <c r="J105" s="834"/>
    </row>
    <row r="106" spans="1:10">
      <c r="A106" s="834"/>
      <c r="B106" s="831"/>
      <c r="C106" s="829"/>
      <c r="D106" s="832"/>
      <c r="E106" s="833"/>
      <c r="F106" s="831"/>
      <c r="G106" s="829"/>
      <c r="H106" s="832"/>
      <c r="I106" s="837"/>
      <c r="J106" s="834"/>
    </row>
    <row r="107" spans="1:10">
      <c r="A107" s="834"/>
      <c r="B107" s="831"/>
      <c r="C107" s="829"/>
      <c r="D107" s="832"/>
      <c r="E107" s="844" t="s">
        <v>3171</v>
      </c>
      <c r="F107" s="1193"/>
      <c r="G107" s="848"/>
      <c r="H107" s="843"/>
      <c r="I107" s="435"/>
      <c r="J107" s="834" t="e">
        <f>#REF!*#REF!</f>
        <v>#REF!</v>
      </c>
    </row>
    <row r="108" spans="1:10">
      <c r="A108" s="834"/>
      <c r="B108" s="839"/>
      <c r="C108" s="839"/>
      <c r="D108" s="838">
        <f>'[23]EMG &amp;Waitng Reinf'!K182</f>
        <v>793.12049999999999</v>
      </c>
      <c r="E108" s="845" t="s">
        <v>2935</v>
      </c>
      <c r="F108" s="1193"/>
      <c r="G108" s="848"/>
      <c r="H108" s="843"/>
      <c r="I108" s="435"/>
      <c r="J108" s="834"/>
    </row>
    <row r="109" spans="1:10">
      <c r="A109" s="834"/>
      <c r="B109" s="831"/>
      <c r="C109" s="829"/>
      <c r="D109" s="832"/>
      <c r="E109" s="833"/>
      <c r="F109" s="1193"/>
      <c r="G109" s="848"/>
      <c r="H109" s="843"/>
      <c r="I109" s="435"/>
      <c r="J109" s="834"/>
    </row>
    <row r="110" spans="1:10">
      <c r="A110" s="834"/>
      <c r="B110" s="831"/>
      <c r="C110" s="829"/>
      <c r="D110" s="832"/>
      <c r="E110" s="833" t="s">
        <v>3078</v>
      </c>
      <c r="F110" s="1193"/>
      <c r="G110" s="848"/>
      <c r="H110" s="843"/>
      <c r="I110" s="435"/>
      <c r="J110" s="834"/>
    </row>
    <row r="111" spans="1:10">
      <c r="A111" s="834"/>
      <c r="B111" s="831"/>
      <c r="C111" s="829"/>
      <c r="D111" s="832"/>
      <c r="E111" s="833" t="s">
        <v>1916</v>
      </c>
      <c r="F111" s="1193"/>
      <c r="G111" s="848"/>
      <c r="H111" s="843"/>
      <c r="I111" s="435"/>
      <c r="J111" s="834"/>
    </row>
    <row r="112" spans="1:10">
      <c r="A112" s="834"/>
      <c r="B112" s="831">
        <v>6</v>
      </c>
      <c r="C112" s="829">
        <v>15</v>
      </c>
      <c r="D112" s="832"/>
      <c r="E112" s="833" t="s">
        <v>3077</v>
      </c>
      <c r="F112" s="1193"/>
      <c r="G112" s="848"/>
      <c r="H112" s="843"/>
      <c r="I112" s="435"/>
      <c r="J112" s="834"/>
    </row>
    <row r="113" spans="1:11">
      <c r="A113" s="834"/>
      <c r="B113" s="831"/>
      <c r="C113" s="829">
        <v>0</v>
      </c>
      <c r="D113" s="832">
        <f>B112*C112*C113</f>
        <v>0</v>
      </c>
      <c r="E113" s="833"/>
      <c r="F113" s="1193"/>
      <c r="G113" s="848"/>
      <c r="H113" s="843"/>
      <c r="I113" s="435"/>
      <c r="J113" s="834"/>
    </row>
    <row r="114" spans="1:11">
      <c r="A114" s="834"/>
      <c r="B114" s="831"/>
      <c r="C114" s="829"/>
      <c r="D114" s="832"/>
      <c r="E114" s="833"/>
      <c r="F114" s="1193"/>
      <c r="G114" s="848"/>
      <c r="H114" s="843"/>
      <c r="I114" s="435"/>
      <c r="J114" s="834"/>
    </row>
    <row r="115" spans="1:11">
      <c r="A115" s="834"/>
      <c r="B115" s="831"/>
      <c r="C115" s="829"/>
      <c r="D115" s="832"/>
      <c r="E115" s="833" t="s">
        <v>1914</v>
      </c>
      <c r="F115" s="1193"/>
      <c r="G115" s="848"/>
      <c r="H115" s="843"/>
      <c r="I115" s="435"/>
      <c r="J115" s="834"/>
    </row>
    <row r="116" spans="1:11">
      <c r="A116" s="834"/>
      <c r="B116" s="831">
        <v>6</v>
      </c>
      <c r="C116" s="829">
        <v>8.6</v>
      </c>
      <c r="D116" s="832"/>
      <c r="E116" s="833" t="s">
        <v>3066</v>
      </c>
      <c r="F116" s="1193"/>
      <c r="G116" s="848"/>
      <c r="H116" s="843"/>
      <c r="I116" s="435"/>
      <c r="J116" s="834"/>
    </row>
    <row r="117" spans="1:11">
      <c r="A117" s="834"/>
      <c r="B117" s="831"/>
      <c r="C117" s="829">
        <v>0</v>
      </c>
      <c r="D117" s="832">
        <f>B116*C116*C117</f>
        <v>0</v>
      </c>
      <c r="E117" s="833"/>
      <c r="F117" s="1193"/>
      <c r="G117" s="848"/>
      <c r="H117" s="843"/>
      <c r="I117" s="435"/>
      <c r="J117" s="834"/>
    </row>
    <row r="118" spans="1:11">
      <c r="A118" s="834"/>
      <c r="B118" s="831"/>
      <c r="C118" s="829"/>
      <c r="D118" s="832"/>
      <c r="E118" s="833"/>
      <c r="F118" s="1193"/>
      <c r="G118" s="848"/>
      <c r="H118" s="843"/>
      <c r="I118" s="435"/>
      <c r="J118" s="834"/>
      <c r="K118" s="834"/>
    </row>
    <row r="119" spans="1:11">
      <c r="A119" s="834"/>
      <c r="B119" s="839"/>
      <c r="C119" s="935"/>
      <c r="D119" s="838">
        <f>D117+D113</f>
        <v>0</v>
      </c>
      <c r="E119" s="839" t="s">
        <v>2936</v>
      </c>
      <c r="F119" s="572"/>
      <c r="G119" s="1280"/>
      <c r="H119" s="572"/>
      <c r="I119" s="1279"/>
      <c r="J119" s="834" t="e">
        <f>SUM(J107:J118)</f>
        <v>#REF!</v>
      </c>
      <c r="K119" s="834"/>
    </row>
    <row r="120" spans="1:11" s="998" customFormat="1">
      <c r="A120" s="834"/>
      <c r="B120" s="831"/>
      <c r="C120" s="829"/>
      <c r="D120" s="832"/>
      <c r="E120" s="833"/>
      <c r="F120" s="435"/>
      <c r="G120" s="435"/>
      <c r="H120" s="435"/>
      <c r="I120" s="435"/>
      <c r="J120" s="834"/>
      <c r="K120" s="834"/>
    </row>
    <row r="121" spans="1:11" s="998" customFormat="1">
      <c r="A121" s="834"/>
      <c r="B121" s="839"/>
      <c r="C121" s="839"/>
      <c r="D121" s="838"/>
      <c r="E121" s="845"/>
      <c r="F121" s="831"/>
      <c r="G121" s="829"/>
      <c r="H121" s="832"/>
      <c r="I121" s="837"/>
      <c r="J121" s="834"/>
    </row>
    <row r="122" spans="1:11" s="998" customFormat="1">
      <c r="A122" s="834"/>
      <c r="B122" s="849"/>
      <c r="C122" s="850"/>
      <c r="D122" s="851"/>
      <c r="E122" s="1163"/>
      <c r="F122" s="849"/>
      <c r="G122" s="850"/>
      <c r="H122" s="851"/>
      <c r="I122" s="1163"/>
      <c r="J122" s="834"/>
    </row>
    <row r="123" spans="1:11">
      <c r="C123" s="103"/>
      <c r="D123" s="103"/>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5" max="9"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5"/>
  <sheetViews>
    <sheetView view="pageBreakPreview" topLeftCell="A340" zoomScale="85" zoomScaleNormal="115" zoomScaleSheetLayoutView="85" zoomScalePageLayoutView="85" workbookViewId="0">
      <selection activeCell="H1" sqref="H1:I1"/>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1020"/>
      <c r="H1" s="821"/>
      <c r="I1" s="1021"/>
      <c r="J1" s="820"/>
    </row>
    <row r="2" spans="1:10">
      <c r="A2" s="818"/>
      <c r="B2" s="2059" t="s">
        <v>1917</v>
      </c>
      <c r="C2" s="2059"/>
      <c r="D2" s="2059"/>
      <c r="E2" s="2059"/>
      <c r="F2" s="819"/>
      <c r="G2" s="1020"/>
      <c r="J2" s="818"/>
    </row>
    <row r="3" spans="1:10">
      <c r="A3" s="818"/>
      <c r="B3" s="2059" t="s">
        <v>1920</v>
      </c>
      <c r="C3" s="2059"/>
      <c r="D3" s="2059"/>
      <c r="E3" s="2059"/>
      <c r="F3" s="2059"/>
      <c r="G3" s="1020"/>
      <c r="H3" s="2060" t="s">
        <v>2517</v>
      </c>
      <c r="I3" s="2060"/>
      <c r="J3" s="818"/>
    </row>
    <row r="4" spans="1:10">
      <c r="A4" s="818"/>
      <c r="B4" s="2059" t="s">
        <v>1921</v>
      </c>
      <c r="C4" s="2059"/>
      <c r="D4" s="2059"/>
      <c r="E4" s="2059"/>
      <c r="F4" s="819"/>
      <c r="G4" s="1020"/>
      <c r="H4" s="2089"/>
      <c r="I4" s="2089"/>
      <c r="J4" s="818"/>
    </row>
    <row r="5" spans="1:10">
      <c r="A5" s="818"/>
      <c r="B5" s="824"/>
      <c r="C5" s="1020"/>
      <c r="D5" s="1020"/>
      <c r="E5" s="825"/>
      <c r="F5" s="819"/>
      <c r="G5" s="1020"/>
      <c r="H5" s="827"/>
      <c r="I5" s="1019"/>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v>2</v>
      </c>
      <c r="G7" s="829">
        <v>10.55</v>
      </c>
      <c r="H7" s="832"/>
      <c r="I7" s="833" t="s">
        <v>37</v>
      </c>
    </row>
    <row r="8" spans="1:10">
      <c r="A8" s="818"/>
      <c r="B8" s="831"/>
      <c r="C8" s="829"/>
      <c r="D8" s="832"/>
      <c r="E8" s="844" t="s">
        <v>25</v>
      </c>
      <c r="F8" s="831"/>
      <c r="G8" s="829">
        <v>0.8</v>
      </c>
      <c r="H8" s="832">
        <f>F7*G8*G7</f>
        <v>16.880000000000003</v>
      </c>
      <c r="I8" s="833" t="s">
        <v>739</v>
      </c>
    </row>
    <row r="9" spans="1:10">
      <c r="A9" s="818"/>
      <c r="B9" s="831">
        <v>24</v>
      </c>
      <c r="C9" s="829">
        <v>0.2</v>
      </c>
      <c r="D9" s="832"/>
      <c r="E9" s="844" t="s">
        <v>27</v>
      </c>
      <c r="F9" s="831"/>
      <c r="G9" s="829"/>
      <c r="H9" s="832"/>
      <c r="I9" s="833"/>
    </row>
    <row r="10" spans="1:10">
      <c r="A10" s="818"/>
      <c r="B10" s="435"/>
      <c r="C10" s="829">
        <v>0.2</v>
      </c>
      <c r="D10" s="832"/>
      <c r="E10" s="844" t="s">
        <v>738</v>
      </c>
      <c r="F10" s="831">
        <v>4</v>
      </c>
      <c r="G10" s="829">
        <v>10.55</v>
      </c>
      <c r="H10" s="832"/>
      <c r="I10" s="833" t="s">
        <v>741</v>
      </c>
    </row>
    <row r="11" spans="1:10">
      <c r="A11" s="818"/>
      <c r="B11" s="831"/>
      <c r="C11" s="829">
        <v>2.73</v>
      </c>
      <c r="D11" s="832"/>
      <c r="E11" s="435"/>
      <c r="F11" s="831"/>
      <c r="G11" s="829">
        <v>0.8</v>
      </c>
      <c r="H11" s="832">
        <f>F10*G11*G10</f>
        <v>33.760000000000005</v>
      </c>
      <c r="I11" s="833" t="s">
        <v>742</v>
      </c>
    </row>
    <row r="12" spans="1:10">
      <c r="A12" s="818"/>
      <c r="B12" s="839"/>
      <c r="C12" s="935"/>
      <c r="D12" s="838">
        <f>B9*C9*C10*C11</f>
        <v>2.6208000000000005</v>
      </c>
      <c r="E12" s="839" t="s">
        <v>2116</v>
      </c>
      <c r="F12" s="1022"/>
      <c r="G12" s="848"/>
      <c r="H12" s="843"/>
      <c r="I12" s="435"/>
    </row>
    <row r="13" spans="1:10">
      <c r="A13" s="818"/>
      <c r="B13" s="831"/>
      <c r="C13" s="829"/>
      <c r="D13" s="832"/>
      <c r="E13" s="844"/>
      <c r="F13" s="839"/>
      <c r="G13" s="935"/>
      <c r="H13" s="838">
        <f>SUM(H7:H11)+SUM(D56:D62)</f>
        <v>126.4</v>
      </c>
      <c r="I13" s="839" t="s">
        <v>2873</v>
      </c>
    </row>
    <row r="14" spans="1:10">
      <c r="A14" s="818"/>
      <c r="B14" s="831"/>
      <c r="C14" s="829"/>
      <c r="D14" s="832"/>
      <c r="E14" s="844" t="s">
        <v>29</v>
      </c>
      <c r="F14" s="831"/>
      <c r="G14" s="829"/>
      <c r="H14" s="832"/>
      <c r="I14" s="844" t="s">
        <v>48</v>
      </c>
    </row>
    <row r="15" spans="1:10">
      <c r="A15" s="818"/>
      <c r="B15" s="831">
        <v>2</v>
      </c>
      <c r="C15" s="829">
        <v>23.3</v>
      </c>
      <c r="D15" s="832"/>
      <c r="E15" s="833" t="s">
        <v>30</v>
      </c>
      <c r="F15" s="831">
        <v>1</v>
      </c>
      <c r="G15" s="829">
        <v>1.3</v>
      </c>
      <c r="H15" s="832"/>
      <c r="I15" s="833" t="s">
        <v>347</v>
      </c>
    </row>
    <row r="16" spans="1:10">
      <c r="A16" s="818"/>
      <c r="B16" s="831"/>
      <c r="C16" s="829">
        <v>0.3</v>
      </c>
      <c r="D16" s="832"/>
      <c r="E16" s="833" t="s">
        <v>737</v>
      </c>
      <c r="F16" s="831"/>
      <c r="G16" s="829">
        <v>0.6</v>
      </c>
      <c r="H16" s="832">
        <f>F15*G15*G16</f>
        <v>0.78</v>
      </c>
      <c r="I16" s="833"/>
    </row>
    <row r="17" spans="1:9">
      <c r="A17" s="818"/>
      <c r="B17" s="831"/>
      <c r="C17" s="829">
        <v>0.2</v>
      </c>
      <c r="D17" s="832">
        <f>B15*C15*C16*C17</f>
        <v>2.7960000000000003</v>
      </c>
      <c r="E17" s="833"/>
      <c r="F17" s="831">
        <v>3</v>
      </c>
      <c r="G17" s="829">
        <v>1.2</v>
      </c>
      <c r="H17" s="832"/>
      <c r="I17" s="833" t="s">
        <v>111</v>
      </c>
    </row>
    <row r="18" spans="1:9">
      <c r="A18" s="818"/>
      <c r="B18" s="831"/>
      <c r="C18" s="829"/>
      <c r="D18" s="832"/>
      <c r="E18" s="833"/>
      <c r="F18" s="831"/>
      <c r="G18" s="829">
        <v>0.55000000000000004</v>
      </c>
      <c r="H18" s="832">
        <f>F17*G17*G18</f>
        <v>1.98</v>
      </c>
      <c r="I18" s="833"/>
    </row>
    <row r="19" spans="1:9">
      <c r="A19" s="818"/>
      <c r="B19" s="831">
        <v>2</v>
      </c>
      <c r="C19" s="829">
        <v>23.3</v>
      </c>
      <c r="D19" s="832"/>
      <c r="E19" s="833" t="s">
        <v>496</v>
      </c>
      <c r="F19" s="831">
        <v>3</v>
      </c>
      <c r="G19" s="829">
        <v>1.1000000000000001</v>
      </c>
      <c r="H19" s="832"/>
      <c r="I19" s="833" t="s">
        <v>113</v>
      </c>
    </row>
    <row r="20" spans="1:9">
      <c r="A20" s="818"/>
      <c r="B20" s="831"/>
      <c r="C20" s="829">
        <v>0.3</v>
      </c>
      <c r="D20" s="832"/>
      <c r="E20" s="833" t="s">
        <v>1275</v>
      </c>
      <c r="F20" s="831"/>
      <c r="G20" s="829">
        <v>0.55000000000000004</v>
      </c>
      <c r="H20" s="832">
        <f>F19*G19*G20</f>
        <v>1.8150000000000004</v>
      </c>
      <c r="I20" s="844"/>
    </row>
    <row r="21" spans="1:9">
      <c r="A21" s="818"/>
      <c r="B21" s="831"/>
      <c r="C21" s="829">
        <v>0.2</v>
      </c>
      <c r="D21" s="832">
        <f>B19*C19*C20*C21</f>
        <v>2.7960000000000003</v>
      </c>
      <c r="E21" s="833"/>
      <c r="F21" s="839"/>
      <c r="G21" s="935"/>
      <c r="H21" s="838">
        <f>SUM(H15:H20)</f>
        <v>4.5750000000000002</v>
      </c>
      <c r="I21" s="839" t="s">
        <v>2874</v>
      </c>
    </row>
    <row r="22" spans="1:9">
      <c r="A22" s="818"/>
      <c r="B22" s="831"/>
      <c r="C22" s="829"/>
      <c r="D22" s="832"/>
      <c r="E22" s="833"/>
      <c r="F22" s="831"/>
      <c r="G22" s="829"/>
      <c r="H22" s="832"/>
      <c r="I22" s="844" t="s">
        <v>2875</v>
      </c>
    </row>
    <row r="23" spans="1:9">
      <c r="A23" s="818"/>
      <c r="B23" s="831">
        <v>2</v>
      </c>
      <c r="C23" s="829">
        <v>10.55</v>
      </c>
      <c r="D23" s="832"/>
      <c r="E23" s="833" t="s">
        <v>37</v>
      </c>
      <c r="F23" s="831">
        <v>1</v>
      </c>
      <c r="G23" s="829">
        <f>'[24]EMG &amp;Waitng Reinf'!M149</f>
        <v>1224.4632000000004</v>
      </c>
      <c r="H23" s="832"/>
      <c r="I23" s="833"/>
    </row>
    <row r="24" spans="1:9">
      <c r="A24" s="818"/>
      <c r="B24" s="831"/>
      <c r="C24" s="829">
        <v>0.3</v>
      </c>
      <c r="D24" s="832"/>
      <c r="E24" s="833" t="s">
        <v>1276</v>
      </c>
      <c r="F24" s="831"/>
      <c r="G24" s="829"/>
      <c r="H24" s="832">
        <f>G23</f>
        <v>1224.4632000000004</v>
      </c>
      <c r="I24" s="833" t="s">
        <v>2339</v>
      </c>
    </row>
    <row r="25" spans="1:9">
      <c r="A25" s="818"/>
      <c r="B25" s="831"/>
      <c r="C25" s="829">
        <v>0.2</v>
      </c>
      <c r="D25" s="832">
        <f>B23*C23*C24*C25</f>
        <v>1.266</v>
      </c>
      <c r="E25" s="833"/>
      <c r="F25" s="831"/>
      <c r="G25" s="829"/>
      <c r="H25" s="832"/>
      <c r="I25" s="844" t="s">
        <v>2876</v>
      </c>
    </row>
    <row r="26" spans="1:9">
      <c r="A26" s="818"/>
      <c r="B26" s="831"/>
      <c r="C26" s="829"/>
      <c r="D26" s="832"/>
      <c r="E26" s="833"/>
      <c r="F26" s="831">
        <v>1</v>
      </c>
      <c r="G26" s="829">
        <f>'[24]EMG &amp;Waitng Reinf'!K149</f>
        <v>388.83800000000002</v>
      </c>
      <c r="H26" s="832"/>
      <c r="I26" s="833"/>
    </row>
    <row r="27" spans="1:9">
      <c r="A27" s="818"/>
      <c r="B27" s="831">
        <v>4</v>
      </c>
      <c r="C27" s="829">
        <v>10.55</v>
      </c>
      <c r="D27" s="832"/>
      <c r="E27" s="833" t="s">
        <v>741</v>
      </c>
      <c r="F27" s="831"/>
      <c r="G27" s="829"/>
      <c r="H27" s="832">
        <f>G26</f>
        <v>388.83800000000002</v>
      </c>
      <c r="I27" s="833" t="s">
        <v>2121</v>
      </c>
    </row>
    <row r="28" spans="1:9">
      <c r="A28" s="818"/>
      <c r="B28" s="831"/>
      <c r="C28" s="829">
        <v>0.3</v>
      </c>
      <c r="D28" s="832"/>
      <c r="E28" s="833" t="s">
        <v>742</v>
      </c>
      <c r="I28" s="844" t="s">
        <v>350</v>
      </c>
    </row>
    <row r="29" spans="1:9">
      <c r="A29" s="818"/>
      <c r="B29" s="831"/>
      <c r="C29" s="829">
        <v>0.2</v>
      </c>
      <c r="D29" s="832">
        <f>B27*C27*C28*C29</f>
        <v>2.532</v>
      </c>
      <c r="E29" s="833"/>
      <c r="F29" s="831"/>
      <c r="G29" s="829"/>
      <c r="H29" s="832"/>
      <c r="I29" s="844" t="s">
        <v>2877</v>
      </c>
    </row>
    <row r="30" spans="1:9">
      <c r="A30" s="818"/>
      <c r="B30" s="435"/>
      <c r="C30" s="1022"/>
      <c r="D30" s="1022"/>
      <c r="E30" s="435"/>
      <c r="F30" s="831">
        <v>1</v>
      </c>
      <c r="G30" s="829">
        <v>22.1</v>
      </c>
      <c r="H30" s="832"/>
      <c r="I30" s="833" t="s">
        <v>744</v>
      </c>
    </row>
    <row r="31" spans="1:9">
      <c r="A31" s="818"/>
      <c r="B31" s="839"/>
      <c r="C31" s="935"/>
      <c r="D31" s="838">
        <f>SUM(D16:D29)</f>
        <v>9.39</v>
      </c>
      <c r="E31" s="839" t="s">
        <v>2142</v>
      </c>
      <c r="F31" s="831"/>
      <c r="G31" s="829">
        <v>2.73</v>
      </c>
      <c r="H31" s="832">
        <f>G30*G31*F30</f>
        <v>60.333000000000006</v>
      </c>
      <c r="I31" s="833"/>
    </row>
    <row r="32" spans="1:9">
      <c r="A32" s="818"/>
      <c r="B32" s="831"/>
      <c r="C32" s="829"/>
      <c r="D32" s="832"/>
      <c r="E32" s="844"/>
      <c r="F32" s="831">
        <v>1</v>
      </c>
      <c r="G32" s="829">
        <v>1.75</v>
      </c>
      <c r="H32" s="832"/>
      <c r="I32" s="833" t="s">
        <v>62</v>
      </c>
    </row>
    <row r="33" spans="1:9">
      <c r="A33" s="818"/>
      <c r="B33" s="831"/>
      <c r="C33" s="829"/>
      <c r="D33" s="832"/>
      <c r="E33" s="844" t="s">
        <v>44</v>
      </c>
      <c r="F33" s="831"/>
      <c r="G33" s="829">
        <v>1.65</v>
      </c>
      <c r="H33" s="832">
        <f>-G32*G33*F32</f>
        <v>-2.8874999999999997</v>
      </c>
      <c r="I33" s="833"/>
    </row>
    <row r="34" spans="1:9">
      <c r="A34" s="818"/>
      <c r="B34" s="831">
        <v>1</v>
      </c>
      <c r="C34" s="829">
        <v>1.3</v>
      </c>
      <c r="D34" s="832"/>
      <c r="E34" s="833" t="s">
        <v>347</v>
      </c>
      <c r="F34" s="831"/>
      <c r="G34" s="829"/>
      <c r="H34" s="832"/>
      <c r="I34" s="833"/>
    </row>
    <row r="35" spans="1:9">
      <c r="A35" s="818"/>
      <c r="B35" s="831"/>
      <c r="C35" s="829">
        <v>0.2</v>
      </c>
      <c r="D35" s="832"/>
      <c r="E35" s="833"/>
      <c r="F35" s="831">
        <v>3</v>
      </c>
      <c r="G35" s="829">
        <v>1.5</v>
      </c>
      <c r="H35" s="832"/>
      <c r="I35" s="833" t="s">
        <v>464</v>
      </c>
    </row>
    <row r="36" spans="1:9">
      <c r="A36" s="818"/>
      <c r="B36" s="831"/>
      <c r="C36" s="829">
        <v>0.2</v>
      </c>
      <c r="D36" s="832">
        <f>B34*C34*C35*C36</f>
        <v>5.2000000000000005E-2</v>
      </c>
      <c r="E36" s="833"/>
      <c r="F36" s="831"/>
      <c r="G36" s="829">
        <v>1.73</v>
      </c>
      <c r="H36" s="832">
        <f>-G35*G36*F35</f>
        <v>-7.7849999999999993</v>
      </c>
      <c r="I36" s="833"/>
    </row>
    <row r="37" spans="1:9">
      <c r="A37" s="818"/>
      <c r="B37" s="831"/>
      <c r="C37" s="829"/>
      <c r="D37" s="832"/>
      <c r="E37" s="833"/>
      <c r="F37" s="831"/>
      <c r="G37" s="829"/>
      <c r="H37" s="832"/>
      <c r="I37" s="833"/>
    </row>
    <row r="38" spans="1:9">
      <c r="A38" s="818"/>
      <c r="B38" s="831">
        <v>3</v>
      </c>
      <c r="C38" s="829">
        <v>1.2</v>
      </c>
      <c r="D38" s="832"/>
      <c r="E38" s="833" t="s">
        <v>111</v>
      </c>
      <c r="F38" s="831">
        <v>1</v>
      </c>
      <c r="G38" s="829">
        <v>1.3</v>
      </c>
      <c r="H38" s="832"/>
      <c r="I38" s="833" t="s">
        <v>747</v>
      </c>
    </row>
    <row r="39" spans="1:9">
      <c r="A39" s="818"/>
      <c r="B39" s="831"/>
      <c r="C39" s="829">
        <v>0.15</v>
      </c>
      <c r="D39" s="832"/>
      <c r="E39" s="833"/>
      <c r="F39" s="831"/>
      <c r="G39" s="829">
        <v>1.73</v>
      </c>
      <c r="H39" s="832">
        <f>-G38*G39*F38</f>
        <v>-2.2490000000000001</v>
      </c>
      <c r="I39" s="833"/>
    </row>
    <row r="40" spans="1:9">
      <c r="A40" s="818"/>
      <c r="B40" s="831"/>
      <c r="C40" s="829">
        <v>0.2</v>
      </c>
      <c r="D40" s="832">
        <f>B38*C38*C39*C40</f>
        <v>0.10799999999999998</v>
      </c>
      <c r="E40" s="833"/>
      <c r="F40" s="831"/>
      <c r="G40" s="829"/>
      <c r="H40" s="832"/>
      <c r="I40" s="833"/>
    </row>
    <row r="41" spans="1:9">
      <c r="A41" s="818"/>
      <c r="B41" s="831"/>
      <c r="C41" s="829"/>
      <c r="D41" s="832"/>
      <c r="E41" s="833"/>
      <c r="F41" s="831">
        <v>1</v>
      </c>
      <c r="G41" s="829">
        <v>1</v>
      </c>
      <c r="H41" s="832"/>
      <c r="I41" s="833" t="s">
        <v>748</v>
      </c>
    </row>
    <row r="42" spans="1:9">
      <c r="A42" s="818"/>
      <c r="B42" s="831">
        <v>3</v>
      </c>
      <c r="C42" s="829">
        <v>1.1000000000000001</v>
      </c>
      <c r="D42" s="832"/>
      <c r="E42" s="833" t="s">
        <v>113</v>
      </c>
      <c r="F42" s="831"/>
      <c r="G42" s="829">
        <v>1.73</v>
      </c>
      <c r="H42" s="832">
        <f>-G41*G42*F41</f>
        <v>-1.73</v>
      </c>
      <c r="I42" s="833"/>
    </row>
    <row r="43" spans="1:9">
      <c r="A43" s="818"/>
      <c r="B43" s="831"/>
      <c r="C43" s="829">
        <v>0.15</v>
      </c>
      <c r="D43" s="832"/>
      <c r="E43" s="435"/>
      <c r="F43" s="831"/>
      <c r="G43" s="829"/>
      <c r="H43" s="832"/>
      <c r="I43" s="833"/>
    </row>
    <row r="44" spans="1:9">
      <c r="A44" s="818"/>
      <c r="B44" s="831"/>
      <c r="C44" s="829">
        <v>0.2</v>
      </c>
      <c r="D44" s="832">
        <f>B42*C42*C43*C44</f>
        <v>9.9000000000000005E-2</v>
      </c>
      <c r="E44" s="844"/>
      <c r="F44" s="831">
        <v>5</v>
      </c>
      <c r="G44" s="829">
        <v>0.9</v>
      </c>
      <c r="H44" s="832"/>
      <c r="I44" s="833" t="s">
        <v>233</v>
      </c>
    </row>
    <row r="45" spans="1:9">
      <c r="A45" s="818"/>
      <c r="B45" s="831"/>
      <c r="C45" s="829"/>
      <c r="D45" s="832"/>
      <c r="E45" s="844"/>
      <c r="F45" s="831"/>
      <c r="G45" s="829">
        <v>2.73</v>
      </c>
      <c r="H45" s="832">
        <f>-G44*G45*F44</f>
        <v>-12.285</v>
      </c>
      <c r="I45" s="833"/>
    </row>
    <row r="46" spans="1:9">
      <c r="A46" s="818"/>
      <c r="B46" s="839"/>
      <c r="C46" s="935"/>
      <c r="D46" s="838">
        <f>SUM(D35:D45)</f>
        <v>0.25900000000000001</v>
      </c>
      <c r="E46" s="839" t="s">
        <v>2236</v>
      </c>
      <c r="F46" s="831"/>
      <c r="G46" s="829"/>
      <c r="H46" s="832"/>
      <c r="I46" s="833"/>
    </row>
    <row r="47" spans="1:9">
      <c r="A47" s="818"/>
      <c r="B47" s="435"/>
      <c r="C47" s="1022"/>
      <c r="D47" s="1022"/>
      <c r="E47" s="435"/>
      <c r="F47" s="831">
        <v>1</v>
      </c>
      <c r="G47" s="829">
        <v>1.2</v>
      </c>
      <c r="H47" s="832"/>
      <c r="I47" s="833" t="s">
        <v>423</v>
      </c>
    </row>
    <row r="48" spans="1:9">
      <c r="A48" s="818"/>
      <c r="B48" s="831"/>
      <c r="C48" s="829"/>
      <c r="D48" s="832"/>
      <c r="E48" s="844" t="s">
        <v>32</v>
      </c>
      <c r="F48" s="831"/>
      <c r="G48" s="829">
        <v>2.73</v>
      </c>
      <c r="H48" s="832">
        <f>-G47*G48*F47</f>
        <v>-3.2759999999999998</v>
      </c>
      <c r="I48" s="833"/>
    </row>
    <row r="49" spans="1:10">
      <c r="A49" s="818"/>
      <c r="B49" s="831"/>
      <c r="C49" s="829"/>
      <c r="D49" s="832"/>
      <c r="E49" s="844" t="s">
        <v>33</v>
      </c>
      <c r="F49" s="831"/>
      <c r="G49" s="829"/>
      <c r="H49" s="832"/>
      <c r="I49" s="833"/>
    </row>
    <row r="50" spans="1:10">
      <c r="A50" s="818"/>
      <c r="B50" s="831">
        <v>24</v>
      </c>
      <c r="C50" s="829">
        <v>0.8</v>
      </c>
      <c r="D50" s="832"/>
      <c r="E50" s="844"/>
      <c r="F50" s="831">
        <v>1</v>
      </c>
      <c r="G50" s="829">
        <v>19.149999999999999</v>
      </c>
      <c r="H50" s="832"/>
      <c r="I50" s="833" t="s">
        <v>751</v>
      </c>
    </row>
    <row r="51" spans="1:10">
      <c r="A51" s="818"/>
      <c r="B51" s="831"/>
      <c r="C51" s="829">
        <v>2.73</v>
      </c>
      <c r="D51" s="832"/>
      <c r="E51" s="844"/>
      <c r="F51" s="831"/>
      <c r="G51" s="829">
        <v>2.73</v>
      </c>
      <c r="H51" s="832">
        <f>G50*G51*F50</f>
        <v>52.279499999999999</v>
      </c>
      <c r="I51" s="833"/>
    </row>
    <row r="52" spans="1:10">
      <c r="A52" s="818"/>
      <c r="B52" s="839"/>
      <c r="C52" s="935"/>
      <c r="D52" s="838">
        <f>C50*C51*B50</f>
        <v>52.416000000000004</v>
      </c>
      <c r="E52" s="839" t="s">
        <v>2878</v>
      </c>
      <c r="F52" s="831"/>
      <c r="G52" s="829"/>
      <c r="H52" s="832"/>
      <c r="I52" s="833"/>
    </row>
    <row r="53" spans="1:10">
      <c r="A53" s="818"/>
      <c r="B53" s="831"/>
      <c r="C53" s="829"/>
      <c r="D53" s="832"/>
      <c r="E53" s="844"/>
      <c r="F53" s="831">
        <v>2</v>
      </c>
      <c r="G53" s="829">
        <v>0.9</v>
      </c>
      <c r="H53" s="832"/>
      <c r="I53" s="833" t="s">
        <v>191</v>
      </c>
    </row>
    <row r="54" spans="1:10">
      <c r="A54" s="818"/>
      <c r="B54" s="831"/>
      <c r="C54" s="829"/>
      <c r="D54" s="832"/>
      <c r="E54" s="844" t="s">
        <v>38</v>
      </c>
      <c r="F54" s="831"/>
      <c r="G54" s="829">
        <v>2.73</v>
      </c>
      <c r="H54" s="832">
        <f>-G53*G54*F53</f>
        <v>-4.9139999999999997</v>
      </c>
      <c r="I54" s="833"/>
    </row>
    <row r="55" spans="1:10">
      <c r="A55" s="818"/>
      <c r="B55" s="831">
        <v>2</v>
      </c>
      <c r="C55" s="829">
        <v>23.3</v>
      </c>
      <c r="D55" s="832"/>
      <c r="E55" s="833" t="s">
        <v>30</v>
      </c>
      <c r="F55" s="831"/>
      <c r="G55" s="829"/>
      <c r="H55" s="832"/>
      <c r="I55" s="833"/>
    </row>
    <row r="56" spans="1:10">
      <c r="A56" s="818"/>
      <c r="B56" s="831"/>
      <c r="C56" s="829">
        <v>0.8</v>
      </c>
      <c r="D56" s="832">
        <f>B55*C56*C55</f>
        <v>37.28</v>
      </c>
      <c r="E56" s="833" t="s">
        <v>1274</v>
      </c>
      <c r="F56" s="831">
        <v>1</v>
      </c>
      <c r="G56" s="829">
        <v>22.1</v>
      </c>
      <c r="H56" s="832"/>
      <c r="I56" s="833" t="s">
        <v>753</v>
      </c>
    </row>
    <row r="57" spans="1:10">
      <c r="A57" s="818"/>
      <c r="B57" s="831"/>
      <c r="C57" s="829"/>
      <c r="D57" s="832"/>
      <c r="E57" s="833" t="s">
        <v>40</v>
      </c>
      <c r="F57" s="831"/>
      <c r="G57" s="829">
        <v>2.63</v>
      </c>
      <c r="H57" s="832">
        <f>G56*G57*F56</f>
        <v>58.123000000000005</v>
      </c>
      <c r="I57" s="833"/>
    </row>
    <row r="58" spans="1:10">
      <c r="A58" s="818"/>
      <c r="B58" s="831">
        <v>20</v>
      </c>
      <c r="C58" s="829">
        <v>0.3</v>
      </c>
      <c r="D58" s="832"/>
      <c r="E58" s="833"/>
      <c r="F58" s="831"/>
      <c r="G58" s="829"/>
      <c r="H58" s="832"/>
      <c r="I58" s="833"/>
    </row>
    <row r="59" spans="1:10">
      <c r="A59" s="818"/>
      <c r="B59" s="831"/>
      <c r="C59" s="829">
        <v>0.2</v>
      </c>
      <c r="D59" s="832">
        <f>C58*C59*20</f>
        <v>1.2</v>
      </c>
      <c r="E59" s="833"/>
      <c r="F59" s="831">
        <v>6</v>
      </c>
      <c r="G59" s="829">
        <v>1.5</v>
      </c>
      <c r="H59" s="832"/>
      <c r="I59" s="833" t="s">
        <v>464</v>
      </c>
    </row>
    <row r="60" spans="1:10">
      <c r="A60" s="818"/>
      <c r="B60" s="831"/>
      <c r="C60" s="829"/>
      <c r="D60" s="832"/>
      <c r="E60" s="833"/>
      <c r="F60" s="831"/>
      <c r="G60" s="829">
        <v>1.73</v>
      </c>
      <c r="H60" s="832">
        <f>-G59*G60*F59</f>
        <v>-15.569999999999999</v>
      </c>
      <c r="I60" s="833"/>
    </row>
    <row r="61" spans="1:10">
      <c r="A61" s="818"/>
      <c r="B61" s="831">
        <v>2</v>
      </c>
      <c r="C61" s="829">
        <v>23.3</v>
      </c>
      <c r="D61" s="832"/>
      <c r="E61" s="833" t="s">
        <v>496</v>
      </c>
      <c r="F61" s="831"/>
      <c r="G61" s="829"/>
      <c r="H61" s="832"/>
      <c r="I61" s="833"/>
    </row>
    <row r="62" spans="1:10">
      <c r="A62" s="818"/>
      <c r="B62" s="831"/>
      <c r="C62" s="829">
        <v>0.8</v>
      </c>
      <c r="D62" s="832">
        <f>B61*C62*C61</f>
        <v>37.28</v>
      </c>
      <c r="E62" s="833" t="s">
        <v>468</v>
      </c>
      <c r="F62" s="831">
        <v>1</v>
      </c>
      <c r="G62" s="829">
        <v>1.3</v>
      </c>
      <c r="H62" s="832"/>
      <c r="I62" s="833" t="s">
        <v>747</v>
      </c>
    </row>
    <row r="63" spans="1:10">
      <c r="A63" s="818"/>
      <c r="B63" s="849"/>
      <c r="C63" s="850"/>
      <c r="D63" s="851"/>
      <c r="E63" s="852"/>
      <c r="F63" s="831"/>
      <c r="G63" s="829">
        <v>0.6</v>
      </c>
      <c r="H63" s="832">
        <f>-G62*G63*F62</f>
        <v>-0.78</v>
      </c>
      <c r="I63" s="833"/>
    </row>
    <row r="64" spans="1:10">
      <c r="A64" s="828"/>
      <c r="B64" s="853" t="s">
        <v>1884</v>
      </c>
      <c r="C64" s="854" t="s">
        <v>526</v>
      </c>
      <c r="D64" s="855" t="s">
        <v>1885</v>
      </c>
      <c r="E64" s="854" t="s">
        <v>1886</v>
      </c>
      <c r="F64" s="853" t="s">
        <v>1884</v>
      </c>
      <c r="G64" s="855" t="s">
        <v>526</v>
      </c>
      <c r="H64" s="856" t="s">
        <v>1885</v>
      </c>
      <c r="I64" s="854" t="s">
        <v>1886</v>
      </c>
      <c r="J64" s="828"/>
    </row>
    <row r="65" spans="1:9">
      <c r="A65" s="818"/>
      <c r="B65" s="831">
        <v>1</v>
      </c>
      <c r="C65" s="829">
        <v>4.25</v>
      </c>
      <c r="D65" s="832"/>
      <c r="E65" s="833" t="s">
        <v>755</v>
      </c>
      <c r="F65" s="831">
        <v>1</v>
      </c>
      <c r="G65" s="829">
        <v>2.7</v>
      </c>
      <c r="H65" s="832"/>
      <c r="I65" s="833" t="s">
        <v>204</v>
      </c>
    </row>
    <row r="66" spans="1:9">
      <c r="A66" s="818"/>
      <c r="B66" s="831"/>
      <c r="C66" s="829">
        <v>0.6</v>
      </c>
      <c r="D66" s="832">
        <f>-C65*C66*B65</f>
        <v>-2.5499999999999998</v>
      </c>
      <c r="E66" s="833"/>
      <c r="F66" s="831"/>
      <c r="G66" s="829">
        <v>3.03</v>
      </c>
      <c r="H66" s="832">
        <f>G65*G66*F65</f>
        <v>8.1809999999999992</v>
      </c>
      <c r="I66" s="833"/>
    </row>
    <row r="67" spans="1:9">
      <c r="A67" s="818"/>
      <c r="B67" s="831"/>
      <c r="C67" s="829"/>
      <c r="D67" s="832"/>
      <c r="E67" s="833"/>
      <c r="F67" s="831"/>
      <c r="G67" s="829"/>
      <c r="H67" s="832"/>
      <c r="I67" s="833"/>
    </row>
    <row r="68" spans="1:9">
      <c r="A68" s="818"/>
      <c r="B68" s="831">
        <v>1</v>
      </c>
      <c r="C68" s="829">
        <v>1.25</v>
      </c>
      <c r="D68" s="832"/>
      <c r="E68" s="833" t="s">
        <v>362</v>
      </c>
      <c r="F68" s="831">
        <v>1</v>
      </c>
      <c r="G68" s="829">
        <v>1.1599999999999999</v>
      </c>
      <c r="H68" s="832"/>
      <c r="I68" s="833" t="s">
        <v>353</v>
      </c>
    </row>
    <row r="69" spans="1:9">
      <c r="A69" s="818"/>
      <c r="B69" s="831"/>
      <c r="C69" s="829">
        <v>0.6</v>
      </c>
      <c r="D69" s="832">
        <f>-C68*C69*B68</f>
        <v>-0.75</v>
      </c>
      <c r="E69" s="833"/>
      <c r="F69" s="831"/>
      <c r="G69" s="829">
        <v>0.6</v>
      </c>
      <c r="H69" s="832">
        <f>-G68*G69*F68</f>
        <v>-0.69599999999999995</v>
      </c>
      <c r="I69" s="833"/>
    </row>
    <row r="70" spans="1:9">
      <c r="A70" s="818"/>
      <c r="B70" s="831"/>
      <c r="C70" s="829"/>
      <c r="D70" s="832"/>
      <c r="E70" s="833"/>
      <c r="F70" s="831"/>
      <c r="G70" s="829"/>
      <c r="H70" s="832"/>
      <c r="I70" s="833"/>
    </row>
    <row r="71" spans="1:9">
      <c r="A71" s="818"/>
      <c r="B71" s="831">
        <v>2</v>
      </c>
      <c r="C71" s="829">
        <v>6.4</v>
      </c>
      <c r="D71" s="832"/>
      <c r="E71" s="833" t="s">
        <v>758</v>
      </c>
      <c r="F71" s="831">
        <v>1</v>
      </c>
      <c r="G71" s="829">
        <v>1.4</v>
      </c>
      <c r="H71" s="832"/>
      <c r="I71" s="833" t="s">
        <v>204</v>
      </c>
    </row>
    <row r="72" spans="1:9">
      <c r="A72" s="818"/>
      <c r="B72" s="831"/>
      <c r="C72" s="829">
        <v>2.73</v>
      </c>
      <c r="D72" s="832">
        <f>C71*C72*B71</f>
        <v>34.944000000000003</v>
      </c>
      <c r="E72" s="833"/>
      <c r="F72" s="831"/>
      <c r="G72" s="829">
        <v>3.03</v>
      </c>
      <c r="H72" s="832">
        <f>-G71*G72*F71</f>
        <v>-4.2419999999999991</v>
      </c>
      <c r="I72" s="833"/>
    </row>
    <row r="73" spans="1:9">
      <c r="A73" s="818"/>
      <c r="B73" s="831"/>
      <c r="C73" s="829"/>
      <c r="D73" s="832"/>
      <c r="E73" s="833"/>
      <c r="F73" s="831"/>
      <c r="G73" s="829"/>
      <c r="H73" s="832"/>
      <c r="I73" s="833"/>
    </row>
    <row r="74" spans="1:9">
      <c r="A74" s="818"/>
      <c r="B74" s="831">
        <v>1</v>
      </c>
      <c r="C74" s="829">
        <v>4</v>
      </c>
      <c r="D74" s="832"/>
      <c r="E74" s="833"/>
      <c r="F74" s="831">
        <v>1</v>
      </c>
      <c r="G74" s="829">
        <v>0.8</v>
      </c>
      <c r="H74" s="832"/>
      <c r="I74" s="833" t="s">
        <v>182</v>
      </c>
    </row>
    <row r="75" spans="1:9">
      <c r="A75" s="818"/>
      <c r="B75" s="831"/>
      <c r="C75" s="829">
        <v>1</v>
      </c>
      <c r="D75" s="832">
        <f>C74*C75*B74</f>
        <v>4</v>
      </c>
      <c r="E75" s="833" t="s">
        <v>743</v>
      </c>
      <c r="F75" s="831"/>
      <c r="G75" s="829">
        <v>2.73</v>
      </c>
      <c r="H75" s="832">
        <f>-G74*G75*F74</f>
        <v>-2.1840000000000002</v>
      </c>
      <c r="I75" s="833"/>
    </row>
    <row r="76" spans="1:9">
      <c r="A76" s="818"/>
      <c r="B76" s="831"/>
      <c r="C76" s="829"/>
      <c r="D76" s="832"/>
      <c r="E76" s="833"/>
      <c r="F76" s="831"/>
      <c r="G76" s="829"/>
      <c r="H76" s="832"/>
      <c r="I76" s="833"/>
    </row>
    <row r="77" spans="1:9">
      <c r="A77" s="818"/>
      <c r="B77" s="831">
        <v>2</v>
      </c>
      <c r="C77" s="829">
        <v>1.4</v>
      </c>
      <c r="D77" s="832"/>
      <c r="E77" s="833"/>
      <c r="F77" s="831">
        <v>2</v>
      </c>
      <c r="G77" s="829">
        <v>1.4</v>
      </c>
      <c r="H77" s="832"/>
      <c r="I77" s="833" t="s">
        <v>761</v>
      </c>
    </row>
    <row r="78" spans="1:9">
      <c r="A78" s="818"/>
      <c r="B78" s="831"/>
      <c r="C78" s="829">
        <v>2.73</v>
      </c>
      <c r="D78" s="832">
        <f>-C77*C78*B77</f>
        <v>-7.6439999999999992</v>
      </c>
      <c r="E78" s="833" t="s">
        <v>745</v>
      </c>
      <c r="F78" s="831"/>
      <c r="G78" s="829">
        <v>3.03</v>
      </c>
      <c r="H78" s="832">
        <f>G77*G78*F77</f>
        <v>8.4839999999999982</v>
      </c>
      <c r="I78" s="833"/>
    </row>
    <row r="79" spans="1:9">
      <c r="A79" s="818"/>
      <c r="B79" s="831"/>
      <c r="C79" s="829"/>
      <c r="D79" s="832"/>
      <c r="E79" s="833"/>
      <c r="F79" s="831"/>
      <c r="G79" s="829"/>
      <c r="H79" s="832"/>
      <c r="I79" s="833"/>
    </row>
    <row r="80" spans="1:9">
      <c r="A80" s="818"/>
      <c r="B80" s="831">
        <v>5</v>
      </c>
      <c r="C80" s="829">
        <v>4</v>
      </c>
      <c r="D80" s="832"/>
      <c r="E80" s="833"/>
      <c r="F80" s="831">
        <v>1</v>
      </c>
      <c r="G80" s="829">
        <v>0.7</v>
      </c>
      <c r="H80" s="832"/>
      <c r="I80" s="833" t="s">
        <v>204</v>
      </c>
    </row>
    <row r="81" spans="1:9">
      <c r="A81" s="818"/>
      <c r="B81" s="831"/>
      <c r="C81" s="829">
        <v>2.73</v>
      </c>
      <c r="D81" s="832">
        <f>C80*C81*B80</f>
        <v>54.6</v>
      </c>
      <c r="E81" s="833" t="s">
        <v>746</v>
      </c>
      <c r="F81" s="831"/>
      <c r="G81" s="829">
        <v>2.73</v>
      </c>
      <c r="H81" s="832">
        <f>-G80*G81*F80</f>
        <v>-1.9109999999999998</v>
      </c>
      <c r="I81" s="833"/>
    </row>
    <row r="82" spans="1:9">
      <c r="A82" s="818"/>
      <c r="B82" s="831"/>
      <c r="C82" s="829"/>
      <c r="D82" s="832"/>
      <c r="E82" s="833"/>
      <c r="F82" s="831"/>
      <c r="G82" s="829"/>
      <c r="H82" s="832"/>
      <c r="I82" s="833"/>
    </row>
    <row r="83" spans="1:9">
      <c r="A83" s="818"/>
      <c r="B83" s="831">
        <v>1</v>
      </c>
      <c r="C83" s="829">
        <v>0.9</v>
      </c>
      <c r="D83" s="832"/>
      <c r="E83" s="833"/>
      <c r="F83" s="831">
        <v>1</v>
      </c>
      <c r="G83" s="829">
        <v>0.8</v>
      </c>
      <c r="H83" s="832"/>
      <c r="I83" s="833" t="s">
        <v>182</v>
      </c>
    </row>
    <row r="84" spans="1:9">
      <c r="A84" s="818"/>
      <c r="B84" s="831"/>
      <c r="C84" s="829">
        <v>2.73</v>
      </c>
      <c r="D84" s="832">
        <f>-C83*C84*B83</f>
        <v>-2.4569999999999999</v>
      </c>
      <c r="E84" s="833" t="s">
        <v>191</v>
      </c>
      <c r="F84" s="831"/>
      <c r="G84" s="829">
        <v>2.73</v>
      </c>
      <c r="H84" s="832">
        <f>-G83*G84*F83</f>
        <v>-2.1840000000000002</v>
      </c>
      <c r="I84" s="833"/>
    </row>
    <row r="85" spans="1:9">
      <c r="A85" s="818"/>
      <c r="B85" s="831"/>
      <c r="C85" s="829"/>
      <c r="D85" s="832"/>
      <c r="E85" s="833"/>
      <c r="F85" s="831"/>
      <c r="G85" s="829"/>
      <c r="H85" s="832"/>
      <c r="I85" s="833"/>
    </row>
    <row r="86" spans="1:9">
      <c r="A86" s="818"/>
      <c r="B86" s="831">
        <v>2</v>
      </c>
      <c r="C86" s="829">
        <v>1.05</v>
      </c>
      <c r="D86" s="832"/>
      <c r="E86" s="833" t="s">
        <v>749</v>
      </c>
      <c r="F86" s="839"/>
      <c r="G86" s="935"/>
      <c r="H86" s="838">
        <f>SUM(H65:H84)+SUM(D96:D120)</f>
        <v>126.10520000000001</v>
      </c>
      <c r="I86" s="839" t="s">
        <v>2487</v>
      </c>
    </row>
    <row r="87" spans="1:9">
      <c r="A87" s="818"/>
      <c r="B87" s="831"/>
      <c r="C87" s="829">
        <v>11.35</v>
      </c>
      <c r="D87" s="832">
        <f>C86*C87*B86</f>
        <v>23.835000000000001</v>
      </c>
      <c r="E87" s="833"/>
      <c r="F87" s="831"/>
      <c r="G87" s="829"/>
      <c r="H87" s="832"/>
      <c r="I87" s="833"/>
    </row>
    <row r="88" spans="1:9">
      <c r="A88" s="818"/>
      <c r="B88" s="831"/>
      <c r="C88" s="829"/>
      <c r="D88" s="832"/>
      <c r="E88" s="833"/>
      <c r="F88" s="831"/>
      <c r="G88" s="829"/>
      <c r="H88" s="832"/>
      <c r="I88" s="844" t="s">
        <v>124</v>
      </c>
    </row>
    <row r="89" spans="1:9">
      <c r="A89" s="818"/>
      <c r="B89" s="831">
        <v>2</v>
      </c>
      <c r="C89" s="829">
        <v>23.3</v>
      </c>
      <c r="D89" s="832"/>
      <c r="E89" s="833" t="s">
        <v>750</v>
      </c>
      <c r="F89" s="831"/>
      <c r="G89" s="829"/>
      <c r="H89" s="832"/>
      <c r="I89" s="844" t="s">
        <v>125</v>
      </c>
    </row>
    <row r="90" spans="1:9">
      <c r="A90" s="818"/>
      <c r="B90" s="831"/>
      <c r="C90" s="829">
        <v>0.2</v>
      </c>
      <c r="D90" s="832">
        <f>C89*C90*B89</f>
        <v>9.32</v>
      </c>
      <c r="E90" s="833"/>
      <c r="F90" s="228"/>
      <c r="G90" s="228"/>
      <c r="H90" s="228"/>
      <c r="I90" s="228" t="s">
        <v>759</v>
      </c>
    </row>
    <row r="91" spans="1:9">
      <c r="A91" s="818"/>
      <c r="B91" s="831"/>
      <c r="C91" s="829"/>
      <c r="D91" s="832"/>
      <c r="E91" s="833"/>
      <c r="F91" s="228">
        <v>1</v>
      </c>
      <c r="G91" s="227">
        <v>12.55</v>
      </c>
      <c r="H91" s="227"/>
      <c r="I91" s="230" t="s">
        <v>760</v>
      </c>
    </row>
    <row r="92" spans="1:9">
      <c r="A92" s="818"/>
      <c r="B92" s="839"/>
      <c r="C92" s="935"/>
      <c r="D92" s="838">
        <f>SUM(D66:D91)+SUM(H30:H63)</f>
        <v>232.55700000000002</v>
      </c>
      <c r="E92" s="839" t="s">
        <v>2486</v>
      </c>
      <c r="F92" s="228"/>
      <c r="G92" s="227">
        <v>24.5</v>
      </c>
      <c r="H92" s="227"/>
      <c r="I92" s="229"/>
    </row>
    <row r="93" spans="1:9">
      <c r="A93" s="818"/>
      <c r="B93" s="831"/>
      <c r="C93" s="829"/>
      <c r="D93" s="832"/>
      <c r="E93" s="833"/>
      <c r="F93" s="839"/>
      <c r="G93" s="935"/>
      <c r="H93" s="838">
        <f>G91*G92</f>
        <v>307.47500000000002</v>
      </c>
      <c r="I93" s="839" t="s">
        <v>2879</v>
      </c>
    </row>
    <row r="94" spans="1:9">
      <c r="A94" s="818"/>
      <c r="B94" s="831"/>
      <c r="C94" s="435"/>
      <c r="D94" s="832"/>
      <c r="E94" s="844" t="s">
        <v>86</v>
      </c>
      <c r="F94" s="831"/>
      <c r="G94" s="829"/>
      <c r="H94" s="832"/>
      <c r="I94" s="833"/>
    </row>
    <row r="95" spans="1:9">
      <c r="A95" s="818"/>
      <c r="B95" s="831">
        <v>1</v>
      </c>
      <c r="C95" s="829">
        <v>22.1</v>
      </c>
      <c r="D95" s="832"/>
      <c r="E95" s="833" t="s">
        <v>752</v>
      </c>
      <c r="F95" s="831"/>
      <c r="G95" s="829"/>
      <c r="H95" s="832"/>
      <c r="I95" s="844" t="s">
        <v>129</v>
      </c>
    </row>
    <row r="96" spans="1:9">
      <c r="A96" s="818"/>
      <c r="B96" s="831"/>
      <c r="C96" s="829">
        <v>2.73</v>
      </c>
      <c r="D96" s="832">
        <f>C95*C96*B95</f>
        <v>60.333000000000006</v>
      </c>
      <c r="E96" s="833"/>
      <c r="F96" s="831">
        <v>2</v>
      </c>
      <c r="G96" s="829">
        <v>23.3</v>
      </c>
      <c r="H96" s="832"/>
      <c r="I96" s="833"/>
    </row>
    <row r="97" spans="1:9">
      <c r="A97" s="818"/>
      <c r="B97" s="831"/>
      <c r="C97" s="829"/>
      <c r="D97" s="832"/>
      <c r="E97" s="833"/>
      <c r="F97" s="831"/>
      <c r="G97" s="829">
        <v>0.5</v>
      </c>
      <c r="H97" s="832">
        <f>G96*G97*F96</f>
        <v>23.3</v>
      </c>
      <c r="I97" s="833"/>
    </row>
    <row r="98" spans="1:9">
      <c r="A98" s="818"/>
      <c r="B98" s="831">
        <v>2</v>
      </c>
      <c r="C98" s="829">
        <v>1.2</v>
      </c>
      <c r="D98" s="832"/>
      <c r="E98" s="833" t="s">
        <v>423</v>
      </c>
      <c r="F98" s="831"/>
      <c r="G98" s="829"/>
      <c r="H98" s="832"/>
      <c r="I98" s="833"/>
    </row>
    <row r="99" spans="1:9">
      <c r="A99" s="818"/>
      <c r="B99" s="831"/>
      <c r="C99" s="829">
        <v>2.73</v>
      </c>
      <c r="D99" s="832">
        <f>-C98*C99*B98</f>
        <v>-6.5519999999999996</v>
      </c>
      <c r="E99" s="833"/>
      <c r="F99" s="228">
        <v>4</v>
      </c>
      <c r="G99" s="227">
        <v>6.47</v>
      </c>
      <c r="H99" s="227"/>
      <c r="I99" s="229"/>
    </row>
    <row r="100" spans="1:9">
      <c r="A100" s="818"/>
      <c r="B100" s="831"/>
      <c r="C100" s="829"/>
      <c r="D100" s="832"/>
      <c r="E100" s="833"/>
      <c r="F100" s="228"/>
      <c r="G100" s="227">
        <v>0.5</v>
      </c>
      <c r="H100" s="227">
        <f>F99*G99*G100</f>
        <v>12.94</v>
      </c>
      <c r="I100" s="229"/>
    </row>
    <row r="101" spans="1:9">
      <c r="A101" s="818"/>
      <c r="B101" s="831">
        <v>4</v>
      </c>
      <c r="C101" s="829">
        <v>1</v>
      </c>
      <c r="D101" s="832"/>
      <c r="E101" s="833" t="s">
        <v>247</v>
      </c>
      <c r="F101" s="228"/>
      <c r="G101" s="227"/>
      <c r="H101" s="435"/>
      <c r="I101" s="229"/>
    </row>
    <row r="102" spans="1:9">
      <c r="A102" s="818"/>
      <c r="B102" s="831"/>
      <c r="C102" s="829">
        <v>2.73</v>
      </c>
      <c r="D102" s="832">
        <f>-C101*C102*B101</f>
        <v>-10.92</v>
      </c>
      <c r="E102" s="833"/>
      <c r="F102" s="839"/>
      <c r="G102" s="935"/>
      <c r="H102" s="838">
        <f>SUM(H97:H100)</f>
        <v>36.24</v>
      </c>
      <c r="I102" s="839" t="s">
        <v>2880</v>
      </c>
    </row>
    <row r="103" spans="1:9">
      <c r="A103" s="818"/>
      <c r="B103" s="831"/>
      <c r="C103" s="829"/>
      <c r="D103" s="832"/>
      <c r="E103" s="833"/>
      <c r="F103" s="831"/>
      <c r="G103" s="829"/>
      <c r="H103" s="832"/>
      <c r="I103" s="833"/>
    </row>
    <row r="104" spans="1:9">
      <c r="A104" s="818"/>
      <c r="B104" s="831">
        <v>3</v>
      </c>
      <c r="C104" s="829">
        <v>4.2</v>
      </c>
      <c r="D104" s="832"/>
      <c r="E104" s="833" t="s">
        <v>2518</v>
      </c>
      <c r="F104" s="831"/>
      <c r="G104" s="829"/>
      <c r="H104" s="832"/>
      <c r="I104" s="844" t="s">
        <v>131</v>
      </c>
    </row>
    <row r="105" spans="1:9">
      <c r="A105" s="818"/>
      <c r="B105" s="831"/>
      <c r="C105" s="829">
        <v>2.73</v>
      </c>
      <c r="D105" s="832">
        <f>C104*C105*B104</f>
        <v>34.398000000000003</v>
      </c>
      <c r="E105" s="833"/>
      <c r="F105" s="831">
        <v>4</v>
      </c>
      <c r="G105" s="829">
        <v>6.47</v>
      </c>
      <c r="H105" s="832"/>
      <c r="I105" s="833" t="s">
        <v>134</v>
      </c>
    </row>
    <row r="106" spans="1:9">
      <c r="A106" s="818"/>
      <c r="B106" s="831"/>
      <c r="C106" s="829"/>
      <c r="D106" s="832"/>
      <c r="E106" s="833"/>
      <c r="F106" s="839"/>
      <c r="G106" s="935"/>
      <c r="H106" s="838">
        <f>G105*F105</f>
        <v>25.88</v>
      </c>
      <c r="I106" s="839" t="s">
        <v>2240</v>
      </c>
    </row>
    <row r="107" spans="1:9">
      <c r="A107" s="818"/>
      <c r="B107" s="831">
        <v>2</v>
      </c>
      <c r="C107" s="829">
        <v>4.2</v>
      </c>
      <c r="D107" s="832"/>
      <c r="E107" s="833" t="s">
        <v>754</v>
      </c>
      <c r="F107" s="831"/>
      <c r="G107" s="829"/>
      <c r="H107" s="832"/>
      <c r="I107" s="833"/>
    </row>
    <row r="108" spans="1:9">
      <c r="A108" s="818"/>
      <c r="B108" s="831"/>
      <c r="C108" s="829">
        <v>3.03</v>
      </c>
      <c r="D108" s="832">
        <f>C107*C108*B107</f>
        <v>25.451999999999998</v>
      </c>
      <c r="E108" s="833"/>
      <c r="F108" s="831"/>
      <c r="G108" s="829"/>
      <c r="H108" s="832"/>
      <c r="I108" s="844" t="s">
        <v>105</v>
      </c>
    </row>
    <row r="109" spans="1:9">
      <c r="A109" s="818"/>
      <c r="B109" s="831"/>
      <c r="C109" s="829"/>
      <c r="D109" s="832"/>
      <c r="E109" s="833"/>
      <c r="F109" s="831">
        <v>2</v>
      </c>
      <c r="G109" s="829">
        <v>24.5</v>
      </c>
      <c r="H109" s="832"/>
      <c r="I109" s="833" t="s">
        <v>760</v>
      </c>
    </row>
    <row r="110" spans="1:9">
      <c r="A110" s="818"/>
      <c r="B110" s="831">
        <v>1</v>
      </c>
      <c r="C110" s="829">
        <v>0.7</v>
      </c>
      <c r="D110" s="832"/>
      <c r="E110" s="833" t="s">
        <v>182</v>
      </c>
      <c r="F110" s="839"/>
      <c r="G110" s="935"/>
      <c r="H110" s="838">
        <f>G109*F109</f>
        <v>49</v>
      </c>
      <c r="I110" s="839" t="s">
        <v>2241</v>
      </c>
    </row>
    <row r="111" spans="1:9">
      <c r="A111" s="818"/>
      <c r="B111" s="831"/>
      <c r="C111" s="829">
        <v>2.73</v>
      </c>
      <c r="D111" s="832">
        <f>C110*C111*B110</f>
        <v>1.9109999999999998</v>
      </c>
      <c r="E111" s="833"/>
      <c r="F111" s="831"/>
      <c r="G111" s="829"/>
      <c r="H111" s="832"/>
      <c r="I111" s="833"/>
    </row>
    <row r="112" spans="1:9">
      <c r="A112" s="818"/>
      <c r="B112" s="831"/>
      <c r="C112" s="829"/>
      <c r="D112" s="832"/>
      <c r="E112" s="833" t="s">
        <v>756</v>
      </c>
      <c r="F112" s="831"/>
      <c r="G112" s="829"/>
      <c r="H112" s="832"/>
      <c r="I112" s="844" t="s">
        <v>109</v>
      </c>
    </row>
    <row r="113" spans="1:10">
      <c r="A113" s="818"/>
      <c r="B113" s="831">
        <v>1</v>
      </c>
      <c r="C113" s="829">
        <v>2.02</v>
      </c>
      <c r="D113" s="832"/>
      <c r="E113" s="833" t="s">
        <v>757</v>
      </c>
      <c r="F113" s="831"/>
      <c r="G113" s="829"/>
      <c r="H113" s="832"/>
      <c r="I113" s="844" t="s">
        <v>110</v>
      </c>
    </row>
    <row r="114" spans="1:10">
      <c r="A114" s="818"/>
      <c r="B114" s="831"/>
      <c r="C114" s="829">
        <v>3.03</v>
      </c>
      <c r="D114" s="832">
        <f>C113*C114*B113</f>
        <v>6.1205999999999996</v>
      </c>
      <c r="E114" s="833"/>
      <c r="F114" s="831">
        <v>19</v>
      </c>
      <c r="G114" s="829">
        <v>12.94</v>
      </c>
      <c r="H114" s="832"/>
      <c r="I114" s="833" t="s">
        <v>762</v>
      </c>
    </row>
    <row r="115" spans="1:10">
      <c r="A115" s="818"/>
      <c r="B115" s="831"/>
      <c r="C115" s="829"/>
      <c r="D115" s="832"/>
      <c r="E115" s="833"/>
      <c r="F115" s="831"/>
      <c r="G115" s="829"/>
      <c r="H115" s="832">
        <f>F114*G114</f>
        <v>245.85999999999999</v>
      </c>
      <c r="I115" s="833"/>
    </row>
    <row r="116" spans="1:10">
      <c r="A116" s="818"/>
      <c r="B116" s="831">
        <v>1</v>
      </c>
      <c r="C116" s="829">
        <v>2.02</v>
      </c>
      <c r="D116" s="832"/>
      <c r="E116" s="833" t="s">
        <v>121</v>
      </c>
      <c r="F116" s="831"/>
      <c r="G116" s="829"/>
      <c r="H116" s="832"/>
      <c r="I116" s="833"/>
    </row>
    <row r="117" spans="1:10">
      <c r="A117" s="818"/>
      <c r="B117" s="831"/>
      <c r="C117" s="829">
        <v>2.73</v>
      </c>
      <c r="D117" s="832">
        <f>C116*C117*B116</f>
        <v>5.5145999999999997</v>
      </c>
      <c r="E117" s="833"/>
      <c r="F117" s="831">
        <v>19</v>
      </c>
      <c r="G117" s="829">
        <v>12.16</v>
      </c>
      <c r="H117" s="832"/>
      <c r="I117" s="833" t="s">
        <v>763</v>
      </c>
    </row>
    <row r="118" spans="1:10">
      <c r="A118" s="818"/>
      <c r="B118" s="831"/>
      <c r="C118" s="829"/>
      <c r="D118" s="832"/>
      <c r="E118" s="833"/>
      <c r="F118" s="831"/>
      <c r="G118" s="829"/>
      <c r="H118" s="832">
        <f>F117*G117</f>
        <v>231.04</v>
      </c>
      <c r="I118" s="833"/>
    </row>
    <row r="119" spans="1:10">
      <c r="A119" s="818"/>
      <c r="B119" s="831">
        <v>1</v>
      </c>
      <c r="C119" s="829">
        <v>2</v>
      </c>
      <c r="D119" s="832"/>
      <c r="E119" s="833" t="s">
        <v>182</v>
      </c>
      <c r="F119" s="831"/>
      <c r="G119" s="829"/>
      <c r="H119" s="832"/>
      <c r="I119" s="833"/>
    </row>
    <row r="120" spans="1:10">
      <c r="A120" s="818"/>
      <c r="B120" s="831"/>
      <c r="C120" s="829">
        <v>2.2000000000000002</v>
      </c>
      <c r="D120" s="832">
        <f>C119*C120*B119</f>
        <v>4.4000000000000004</v>
      </c>
      <c r="E120" s="833"/>
      <c r="F120" s="839"/>
      <c r="G120" s="935"/>
      <c r="H120" s="838">
        <f>SUM(H115:H119)</f>
        <v>476.9</v>
      </c>
      <c r="I120" s="839" t="s">
        <v>2243</v>
      </c>
    </row>
    <row r="121" spans="1:10">
      <c r="A121" s="818"/>
      <c r="B121" s="435"/>
      <c r="C121" s="435"/>
      <c r="D121" s="435"/>
      <c r="E121" s="435"/>
      <c r="F121" s="435"/>
      <c r="G121" s="435"/>
      <c r="H121" s="435"/>
      <c r="I121" s="435"/>
    </row>
    <row r="122" spans="1:10">
      <c r="A122" s="818"/>
      <c r="B122" s="109"/>
      <c r="C122" s="860"/>
      <c r="D122" s="860"/>
      <c r="E122" s="109"/>
      <c r="F122" s="109"/>
      <c r="G122" s="939"/>
      <c r="H122" s="860"/>
      <c r="I122" s="109"/>
    </row>
    <row r="123" spans="1:10">
      <c r="A123" s="828"/>
      <c r="B123" s="853" t="s">
        <v>1884</v>
      </c>
      <c r="C123" s="854" t="s">
        <v>526</v>
      </c>
      <c r="D123" s="855" t="s">
        <v>1885</v>
      </c>
      <c r="E123" s="854" t="s">
        <v>1886</v>
      </c>
      <c r="F123" s="853" t="s">
        <v>1884</v>
      </c>
      <c r="G123" s="855" t="s">
        <v>526</v>
      </c>
      <c r="H123" s="856" t="s">
        <v>1885</v>
      </c>
      <c r="I123" s="854" t="s">
        <v>1886</v>
      </c>
      <c r="J123" s="828"/>
    </row>
    <row r="124" spans="1:10">
      <c r="A124" s="818"/>
      <c r="B124" s="831"/>
      <c r="C124" s="829"/>
      <c r="D124" s="832"/>
      <c r="E124" s="833" t="s">
        <v>114</v>
      </c>
      <c r="F124" s="831"/>
      <c r="G124" s="829"/>
      <c r="H124" s="832"/>
      <c r="I124" s="844" t="s">
        <v>141</v>
      </c>
    </row>
    <row r="125" spans="1:10">
      <c r="A125" s="818"/>
      <c r="B125" s="831">
        <v>19</v>
      </c>
      <c r="C125" s="829">
        <v>12.9</v>
      </c>
      <c r="D125" s="832"/>
      <c r="E125" s="833" t="s">
        <v>764</v>
      </c>
      <c r="F125" s="831"/>
      <c r="G125" s="829"/>
      <c r="H125" s="832"/>
      <c r="I125" s="844" t="s">
        <v>142</v>
      </c>
    </row>
    <row r="126" spans="1:10">
      <c r="A126" s="818"/>
      <c r="B126" s="831"/>
      <c r="C126" s="829"/>
      <c r="D126" s="832">
        <f>B125*C125</f>
        <v>245.1</v>
      </c>
      <c r="E126" s="833"/>
      <c r="F126" s="831">
        <v>1</v>
      </c>
      <c r="G126" s="829">
        <v>22.1</v>
      </c>
      <c r="H126" s="832"/>
      <c r="I126" s="833" t="s">
        <v>767</v>
      </c>
    </row>
    <row r="127" spans="1:10">
      <c r="A127" s="818"/>
      <c r="B127" s="831"/>
      <c r="C127" s="829"/>
      <c r="D127" s="832"/>
      <c r="E127" s="833"/>
      <c r="F127" s="831"/>
      <c r="G127" s="829">
        <v>2.73</v>
      </c>
      <c r="H127" s="832">
        <f>G126*G127*F126</f>
        <v>60.333000000000006</v>
      </c>
      <c r="I127" s="833"/>
    </row>
    <row r="128" spans="1:10">
      <c r="A128" s="818"/>
      <c r="B128" s="831">
        <v>19</v>
      </c>
      <c r="C128" s="829">
        <v>16.02</v>
      </c>
      <c r="D128" s="832"/>
      <c r="E128" s="833" t="s">
        <v>765</v>
      </c>
      <c r="F128" s="831"/>
      <c r="G128" s="829"/>
      <c r="H128" s="832"/>
      <c r="I128" s="833"/>
    </row>
    <row r="129" spans="1:9">
      <c r="A129" s="818"/>
      <c r="B129" s="831"/>
      <c r="C129" s="829"/>
      <c r="D129" s="832">
        <f>B128*C128</f>
        <v>304.38</v>
      </c>
      <c r="E129" s="833"/>
      <c r="F129" s="831">
        <v>3</v>
      </c>
      <c r="G129" s="829">
        <v>1.5</v>
      </c>
      <c r="H129" s="832"/>
      <c r="I129" s="833" t="s">
        <v>464</v>
      </c>
    </row>
    <row r="130" spans="1:9">
      <c r="A130" s="818"/>
      <c r="B130" s="831"/>
      <c r="C130" s="829"/>
      <c r="D130" s="832"/>
      <c r="E130" s="833"/>
      <c r="F130" s="831"/>
      <c r="G130" s="829">
        <v>1.73</v>
      </c>
      <c r="H130" s="832">
        <f>-G129*G130*F129</f>
        <v>-7.7849999999999993</v>
      </c>
      <c r="I130" s="833"/>
    </row>
    <row r="131" spans="1:9">
      <c r="A131" s="818"/>
      <c r="B131" s="839"/>
      <c r="C131" s="935"/>
      <c r="D131" s="838">
        <f>SUM(D125:D129)</f>
        <v>549.48</v>
      </c>
      <c r="E131" s="839" t="s">
        <v>2244</v>
      </c>
      <c r="F131" s="831"/>
      <c r="G131" s="829"/>
      <c r="H131" s="832"/>
      <c r="I131" s="833"/>
    </row>
    <row r="132" spans="1:9">
      <c r="A132" s="818"/>
      <c r="B132" s="831"/>
      <c r="C132" s="829"/>
      <c r="D132" s="832"/>
      <c r="E132" s="833"/>
      <c r="F132" s="831">
        <v>1</v>
      </c>
      <c r="G132" s="829">
        <v>1.3</v>
      </c>
      <c r="H132" s="832"/>
      <c r="I132" s="833" t="s">
        <v>747</v>
      </c>
    </row>
    <row r="133" spans="1:9">
      <c r="A133" s="818"/>
      <c r="B133" s="831"/>
      <c r="C133" s="829"/>
      <c r="D133" s="832"/>
      <c r="E133" s="833" t="s">
        <v>117</v>
      </c>
      <c r="F133" s="831"/>
      <c r="G133" s="829">
        <v>1.73</v>
      </c>
      <c r="H133" s="832">
        <f>-G132*G133*F132</f>
        <v>-2.2490000000000001</v>
      </c>
      <c r="I133" s="833"/>
    </row>
    <row r="134" spans="1:9">
      <c r="A134" s="818"/>
      <c r="B134" s="831"/>
      <c r="C134" s="829"/>
      <c r="D134" s="832"/>
      <c r="E134" s="833" t="s">
        <v>766</v>
      </c>
      <c r="F134" s="831"/>
      <c r="G134" s="829"/>
      <c r="H134" s="832"/>
      <c r="I134" s="833"/>
    </row>
    <row r="135" spans="1:9">
      <c r="A135" s="818"/>
      <c r="B135" s="831">
        <v>16</v>
      </c>
      <c r="C135" s="829">
        <v>24.5</v>
      </c>
      <c r="D135" s="832"/>
      <c r="E135" s="833" t="s">
        <v>760</v>
      </c>
      <c r="F135" s="831">
        <v>1</v>
      </c>
      <c r="G135" s="829">
        <v>1</v>
      </c>
      <c r="H135" s="832"/>
      <c r="I135" s="833" t="s">
        <v>748</v>
      </c>
    </row>
    <row r="136" spans="1:9">
      <c r="A136" s="818"/>
      <c r="B136" s="839"/>
      <c r="C136" s="935"/>
      <c r="D136" s="838">
        <f>B135*C135</f>
        <v>392</v>
      </c>
      <c r="E136" s="839" t="s">
        <v>2245</v>
      </c>
      <c r="F136" s="831"/>
      <c r="G136" s="829">
        <v>1.73</v>
      </c>
      <c r="H136" s="832">
        <f>-G135*G136*F135</f>
        <v>-1.73</v>
      </c>
      <c r="I136" s="833"/>
    </row>
    <row r="137" spans="1:9">
      <c r="A137" s="818"/>
      <c r="B137" s="831"/>
      <c r="C137" s="829"/>
      <c r="D137" s="832"/>
      <c r="E137" s="833"/>
      <c r="F137" s="831"/>
      <c r="G137" s="829"/>
      <c r="H137" s="832"/>
      <c r="I137" s="833"/>
    </row>
    <row r="138" spans="1:9">
      <c r="A138" s="818"/>
      <c r="B138" s="831"/>
      <c r="C138" s="829"/>
      <c r="D138" s="832"/>
      <c r="E138" s="833" t="s">
        <v>122</v>
      </c>
      <c r="F138" s="831">
        <v>5</v>
      </c>
      <c r="G138" s="829">
        <v>0.9</v>
      </c>
      <c r="H138" s="832"/>
      <c r="I138" s="833" t="s">
        <v>233</v>
      </c>
    </row>
    <row r="139" spans="1:9">
      <c r="A139" s="818"/>
      <c r="B139" s="831">
        <v>4</v>
      </c>
      <c r="C139" s="829">
        <v>6.47</v>
      </c>
      <c r="D139" s="832"/>
      <c r="E139" s="833"/>
      <c r="F139" s="831"/>
      <c r="G139" s="829">
        <v>2.73</v>
      </c>
      <c r="H139" s="832">
        <f>-G138*G139*F138</f>
        <v>-12.285</v>
      </c>
      <c r="I139" s="833"/>
    </row>
    <row r="140" spans="1:9">
      <c r="A140" s="818"/>
      <c r="B140" s="831"/>
      <c r="C140" s="829"/>
      <c r="D140" s="832">
        <f>B139*C139</f>
        <v>25.88</v>
      </c>
      <c r="E140" s="833"/>
      <c r="F140" s="831"/>
      <c r="G140" s="829"/>
      <c r="H140" s="832"/>
      <c r="I140" s="833"/>
    </row>
    <row r="141" spans="1:9">
      <c r="A141" s="818"/>
      <c r="B141" s="831"/>
      <c r="C141" s="829"/>
      <c r="D141" s="832"/>
      <c r="E141" s="833"/>
      <c r="F141" s="831">
        <v>1</v>
      </c>
      <c r="G141" s="829">
        <v>1.2</v>
      </c>
      <c r="H141" s="832"/>
      <c r="I141" s="833" t="s">
        <v>423</v>
      </c>
    </row>
    <row r="142" spans="1:9">
      <c r="A142" s="818"/>
      <c r="B142" s="831">
        <v>2</v>
      </c>
      <c r="C142" s="829">
        <v>24.5</v>
      </c>
      <c r="D142" s="832"/>
      <c r="E142" s="833"/>
      <c r="F142" s="831"/>
      <c r="G142" s="829">
        <v>2.73</v>
      </c>
      <c r="H142" s="832">
        <f>-G141*G142*F141</f>
        <v>-3.2759999999999998</v>
      </c>
      <c r="I142" s="833"/>
    </row>
    <row r="143" spans="1:9">
      <c r="A143" s="818"/>
      <c r="B143" s="831"/>
      <c r="C143" s="829"/>
      <c r="D143" s="832">
        <f>B142*C142</f>
        <v>49</v>
      </c>
      <c r="E143" s="833"/>
      <c r="F143" s="831"/>
      <c r="G143" s="829"/>
      <c r="H143" s="832"/>
      <c r="I143" s="833"/>
    </row>
    <row r="144" spans="1:9">
      <c r="A144" s="818"/>
      <c r="B144" s="831"/>
      <c r="C144" s="829"/>
      <c r="D144" s="832"/>
      <c r="E144" s="833"/>
      <c r="F144" s="831">
        <v>1</v>
      </c>
      <c r="G144" s="829">
        <v>1.63</v>
      </c>
      <c r="H144" s="832"/>
      <c r="I144" s="833" t="s">
        <v>62</v>
      </c>
    </row>
    <row r="145" spans="1:9">
      <c r="A145" s="818"/>
      <c r="B145" s="839"/>
      <c r="C145" s="935"/>
      <c r="D145" s="838">
        <f>SUM(D140:D144)</f>
        <v>74.88</v>
      </c>
      <c r="E145" s="839" t="s">
        <v>2246</v>
      </c>
      <c r="F145" s="831"/>
      <c r="G145" s="829">
        <v>1.75</v>
      </c>
      <c r="H145" s="832">
        <f>-G144*G145*F144</f>
        <v>-2.8525</v>
      </c>
      <c r="I145" s="833"/>
    </row>
    <row r="146" spans="1:9">
      <c r="A146" s="818"/>
      <c r="B146" s="831"/>
      <c r="C146" s="829"/>
      <c r="D146" s="832"/>
      <c r="E146" s="833"/>
      <c r="F146" s="831"/>
      <c r="G146" s="829"/>
      <c r="H146" s="832"/>
      <c r="I146" s="833"/>
    </row>
    <row r="147" spans="1:9">
      <c r="A147" s="818"/>
      <c r="B147" s="831"/>
      <c r="C147" s="829"/>
      <c r="D147" s="832"/>
      <c r="E147" s="833" t="s">
        <v>126</v>
      </c>
      <c r="F147" s="831">
        <v>1</v>
      </c>
      <c r="G147" s="829">
        <v>22.1</v>
      </c>
      <c r="H147" s="832"/>
      <c r="I147" s="833" t="s">
        <v>768</v>
      </c>
    </row>
    <row r="148" spans="1:9">
      <c r="A148" s="818"/>
      <c r="B148" s="831">
        <v>2</v>
      </c>
      <c r="C148" s="829">
        <v>1</v>
      </c>
      <c r="D148" s="832"/>
      <c r="E148" s="833"/>
      <c r="F148" s="831"/>
      <c r="G148" s="829">
        <v>2.73</v>
      </c>
      <c r="H148" s="832">
        <f>G147*G148*F147</f>
        <v>60.333000000000006</v>
      </c>
      <c r="I148" s="833"/>
    </row>
    <row r="149" spans="1:9">
      <c r="A149" s="818"/>
      <c r="B149" s="839"/>
      <c r="C149" s="935"/>
      <c r="D149" s="838">
        <f>B148*C148</f>
        <v>2</v>
      </c>
      <c r="E149" s="839" t="s">
        <v>2881</v>
      </c>
      <c r="F149" s="831"/>
      <c r="G149" s="829"/>
      <c r="H149" s="832"/>
      <c r="I149" s="833"/>
    </row>
    <row r="150" spans="1:9">
      <c r="A150" s="818"/>
      <c r="B150" s="435"/>
      <c r="C150" s="435"/>
      <c r="D150" s="435"/>
      <c r="E150" s="435"/>
      <c r="F150" s="831">
        <v>6</v>
      </c>
      <c r="G150" s="829">
        <v>1.5</v>
      </c>
      <c r="H150" s="832"/>
      <c r="I150" s="833" t="s">
        <v>464</v>
      </c>
    </row>
    <row r="151" spans="1:9">
      <c r="A151" s="818"/>
      <c r="B151" s="831"/>
      <c r="C151" s="829"/>
      <c r="D151" s="832"/>
      <c r="E151" s="833" t="s">
        <v>128</v>
      </c>
      <c r="F151" s="831"/>
      <c r="G151" s="829">
        <v>1.73</v>
      </c>
      <c r="H151" s="832">
        <f>-G150*G151*F150</f>
        <v>-15.569999999999999</v>
      </c>
      <c r="I151" s="833"/>
    </row>
    <row r="152" spans="1:9">
      <c r="A152" s="818"/>
      <c r="B152" s="831">
        <v>1</v>
      </c>
      <c r="C152" s="829">
        <v>1</v>
      </c>
      <c r="D152" s="832"/>
      <c r="E152" s="833"/>
      <c r="F152" s="831"/>
      <c r="G152" s="829"/>
      <c r="H152" s="832"/>
      <c r="I152" s="833"/>
    </row>
    <row r="153" spans="1:9">
      <c r="A153" s="818"/>
      <c r="B153" s="839"/>
      <c r="C153" s="935"/>
      <c r="D153" s="838">
        <f>B152*C152</f>
        <v>1</v>
      </c>
      <c r="E153" s="839" t="s">
        <v>2882</v>
      </c>
      <c r="F153" s="831">
        <v>1</v>
      </c>
      <c r="G153" s="829">
        <v>1.3</v>
      </c>
      <c r="H153" s="832"/>
      <c r="I153" s="833" t="s">
        <v>747</v>
      </c>
    </row>
    <row r="154" spans="1:9">
      <c r="A154" s="818"/>
      <c r="B154" s="435"/>
      <c r="C154" s="435"/>
      <c r="D154" s="435"/>
      <c r="E154" s="435"/>
      <c r="F154" s="831"/>
      <c r="G154" s="829">
        <v>1.73</v>
      </c>
      <c r="H154" s="832">
        <f>-G153*G154*F153</f>
        <v>-2.2490000000000001</v>
      </c>
      <c r="I154" s="833"/>
    </row>
    <row r="155" spans="1:9">
      <c r="A155" s="818"/>
      <c r="B155" s="831"/>
      <c r="C155" s="829"/>
      <c r="D155" s="832"/>
      <c r="E155" s="833" t="s">
        <v>2519</v>
      </c>
      <c r="F155" s="831"/>
      <c r="G155" s="829"/>
      <c r="H155" s="832"/>
      <c r="I155" s="833"/>
    </row>
    <row r="156" spans="1:9">
      <c r="A156" s="818"/>
      <c r="B156" s="831">
        <v>2</v>
      </c>
      <c r="C156" s="829">
        <v>1</v>
      </c>
      <c r="D156" s="832"/>
      <c r="E156" s="833"/>
      <c r="F156" s="831">
        <v>1</v>
      </c>
      <c r="G156" s="829">
        <v>4.25</v>
      </c>
      <c r="H156" s="832"/>
      <c r="I156" s="833" t="s">
        <v>755</v>
      </c>
    </row>
    <row r="157" spans="1:9">
      <c r="A157" s="818"/>
      <c r="B157" s="839"/>
      <c r="C157" s="935"/>
      <c r="D157" s="838">
        <f>B156*C156</f>
        <v>2</v>
      </c>
      <c r="E157" s="839" t="s">
        <v>2883</v>
      </c>
      <c r="F157" s="831"/>
      <c r="G157" s="829">
        <v>0.6</v>
      </c>
      <c r="H157" s="832">
        <f>-G156*G157*F156</f>
        <v>-2.5499999999999998</v>
      </c>
      <c r="I157" s="833"/>
    </row>
    <row r="158" spans="1:9">
      <c r="A158" s="818"/>
      <c r="B158" s="435"/>
      <c r="C158" s="435"/>
      <c r="D158" s="435"/>
      <c r="E158" s="435"/>
      <c r="F158" s="831"/>
      <c r="G158" s="829"/>
      <c r="H158" s="832"/>
      <c r="I158" s="833"/>
    </row>
    <row r="159" spans="1:9">
      <c r="A159" s="818"/>
      <c r="B159" s="831"/>
      <c r="C159" s="829"/>
      <c r="D159" s="832"/>
      <c r="E159" s="833"/>
      <c r="F159" s="831">
        <v>1</v>
      </c>
      <c r="G159" s="829">
        <v>1.25</v>
      </c>
      <c r="H159" s="832"/>
      <c r="I159" s="833" t="s">
        <v>362</v>
      </c>
    </row>
    <row r="160" spans="1:9">
      <c r="A160" s="818"/>
      <c r="B160" s="831"/>
      <c r="C160" s="829"/>
      <c r="D160" s="832"/>
      <c r="E160" s="833"/>
      <c r="F160" s="831"/>
      <c r="G160" s="829">
        <v>0.6</v>
      </c>
      <c r="H160" s="832">
        <f>-G159*G160*F159</f>
        <v>-0.75</v>
      </c>
      <c r="I160" s="833"/>
    </row>
    <row r="161" spans="1:9">
      <c r="A161" s="818"/>
      <c r="B161" s="839"/>
      <c r="C161" s="935"/>
      <c r="D161" s="838"/>
      <c r="E161" s="839"/>
      <c r="F161" s="831"/>
      <c r="G161" s="829"/>
      <c r="H161" s="832"/>
      <c r="I161" s="833"/>
    </row>
    <row r="162" spans="1:9">
      <c r="A162" s="818"/>
      <c r="B162" s="831"/>
      <c r="C162" s="829"/>
      <c r="D162" s="832"/>
      <c r="E162" s="844" t="s">
        <v>135</v>
      </c>
      <c r="F162" s="831">
        <v>1</v>
      </c>
      <c r="G162" s="829">
        <v>10.55</v>
      </c>
      <c r="H162" s="832"/>
      <c r="I162" s="833" t="s">
        <v>772</v>
      </c>
    </row>
    <row r="163" spans="1:9">
      <c r="A163" s="818"/>
      <c r="B163" s="831"/>
      <c r="C163" s="829"/>
      <c r="D163" s="832"/>
      <c r="E163" s="833" t="s">
        <v>843</v>
      </c>
      <c r="F163" s="831"/>
      <c r="G163" s="829">
        <v>2.73</v>
      </c>
      <c r="H163" s="832">
        <f>G162*G163*F162</f>
        <v>28.801500000000001</v>
      </c>
      <c r="I163" s="833"/>
    </row>
    <row r="164" spans="1:9">
      <c r="A164" s="818"/>
      <c r="B164" s="831">
        <v>9</v>
      </c>
      <c r="C164" s="829">
        <v>1</v>
      </c>
      <c r="D164" s="832"/>
      <c r="E164" s="833"/>
      <c r="F164" s="831"/>
      <c r="G164" s="829"/>
      <c r="H164" s="832"/>
      <c r="I164" s="833"/>
    </row>
    <row r="165" spans="1:9">
      <c r="A165" s="818"/>
      <c r="B165" s="839"/>
      <c r="C165" s="935"/>
      <c r="D165" s="838">
        <v>9</v>
      </c>
      <c r="E165" s="839" t="s">
        <v>2884</v>
      </c>
      <c r="F165" s="831">
        <v>1</v>
      </c>
      <c r="G165" s="829">
        <v>6.35</v>
      </c>
      <c r="H165" s="832"/>
      <c r="I165" s="833" t="s">
        <v>773</v>
      </c>
    </row>
    <row r="166" spans="1:9">
      <c r="A166" s="818"/>
      <c r="B166" s="435"/>
      <c r="C166" s="435"/>
      <c r="D166" s="435"/>
      <c r="E166" s="435"/>
      <c r="F166" s="831"/>
      <c r="G166" s="829">
        <v>2.73</v>
      </c>
      <c r="H166" s="832">
        <f>G165*G166*F165</f>
        <v>17.3355</v>
      </c>
      <c r="I166" s="833"/>
    </row>
    <row r="167" spans="1:9">
      <c r="A167" s="818"/>
      <c r="B167" s="831"/>
      <c r="C167" s="829"/>
      <c r="D167" s="832"/>
      <c r="E167" s="833" t="s">
        <v>1252</v>
      </c>
      <c r="F167" s="831"/>
      <c r="G167" s="829"/>
      <c r="H167" s="832"/>
      <c r="I167" s="833"/>
    </row>
    <row r="168" spans="1:9">
      <c r="A168" s="818"/>
      <c r="B168" s="831">
        <v>2</v>
      </c>
      <c r="C168" s="829">
        <v>1</v>
      </c>
      <c r="D168" s="832"/>
      <c r="E168" s="833"/>
      <c r="F168" s="831">
        <v>1</v>
      </c>
      <c r="G168" s="829">
        <v>4</v>
      </c>
      <c r="H168" s="832"/>
      <c r="I168" s="833" t="s">
        <v>773</v>
      </c>
    </row>
    <row r="169" spans="1:9">
      <c r="A169" s="818"/>
      <c r="B169" s="839"/>
      <c r="C169" s="935"/>
      <c r="D169" s="838">
        <f>B168*C168</f>
        <v>2</v>
      </c>
      <c r="E169" s="839" t="s">
        <v>2885</v>
      </c>
      <c r="F169" s="831"/>
      <c r="G169" s="829">
        <v>1</v>
      </c>
      <c r="H169" s="832">
        <f>G168*G169*F168</f>
        <v>4</v>
      </c>
      <c r="I169" s="833"/>
    </row>
    <row r="170" spans="1:9">
      <c r="A170" s="818"/>
      <c r="B170" s="435"/>
      <c r="C170" s="435"/>
      <c r="D170" s="435"/>
      <c r="E170" s="435"/>
      <c r="F170" s="831"/>
      <c r="G170" s="829"/>
      <c r="H170" s="832"/>
      <c r="I170" s="833"/>
    </row>
    <row r="171" spans="1:9">
      <c r="A171" s="818"/>
      <c r="B171" s="831"/>
      <c r="C171" s="829"/>
      <c r="D171" s="832"/>
      <c r="E171" s="833" t="s">
        <v>2520</v>
      </c>
      <c r="F171" s="831">
        <v>2</v>
      </c>
      <c r="G171" s="829">
        <v>1.4</v>
      </c>
      <c r="H171" s="832"/>
      <c r="I171" s="833" t="s">
        <v>745</v>
      </c>
    </row>
    <row r="172" spans="1:9">
      <c r="A172" s="818"/>
      <c r="B172" s="831">
        <v>1</v>
      </c>
      <c r="C172" s="829">
        <v>1</v>
      </c>
      <c r="D172" s="832"/>
      <c r="E172" s="833"/>
      <c r="F172" s="831"/>
      <c r="G172" s="829">
        <v>2.73</v>
      </c>
      <c r="H172" s="832">
        <f>-G171*G172*F171</f>
        <v>-7.6439999999999992</v>
      </c>
      <c r="I172" s="833"/>
    </row>
    <row r="173" spans="1:9">
      <c r="A173" s="818"/>
      <c r="B173" s="839"/>
      <c r="C173" s="935"/>
      <c r="D173" s="838">
        <f>B172*C172</f>
        <v>1</v>
      </c>
      <c r="E173" s="839" t="s">
        <v>2886</v>
      </c>
      <c r="F173" s="831"/>
      <c r="G173" s="829"/>
      <c r="H173" s="832"/>
      <c r="I173" s="833"/>
    </row>
    <row r="174" spans="1:9">
      <c r="A174" s="818"/>
      <c r="B174" s="831"/>
      <c r="C174" s="829"/>
      <c r="D174" s="832"/>
      <c r="E174" s="833"/>
      <c r="F174" s="831">
        <v>2</v>
      </c>
      <c r="G174" s="829">
        <v>11.35</v>
      </c>
      <c r="H174" s="832"/>
      <c r="I174" s="833" t="s">
        <v>417</v>
      </c>
    </row>
    <row r="175" spans="1:9">
      <c r="A175" s="818"/>
      <c r="B175" s="831"/>
      <c r="C175" s="829"/>
      <c r="D175" s="832"/>
      <c r="E175" s="833" t="s">
        <v>2521</v>
      </c>
      <c r="F175" s="831"/>
      <c r="G175" s="829">
        <v>1.05</v>
      </c>
      <c r="H175" s="832">
        <f>G174*G175*F174</f>
        <v>23.835000000000001</v>
      </c>
      <c r="I175" s="833"/>
    </row>
    <row r="176" spans="1:9">
      <c r="A176" s="818"/>
      <c r="B176" s="831">
        <v>2</v>
      </c>
      <c r="C176" s="829">
        <v>1</v>
      </c>
      <c r="D176" s="832"/>
      <c r="E176" s="833"/>
      <c r="F176" s="831"/>
      <c r="G176" s="829"/>
      <c r="H176" s="832"/>
      <c r="I176" s="833"/>
    </row>
    <row r="177" spans="1:10">
      <c r="A177" s="818"/>
      <c r="B177" s="839"/>
      <c r="C177" s="935"/>
      <c r="D177" s="838">
        <f>B176*C176</f>
        <v>2</v>
      </c>
      <c r="E177" s="839" t="s">
        <v>2887</v>
      </c>
      <c r="F177" s="839"/>
      <c r="G177" s="935"/>
      <c r="H177" s="838">
        <f>SUM(H127:H175)</f>
        <v>135.69750000000002</v>
      </c>
      <c r="I177" s="839" t="s">
        <v>2182</v>
      </c>
    </row>
    <row r="178" spans="1:10">
      <c r="A178" s="818"/>
      <c r="B178" s="831"/>
      <c r="C178" s="829"/>
      <c r="D178" s="832"/>
      <c r="E178" s="833"/>
      <c r="F178" s="831"/>
      <c r="G178" s="829"/>
      <c r="H178" s="832"/>
      <c r="I178" s="833"/>
    </row>
    <row r="179" spans="1:10">
      <c r="A179" s="818"/>
      <c r="B179" s="831"/>
      <c r="C179" s="829"/>
      <c r="D179" s="832"/>
      <c r="E179" s="833" t="s">
        <v>2522</v>
      </c>
      <c r="F179" s="831"/>
      <c r="G179" s="829"/>
      <c r="H179" s="832"/>
      <c r="I179" s="833"/>
    </row>
    <row r="180" spans="1:10">
      <c r="A180" s="818"/>
      <c r="B180" s="831">
        <v>5</v>
      </c>
      <c r="C180" s="829">
        <v>1</v>
      </c>
      <c r="D180" s="832"/>
      <c r="E180" s="833"/>
      <c r="F180" s="1022"/>
      <c r="G180" s="848"/>
      <c r="H180" s="843"/>
      <c r="I180" s="435"/>
    </row>
    <row r="181" spans="1:10">
      <c r="A181" s="818"/>
      <c r="B181" s="857"/>
      <c r="C181" s="970"/>
      <c r="D181" s="858">
        <f>B180*C180</f>
        <v>5</v>
      </c>
      <c r="E181" s="839" t="s">
        <v>2888</v>
      </c>
      <c r="F181" s="860"/>
      <c r="G181" s="927"/>
      <c r="H181" s="928"/>
      <c r="I181" s="109"/>
    </row>
    <row r="182" spans="1:10">
      <c r="A182" s="828"/>
      <c r="B182" s="853" t="s">
        <v>1884</v>
      </c>
      <c r="C182" s="854" t="s">
        <v>526</v>
      </c>
      <c r="D182" s="855" t="s">
        <v>1885</v>
      </c>
      <c r="E182" s="854" t="s">
        <v>1886</v>
      </c>
      <c r="F182" s="853" t="s">
        <v>1884</v>
      </c>
      <c r="G182" s="854" t="s">
        <v>526</v>
      </c>
      <c r="H182" s="855" t="s">
        <v>1885</v>
      </c>
      <c r="I182" s="854" t="s">
        <v>1886</v>
      </c>
      <c r="J182" s="828"/>
    </row>
    <row r="183" spans="1:10">
      <c r="A183" s="818"/>
      <c r="B183" s="831"/>
      <c r="C183" s="829"/>
      <c r="D183" s="832"/>
      <c r="E183" s="844" t="s">
        <v>358</v>
      </c>
      <c r="F183" s="831">
        <v>2</v>
      </c>
      <c r="G183" s="829">
        <v>1.4</v>
      </c>
      <c r="H183" s="832"/>
      <c r="I183" s="833" t="s">
        <v>745</v>
      </c>
    </row>
    <row r="184" spans="1:10">
      <c r="A184" s="818"/>
      <c r="B184" s="831"/>
      <c r="C184" s="829"/>
      <c r="D184" s="832"/>
      <c r="E184" s="844" t="s">
        <v>2523</v>
      </c>
      <c r="F184" s="831"/>
      <c r="G184" s="829">
        <v>2.73</v>
      </c>
      <c r="H184" s="832">
        <f>-G183*G184*F183</f>
        <v>-7.6439999999999992</v>
      </c>
      <c r="I184" s="833"/>
    </row>
    <row r="185" spans="1:10">
      <c r="A185" s="818"/>
      <c r="B185" s="831">
        <v>1</v>
      </c>
      <c r="C185" s="829">
        <v>6.15</v>
      </c>
      <c r="D185" s="832"/>
      <c r="E185" s="833" t="s">
        <v>778</v>
      </c>
      <c r="F185" s="831"/>
      <c r="G185" s="829"/>
      <c r="H185" s="832"/>
      <c r="I185" s="833"/>
    </row>
    <row r="186" spans="1:10">
      <c r="A186" s="818"/>
      <c r="B186" s="831"/>
      <c r="C186" s="829">
        <v>1</v>
      </c>
      <c r="D186" s="832">
        <f>C185*C186*B185</f>
        <v>6.15</v>
      </c>
      <c r="E186" s="833" t="s">
        <v>779</v>
      </c>
      <c r="F186" s="831">
        <v>2</v>
      </c>
      <c r="G186" s="829">
        <v>1.2</v>
      </c>
      <c r="H186" s="832"/>
      <c r="I186" s="833" t="s">
        <v>423</v>
      </c>
    </row>
    <row r="187" spans="1:10">
      <c r="A187" s="818"/>
      <c r="B187" s="831"/>
      <c r="C187" s="829"/>
      <c r="D187" s="832"/>
      <c r="E187" s="833"/>
      <c r="F187" s="831"/>
      <c r="G187" s="829">
        <v>2.73</v>
      </c>
      <c r="H187" s="832">
        <f>-G186*G187*F186</f>
        <v>-6.5519999999999996</v>
      </c>
      <c r="I187" s="833"/>
    </row>
    <row r="188" spans="1:10">
      <c r="A188" s="818"/>
      <c r="B188" s="831">
        <v>1</v>
      </c>
      <c r="C188" s="829">
        <v>4.4000000000000004</v>
      </c>
      <c r="D188" s="832"/>
      <c r="E188" s="833" t="s">
        <v>121</v>
      </c>
      <c r="F188" s="831"/>
      <c r="G188" s="829"/>
      <c r="H188" s="832"/>
      <c r="I188" s="833"/>
    </row>
    <row r="189" spans="1:10">
      <c r="A189" s="818"/>
      <c r="B189" s="831"/>
      <c r="C189" s="829">
        <v>3.06</v>
      </c>
      <c r="D189" s="832">
        <f>C188*C189*B188</f>
        <v>13.464000000000002</v>
      </c>
      <c r="E189" s="833"/>
      <c r="F189" s="831">
        <v>4</v>
      </c>
      <c r="G189" s="829">
        <v>1</v>
      </c>
      <c r="H189" s="832"/>
      <c r="I189" s="833" t="s">
        <v>247</v>
      </c>
    </row>
    <row r="190" spans="1:10">
      <c r="A190" s="818"/>
      <c r="B190" s="831"/>
      <c r="C190" s="829"/>
      <c r="D190" s="832"/>
      <c r="E190" s="833"/>
      <c r="F190" s="831"/>
      <c r="G190" s="829">
        <v>2.73</v>
      </c>
      <c r="H190" s="832">
        <f>-G189*G190*F189</f>
        <v>-10.92</v>
      </c>
      <c r="I190" s="833"/>
    </row>
    <row r="191" spans="1:10">
      <c r="A191" s="818"/>
      <c r="B191" s="831">
        <v>1</v>
      </c>
      <c r="C191" s="829">
        <v>13.9</v>
      </c>
      <c r="D191" s="832"/>
      <c r="E191" s="833" t="s">
        <v>780</v>
      </c>
      <c r="F191" s="831"/>
      <c r="G191" s="829"/>
      <c r="H191" s="832"/>
      <c r="I191" s="833"/>
    </row>
    <row r="192" spans="1:10">
      <c r="A192" s="818"/>
      <c r="B192" s="831"/>
      <c r="C192" s="829">
        <v>3.06</v>
      </c>
      <c r="D192" s="832">
        <f>C191*C192*B191</f>
        <v>42.533999999999999</v>
      </c>
      <c r="E192" s="833" t="s">
        <v>770</v>
      </c>
      <c r="F192" s="831">
        <v>2</v>
      </c>
      <c r="G192" s="829">
        <v>0.9</v>
      </c>
      <c r="H192" s="832"/>
      <c r="I192" s="833" t="s">
        <v>784</v>
      </c>
    </row>
    <row r="193" spans="1:9">
      <c r="A193" s="818"/>
      <c r="B193" s="831"/>
      <c r="C193" s="829"/>
      <c r="D193" s="832"/>
      <c r="E193" s="833"/>
      <c r="F193" s="831"/>
      <c r="G193" s="829">
        <v>2.73</v>
      </c>
      <c r="H193" s="832">
        <f>-G192*G193*F192</f>
        <v>-4.9139999999999997</v>
      </c>
      <c r="I193" s="833"/>
    </row>
    <row r="194" spans="1:9">
      <c r="A194" s="818"/>
      <c r="B194" s="831">
        <v>1</v>
      </c>
      <c r="C194" s="829">
        <v>0.9</v>
      </c>
      <c r="D194" s="832"/>
      <c r="E194" s="833" t="s">
        <v>233</v>
      </c>
      <c r="F194" s="831"/>
      <c r="G194" s="829"/>
      <c r="H194" s="832"/>
      <c r="I194" s="833"/>
    </row>
    <row r="195" spans="1:9">
      <c r="A195" s="818"/>
      <c r="B195" s="831"/>
      <c r="C195" s="829">
        <v>2.73</v>
      </c>
      <c r="D195" s="832">
        <f>-C194*C195*B194</f>
        <v>-2.4569999999999999</v>
      </c>
      <c r="E195" s="833"/>
      <c r="F195" s="831">
        <v>1</v>
      </c>
      <c r="G195" s="829">
        <v>2.95</v>
      </c>
      <c r="H195" s="832"/>
      <c r="I195" s="833" t="s">
        <v>62</v>
      </c>
    </row>
    <row r="196" spans="1:9">
      <c r="A196" s="818"/>
      <c r="B196" s="831"/>
      <c r="C196" s="829"/>
      <c r="D196" s="832"/>
      <c r="E196" s="833"/>
      <c r="F196" s="831"/>
      <c r="G196" s="829">
        <v>2.73</v>
      </c>
      <c r="H196" s="832">
        <f>-G195*G196*F195</f>
        <v>-8.0534999999999997</v>
      </c>
      <c r="I196" s="833"/>
    </row>
    <row r="197" spans="1:9">
      <c r="A197" s="818"/>
      <c r="B197" s="831">
        <v>1</v>
      </c>
      <c r="C197" s="829">
        <v>1.5</v>
      </c>
      <c r="D197" s="832"/>
      <c r="E197" s="833" t="s">
        <v>464</v>
      </c>
      <c r="F197" s="831"/>
      <c r="G197" s="829"/>
      <c r="H197" s="832"/>
      <c r="I197" s="833"/>
    </row>
    <row r="198" spans="1:9">
      <c r="A198" s="818"/>
      <c r="B198" s="831"/>
      <c r="C198" s="829">
        <v>1.73</v>
      </c>
      <c r="D198" s="832">
        <f>-C197*C198*B197</f>
        <v>-2.5949999999999998</v>
      </c>
      <c r="E198" s="833"/>
      <c r="F198" s="831">
        <v>1</v>
      </c>
      <c r="G198" s="829">
        <v>20</v>
      </c>
      <c r="H198" s="832"/>
      <c r="I198" s="833" t="s">
        <v>786</v>
      </c>
    </row>
    <row r="199" spans="1:9">
      <c r="A199" s="818"/>
      <c r="B199" s="831"/>
      <c r="C199" s="829"/>
      <c r="D199" s="832"/>
      <c r="E199" s="833"/>
      <c r="F199" s="831"/>
      <c r="G199" s="829">
        <v>3.06</v>
      </c>
      <c r="H199" s="832">
        <f>G198*G199*F198</f>
        <v>61.2</v>
      </c>
      <c r="I199" s="833" t="s">
        <v>787</v>
      </c>
    </row>
    <row r="200" spans="1:9">
      <c r="A200" s="818"/>
      <c r="B200" s="831">
        <v>1</v>
      </c>
      <c r="C200" s="829">
        <v>13.9</v>
      </c>
      <c r="D200" s="832"/>
      <c r="E200" s="833" t="s">
        <v>769</v>
      </c>
      <c r="F200" s="831"/>
      <c r="G200" s="829"/>
      <c r="H200" s="832"/>
      <c r="I200" s="833"/>
    </row>
    <row r="201" spans="1:9">
      <c r="A201" s="818"/>
      <c r="B201" s="831"/>
      <c r="C201" s="829">
        <v>3.06</v>
      </c>
      <c r="D201" s="832">
        <f>C200*C201*B200</f>
        <v>42.533999999999999</v>
      </c>
      <c r="E201" s="833" t="s">
        <v>770</v>
      </c>
      <c r="F201" s="831">
        <v>2</v>
      </c>
      <c r="G201" s="829">
        <v>1.5</v>
      </c>
      <c r="H201" s="832"/>
      <c r="I201" s="833" t="s">
        <v>464</v>
      </c>
    </row>
    <row r="202" spans="1:9">
      <c r="A202" s="818"/>
      <c r="B202" s="831"/>
      <c r="C202" s="829"/>
      <c r="D202" s="832"/>
      <c r="E202" s="833"/>
      <c r="F202" s="831"/>
      <c r="G202" s="829">
        <v>1.73</v>
      </c>
      <c r="H202" s="832">
        <f>-G201*G202*F201</f>
        <v>-5.1899999999999995</v>
      </c>
      <c r="I202" s="833"/>
    </row>
    <row r="203" spans="1:9">
      <c r="A203" s="818"/>
      <c r="B203" s="831">
        <v>2</v>
      </c>
      <c r="C203" s="829">
        <v>0.9</v>
      </c>
      <c r="D203" s="832"/>
      <c r="E203" s="833" t="s">
        <v>628</v>
      </c>
      <c r="F203" s="831"/>
      <c r="G203" s="829"/>
      <c r="H203" s="832"/>
      <c r="I203" s="833"/>
    </row>
    <row r="204" spans="1:9">
      <c r="A204" s="818"/>
      <c r="B204" s="831"/>
      <c r="C204" s="829">
        <v>2.73</v>
      </c>
      <c r="D204" s="832">
        <f>-C203*C204*B203</f>
        <v>-4.9139999999999997</v>
      </c>
      <c r="E204" s="833"/>
      <c r="F204" s="831">
        <v>1</v>
      </c>
      <c r="G204" s="829">
        <v>1.2</v>
      </c>
      <c r="H204" s="832"/>
      <c r="I204" s="833" t="s">
        <v>423</v>
      </c>
    </row>
    <row r="205" spans="1:9">
      <c r="A205" s="818"/>
      <c r="B205" s="831"/>
      <c r="C205" s="829"/>
      <c r="D205" s="832"/>
      <c r="E205" s="833"/>
      <c r="F205" s="831"/>
      <c r="G205" s="829">
        <v>2.73</v>
      </c>
      <c r="H205" s="832">
        <f>-G204*G205*F204</f>
        <v>-3.2759999999999998</v>
      </c>
      <c r="I205" s="833"/>
    </row>
    <row r="206" spans="1:9">
      <c r="A206" s="818"/>
      <c r="B206" s="831">
        <v>1</v>
      </c>
      <c r="C206" s="829">
        <v>1.3</v>
      </c>
      <c r="D206" s="832"/>
      <c r="E206" s="833" t="s">
        <v>748</v>
      </c>
      <c r="F206" s="831"/>
      <c r="G206" s="829"/>
      <c r="H206" s="832"/>
      <c r="I206" s="833"/>
    </row>
    <row r="207" spans="1:9">
      <c r="A207" s="818"/>
      <c r="B207" s="831"/>
      <c r="C207" s="829">
        <v>1.73</v>
      </c>
      <c r="D207" s="832">
        <f>-C206*C207*B206</f>
        <v>-2.2490000000000001</v>
      </c>
      <c r="E207" s="833"/>
      <c r="F207" s="831">
        <v>1</v>
      </c>
      <c r="G207" s="829">
        <v>22.9</v>
      </c>
      <c r="H207" s="832"/>
      <c r="I207" s="833" t="s">
        <v>789</v>
      </c>
    </row>
    <row r="208" spans="1:9">
      <c r="A208" s="818"/>
      <c r="B208" s="831"/>
      <c r="C208" s="829"/>
      <c r="D208" s="832"/>
      <c r="E208" s="833"/>
      <c r="F208" s="831"/>
      <c r="G208" s="829">
        <v>3.06</v>
      </c>
      <c r="H208" s="832">
        <f>G207*G208*F207</f>
        <v>70.073999999999998</v>
      </c>
      <c r="I208" s="833" t="s">
        <v>790</v>
      </c>
    </row>
    <row r="209" spans="1:9">
      <c r="A209" s="818"/>
      <c r="B209" s="831">
        <v>1</v>
      </c>
      <c r="C209" s="829">
        <v>13.9</v>
      </c>
      <c r="D209" s="832"/>
      <c r="E209" s="833" t="s">
        <v>771</v>
      </c>
      <c r="F209" s="831"/>
      <c r="G209" s="829"/>
      <c r="H209" s="832"/>
      <c r="I209" s="833"/>
    </row>
    <row r="210" spans="1:9">
      <c r="A210" s="818"/>
      <c r="B210" s="831"/>
      <c r="C210" s="829">
        <v>3.06</v>
      </c>
      <c r="D210" s="832">
        <f>C209*C210*B209</f>
        <v>42.533999999999999</v>
      </c>
      <c r="E210" s="833" t="s">
        <v>770</v>
      </c>
      <c r="F210" s="831">
        <v>3</v>
      </c>
      <c r="G210" s="829">
        <v>1.5</v>
      </c>
      <c r="H210" s="832"/>
      <c r="I210" s="833" t="s">
        <v>464</v>
      </c>
    </row>
    <row r="211" spans="1:9">
      <c r="A211" s="818"/>
      <c r="B211" s="831"/>
      <c r="C211" s="829"/>
      <c r="D211" s="832"/>
      <c r="E211" s="833"/>
      <c r="F211" s="831"/>
      <c r="G211" s="829">
        <v>1.73</v>
      </c>
      <c r="H211" s="832">
        <f>-G210*G211*F210</f>
        <v>-7.7849999999999993</v>
      </c>
      <c r="I211" s="833"/>
    </row>
    <row r="212" spans="1:9">
      <c r="A212" s="818"/>
      <c r="B212" s="831">
        <v>2</v>
      </c>
      <c r="C212" s="829">
        <v>0.9</v>
      </c>
      <c r="D212" s="832"/>
      <c r="E212" s="833" t="s">
        <v>628</v>
      </c>
      <c r="F212" s="831"/>
      <c r="G212" s="829"/>
      <c r="H212" s="832"/>
      <c r="I212" s="833"/>
    </row>
    <row r="213" spans="1:9">
      <c r="A213" s="818"/>
      <c r="B213" s="831"/>
      <c r="C213" s="829">
        <v>2.73</v>
      </c>
      <c r="D213" s="832">
        <f>-C212*C213*B212</f>
        <v>-4.9139999999999997</v>
      </c>
      <c r="E213" s="833"/>
      <c r="F213" s="831">
        <v>1</v>
      </c>
      <c r="G213" s="829">
        <v>1.2</v>
      </c>
      <c r="H213" s="832"/>
      <c r="I213" s="833" t="s">
        <v>423</v>
      </c>
    </row>
    <row r="214" spans="1:9">
      <c r="A214" s="818"/>
      <c r="B214" s="831"/>
      <c r="C214" s="829"/>
      <c r="D214" s="832"/>
      <c r="E214" s="833"/>
      <c r="F214" s="831"/>
      <c r="G214" s="829">
        <v>2.73</v>
      </c>
      <c r="H214" s="832">
        <f>-G213*G214*F213</f>
        <v>-3.2759999999999998</v>
      </c>
      <c r="I214" s="833"/>
    </row>
    <row r="215" spans="1:9">
      <c r="A215" s="818"/>
      <c r="B215" s="831">
        <v>1</v>
      </c>
      <c r="C215" s="829">
        <v>1</v>
      </c>
      <c r="D215" s="832"/>
      <c r="E215" s="833" t="s">
        <v>748</v>
      </c>
      <c r="F215" s="831"/>
      <c r="G215" s="829"/>
      <c r="H215" s="832"/>
      <c r="I215" s="833"/>
    </row>
    <row r="216" spans="1:9">
      <c r="A216" s="818"/>
      <c r="B216" s="831"/>
      <c r="C216" s="829">
        <v>1.73</v>
      </c>
      <c r="D216" s="832">
        <f>-C215*C216*B215</f>
        <v>-1.73</v>
      </c>
      <c r="E216" s="833"/>
      <c r="F216" s="831">
        <v>1</v>
      </c>
      <c r="G216" s="829">
        <v>12.8</v>
      </c>
      <c r="H216" s="832"/>
      <c r="I216" s="833" t="s">
        <v>794</v>
      </c>
    </row>
    <row r="217" spans="1:9">
      <c r="A217" s="818"/>
      <c r="B217" s="831"/>
      <c r="C217" s="829"/>
      <c r="D217" s="832"/>
      <c r="E217" s="833" t="s">
        <v>774</v>
      </c>
      <c r="F217" s="831"/>
      <c r="G217" s="829">
        <v>3.06</v>
      </c>
      <c r="H217" s="832">
        <f>G216*G217*F216</f>
        <v>39.168000000000006</v>
      </c>
      <c r="I217" s="833" t="s">
        <v>796</v>
      </c>
    </row>
    <row r="218" spans="1:9">
      <c r="A218" s="818"/>
      <c r="B218" s="831">
        <v>1</v>
      </c>
      <c r="C218" s="829">
        <v>18.100000000000001</v>
      </c>
      <c r="D218" s="832"/>
      <c r="E218" s="833" t="s">
        <v>775</v>
      </c>
      <c r="F218" s="831"/>
      <c r="G218" s="829"/>
      <c r="H218" s="832"/>
      <c r="I218" s="833"/>
    </row>
    <row r="219" spans="1:9">
      <c r="A219" s="818"/>
      <c r="B219" s="831"/>
      <c r="C219" s="829">
        <v>3.06</v>
      </c>
      <c r="D219" s="832">
        <f>C218*C219*B218</f>
        <v>55.386000000000003</v>
      </c>
      <c r="E219" s="833"/>
      <c r="F219" s="831">
        <v>1</v>
      </c>
      <c r="G219" s="829">
        <v>0.8</v>
      </c>
      <c r="H219" s="832"/>
      <c r="I219" s="833" t="s">
        <v>797</v>
      </c>
    </row>
    <row r="220" spans="1:9">
      <c r="A220" s="818"/>
      <c r="B220" s="831"/>
      <c r="C220" s="829"/>
      <c r="D220" s="832"/>
      <c r="E220" s="833"/>
      <c r="F220" s="831"/>
      <c r="G220" s="829">
        <v>2.73</v>
      </c>
      <c r="H220" s="832">
        <f>-G219*G220*F219</f>
        <v>-2.1840000000000002</v>
      </c>
      <c r="I220" s="833"/>
    </row>
    <row r="221" spans="1:9">
      <c r="A221" s="818"/>
      <c r="B221" s="831">
        <v>2</v>
      </c>
      <c r="C221" s="829">
        <v>0.9</v>
      </c>
      <c r="D221" s="832"/>
      <c r="E221" s="833" t="s">
        <v>628</v>
      </c>
      <c r="F221" s="831"/>
      <c r="G221" s="829"/>
      <c r="H221" s="832"/>
      <c r="I221" s="833"/>
    </row>
    <row r="222" spans="1:9">
      <c r="A222" s="818"/>
      <c r="B222" s="831"/>
      <c r="C222" s="829">
        <v>2.73</v>
      </c>
      <c r="D222" s="832">
        <f>-C221*C222*B221</f>
        <v>-4.9139999999999997</v>
      </c>
      <c r="E222" s="833"/>
      <c r="F222" s="831">
        <v>1</v>
      </c>
      <c r="G222" s="829">
        <v>1.5</v>
      </c>
      <c r="H222" s="832"/>
      <c r="I222" s="833" t="s">
        <v>464</v>
      </c>
    </row>
    <row r="223" spans="1:9">
      <c r="A223" s="818"/>
      <c r="B223" s="831"/>
      <c r="C223" s="829"/>
      <c r="D223" s="832"/>
      <c r="E223" s="833"/>
      <c r="F223" s="831"/>
      <c r="G223" s="829">
        <v>1.73</v>
      </c>
      <c r="H223" s="832">
        <f>-G222*G223*F222</f>
        <v>-2.5949999999999998</v>
      </c>
      <c r="I223" s="833"/>
    </row>
    <row r="224" spans="1:9">
      <c r="A224" s="818"/>
      <c r="B224" s="831">
        <v>1</v>
      </c>
      <c r="C224" s="829">
        <v>1.5</v>
      </c>
      <c r="D224" s="832"/>
      <c r="E224" s="833" t="s">
        <v>464</v>
      </c>
      <c r="F224" s="831"/>
      <c r="G224" s="829"/>
      <c r="H224" s="832"/>
      <c r="I224" s="833" t="s">
        <v>782</v>
      </c>
    </row>
    <row r="225" spans="1:9">
      <c r="A225" s="818"/>
      <c r="B225" s="831"/>
      <c r="C225" s="829">
        <v>1.73</v>
      </c>
      <c r="D225" s="832">
        <f>-C224*C225*B224</f>
        <v>-2.5949999999999998</v>
      </c>
      <c r="E225" s="833"/>
      <c r="F225" s="831">
        <v>1</v>
      </c>
      <c r="G225" s="829">
        <v>5.2</v>
      </c>
      <c r="H225" s="832"/>
      <c r="I225" s="833" t="s">
        <v>798</v>
      </c>
    </row>
    <row r="226" spans="1:9">
      <c r="A226" s="818"/>
      <c r="B226" s="831"/>
      <c r="C226" s="829"/>
      <c r="D226" s="832"/>
      <c r="E226" s="833"/>
      <c r="F226" s="831"/>
      <c r="G226" s="829">
        <v>3.06</v>
      </c>
      <c r="H226" s="832">
        <f>G225*G226*F225</f>
        <v>15.912000000000001</v>
      </c>
      <c r="I226" s="833"/>
    </row>
    <row r="227" spans="1:9">
      <c r="A227" s="818"/>
      <c r="B227" s="831">
        <v>1</v>
      </c>
      <c r="C227" s="829">
        <v>18.100000000000001</v>
      </c>
      <c r="D227" s="832"/>
      <c r="E227" s="833" t="s">
        <v>776</v>
      </c>
      <c r="F227" s="831"/>
      <c r="G227" s="829"/>
      <c r="H227" s="832"/>
      <c r="I227" s="833"/>
    </row>
    <row r="228" spans="1:9">
      <c r="A228" s="818"/>
      <c r="B228" s="831"/>
      <c r="C228" s="829">
        <v>3.06</v>
      </c>
      <c r="D228" s="832">
        <f>C227*C228*B227</f>
        <v>55.386000000000003</v>
      </c>
      <c r="E228" s="833" t="s">
        <v>777</v>
      </c>
      <c r="F228" s="831">
        <v>1</v>
      </c>
      <c r="G228" s="829">
        <v>1</v>
      </c>
      <c r="H228" s="832"/>
      <c r="I228" s="833" t="s">
        <v>356</v>
      </c>
    </row>
    <row r="229" spans="1:9">
      <c r="A229" s="818"/>
      <c r="B229" s="831"/>
      <c r="C229" s="829"/>
      <c r="D229" s="832"/>
      <c r="E229" s="833"/>
      <c r="F229" s="831"/>
      <c r="G229" s="829">
        <v>2.73</v>
      </c>
      <c r="H229" s="832">
        <f>-G228*G229*F228</f>
        <v>-2.73</v>
      </c>
      <c r="I229" s="833"/>
    </row>
    <row r="230" spans="1:9">
      <c r="A230" s="818"/>
      <c r="B230" s="831">
        <v>2</v>
      </c>
      <c r="C230" s="829">
        <v>0.9</v>
      </c>
      <c r="D230" s="832"/>
      <c r="E230" s="833" t="s">
        <v>628</v>
      </c>
      <c r="F230" s="831"/>
      <c r="G230" s="829"/>
      <c r="H230" s="832"/>
      <c r="I230" s="833"/>
    </row>
    <row r="231" spans="1:9">
      <c r="A231" s="818"/>
      <c r="B231" s="831"/>
      <c r="C231" s="829">
        <v>2.73</v>
      </c>
      <c r="D231" s="832">
        <f>-C230*C231*B230</f>
        <v>-4.9139999999999997</v>
      </c>
      <c r="E231" s="833"/>
      <c r="F231" s="831">
        <v>1</v>
      </c>
      <c r="G231" s="829">
        <v>0.8</v>
      </c>
      <c r="H231" s="832"/>
      <c r="I231" s="833" t="s">
        <v>182</v>
      </c>
    </row>
    <row r="232" spans="1:9">
      <c r="A232" s="818"/>
      <c r="B232" s="831"/>
      <c r="C232" s="829"/>
      <c r="D232" s="832"/>
      <c r="E232" s="833"/>
      <c r="F232" s="831"/>
      <c r="G232" s="829">
        <v>2.73</v>
      </c>
      <c r="H232" s="832">
        <f>-G231*G232*F231</f>
        <v>-2.1840000000000002</v>
      </c>
      <c r="I232" s="833"/>
    </row>
    <row r="233" spans="1:9">
      <c r="A233" s="818"/>
      <c r="B233" s="831">
        <v>1</v>
      </c>
      <c r="C233" s="829">
        <v>1.5</v>
      </c>
      <c r="D233" s="832"/>
      <c r="E233" s="833" t="s">
        <v>464</v>
      </c>
      <c r="F233" s="831"/>
      <c r="G233" s="829"/>
      <c r="H233" s="832"/>
      <c r="I233" s="833"/>
    </row>
    <row r="234" spans="1:9">
      <c r="A234" s="818"/>
      <c r="B234" s="831"/>
      <c r="C234" s="829">
        <v>1.73</v>
      </c>
      <c r="D234" s="832">
        <f>-C233*C234*B233</f>
        <v>-2.5949999999999998</v>
      </c>
      <c r="E234" s="833"/>
      <c r="F234" s="831"/>
      <c r="G234" s="829"/>
      <c r="H234" s="832"/>
      <c r="I234" s="833" t="s">
        <v>782</v>
      </c>
    </row>
    <row r="235" spans="1:9">
      <c r="A235" s="818"/>
      <c r="B235" s="831"/>
      <c r="C235" s="829"/>
      <c r="D235" s="832"/>
      <c r="E235" s="833"/>
      <c r="F235" s="831">
        <v>2</v>
      </c>
      <c r="G235" s="829">
        <v>8.5</v>
      </c>
      <c r="H235" s="832"/>
      <c r="I235" s="833" t="s">
        <v>783</v>
      </c>
    </row>
    <row r="236" spans="1:9">
      <c r="A236" s="818"/>
      <c r="B236" s="831">
        <v>1</v>
      </c>
      <c r="C236" s="829">
        <v>50.6</v>
      </c>
      <c r="D236" s="832"/>
      <c r="E236" s="833" t="s">
        <v>160</v>
      </c>
      <c r="F236" s="831"/>
      <c r="G236" s="829">
        <v>3.06</v>
      </c>
      <c r="H236" s="832">
        <f>G235*G236*F235</f>
        <v>52.02</v>
      </c>
      <c r="I236" s="833"/>
    </row>
    <row r="237" spans="1:9">
      <c r="A237" s="818"/>
      <c r="B237" s="831"/>
      <c r="C237" s="829">
        <v>3.06</v>
      </c>
      <c r="D237" s="832">
        <f>C236*C237*B236</f>
        <v>154.83600000000001</v>
      </c>
      <c r="E237" s="833" t="s">
        <v>781</v>
      </c>
      <c r="F237" s="831"/>
      <c r="G237" s="829"/>
      <c r="H237" s="832"/>
      <c r="I237" s="833"/>
    </row>
    <row r="238" spans="1:9">
      <c r="A238" s="818"/>
      <c r="B238" s="831"/>
      <c r="C238" s="829"/>
      <c r="D238" s="832"/>
      <c r="E238" s="833"/>
      <c r="F238" s="831">
        <v>2</v>
      </c>
      <c r="G238" s="829">
        <v>0.8</v>
      </c>
      <c r="H238" s="832"/>
      <c r="I238" s="833" t="s">
        <v>182</v>
      </c>
    </row>
    <row r="239" spans="1:9">
      <c r="A239" s="818"/>
      <c r="B239" s="831"/>
      <c r="C239" s="829"/>
      <c r="D239" s="832"/>
      <c r="E239" s="833"/>
      <c r="F239" s="831"/>
      <c r="G239" s="829">
        <v>2.73</v>
      </c>
      <c r="H239" s="832">
        <f>-G238*G239*F238</f>
        <v>-4.3680000000000003</v>
      </c>
      <c r="I239" s="833" t="s">
        <v>785</v>
      </c>
    </row>
    <row r="240" spans="1:9">
      <c r="A240" s="818"/>
      <c r="B240" s="109"/>
      <c r="C240" s="109"/>
      <c r="D240" s="109"/>
      <c r="E240" s="109"/>
      <c r="F240" s="987"/>
      <c r="G240" s="987"/>
      <c r="H240" s="109"/>
      <c r="I240" s="109"/>
    </row>
    <row r="241" spans="1:10">
      <c r="A241" s="828"/>
      <c r="B241" s="853" t="s">
        <v>1884</v>
      </c>
      <c r="C241" s="854" t="s">
        <v>526</v>
      </c>
      <c r="D241" s="855" t="s">
        <v>1885</v>
      </c>
      <c r="E241" s="854" t="s">
        <v>1886</v>
      </c>
      <c r="F241" s="853" t="s">
        <v>1884</v>
      </c>
      <c r="G241" s="854" t="s">
        <v>526</v>
      </c>
      <c r="H241" s="855" t="s">
        <v>1885</v>
      </c>
      <c r="I241" s="854" t="s">
        <v>1886</v>
      </c>
      <c r="J241" s="828"/>
    </row>
    <row r="242" spans="1:10">
      <c r="A242" s="818"/>
      <c r="B242" s="831">
        <v>4</v>
      </c>
      <c r="C242" s="829">
        <v>0.7</v>
      </c>
      <c r="D242" s="832"/>
      <c r="E242" s="833" t="s">
        <v>46</v>
      </c>
      <c r="F242" s="831">
        <v>1</v>
      </c>
      <c r="G242" s="829">
        <v>4.2</v>
      </c>
      <c r="H242" s="832"/>
      <c r="I242" s="833" t="s">
        <v>804</v>
      </c>
    </row>
    <row r="243" spans="1:10">
      <c r="A243" s="818"/>
      <c r="B243" s="831"/>
      <c r="C243" s="829">
        <v>1.73</v>
      </c>
      <c r="D243" s="832">
        <f>-C242*C243*B242</f>
        <v>-4.8439999999999994</v>
      </c>
      <c r="E243" s="833"/>
      <c r="F243" s="831"/>
      <c r="G243" s="829">
        <v>0.8</v>
      </c>
      <c r="H243" s="832">
        <f>G242*G243*F242</f>
        <v>3.3600000000000003</v>
      </c>
      <c r="I243" s="833"/>
    </row>
    <row r="244" spans="1:10">
      <c r="A244" s="818"/>
      <c r="B244" s="831"/>
      <c r="C244" s="829"/>
      <c r="D244" s="832"/>
      <c r="E244" s="833"/>
      <c r="F244" s="831"/>
      <c r="G244" s="829"/>
      <c r="H244" s="832"/>
      <c r="I244" s="833"/>
    </row>
    <row r="245" spans="1:10">
      <c r="A245" s="818"/>
      <c r="B245" s="831">
        <v>1</v>
      </c>
      <c r="C245" s="829">
        <v>1.3</v>
      </c>
      <c r="D245" s="832"/>
      <c r="E245" s="833" t="s">
        <v>157</v>
      </c>
      <c r="F245" s="831"/>
      <c r="G245" s="829"/>
      <c r="H245" s="832">
        <v>79.45</v>
      </c>
      <c r="I245" s="833" t="s">
        <v>1223</v>
      </c>
    </row>
    <row r="246" spans="1:10">
      <c r="A246" s="818"/>
      <c r="B246" s="831"/>
      <c r="C246" s="829">
        <v>0.6</v>
      </c>
      <c r="D246" s="832">
        <f>-C245*C246*B245</f>
        <v>-0.78</v>
      </c>
      <c r="E246" s="833"/>
      <c r="F246" s="1022"/>
      <c r="G246" s="848"/>
      <c r="H246" s="843"/>
      <c r="I246" s="435"/>
    </row>
    <row r="247" spans="1:10">
      <c r="A247" s="818"/>
      <c r="B247" s="831"/>
      <c r="C247" s="829"/>
      <c r="D247" s="832"/>
      <c r="E247" s="833" t="s">
        <v>553</v>
      </c>
      <c r="F247" s="839"/>
      <c r="G247" s="935"/>
      <c r="H247" s="838">
        <f>SUM(D243:D300)+SUM(H184:H239)+SUM(D186:D238)+H243-H245</f>
        <v>646.27750000000003</v>
      </c>
      <c r="I247" s="839" t="s">
        <v>2184</v>
      </c>
    </row>
    <row r="248" spans="1:10">
      <c r="A248" s="818"/>
      <c r="B248" s="831">
        <v>1</v>
      </c>
      <c r="C248" s="829">
        <v>9.5</v>
      </c>
      <c r="D248" s="832"/>
      <c r="E248" s="833" t="s">
        <v>788</v>
      </c>
      <c r="F248" s="1022"/>
      <c r="G248" s="848"/>
      <c r="H248" s="843"/>
      <c r="I248" s="435"/>
    </row>
    <row r="249" spans="1:10">
      <c r="A249" s="818"/>
      <c r="B249" s="831"/>
      <c r="C249" s="829">
        <v>3.06</v>
      </c>
      <c r="D249" s="832">
        <f>C248*C249*B248</f>
        <v>29.07</v>
      </c>
      <c r="E249" s="833"/>
      <c r="F249" s="831"/>
      <c r="G249" s="829"/>
      <c r="H249" s="832"/>
      <c r="I249" s="844" t="s">
        <v>226</v>
      </c>
    </row>
    <row r="250" spans="1:10">
      <c r="A250" s="818"/>
      <c r="B250" s="831"/>
      <c r="C250" s="829"/>
      <c r="D250" s="832"/>
      <c r="E250" s="833"/>
      <c r="F250" s="831">
        <v>1</v>
      </c>
      <c r="G250" s="829">
        <v>4</v>
      </c>
      <c r="H250" s="832"/>
      <c r="I250" s="833" t="s">
        <v>805</v>
      </c>
    </row>
    <row r="251" spans="1:10">
      <c r="A251" s="818"/>
      <c r="B251" s="831">
        <v>1</v>
      </c>
      <c r="C251" s="829">
        <v>1</v>
      </c>
      <c r="D251" s="832"/>
      <c r="E251" s="833" t="s">
        <v>356</v>
      </c>
      <c r="F251" s="831"/>
      <c r="G251" s="829">
        <v>2.95</v>
      </c>
      <c r="H251" s="832">
        <f t="shared" ref="H251:H287" si="0">G250*G251*F250</f>
        <v>11.8</v>
      </c>
      <c r="I251" s="833"/>
    </row>
    <row r="252" spans="1:10">
      <c r="A252" s="818"/>
      <c r="B252" s="831"/>
      <c r="C252" s="829">
        <v>2.73</v>
      </c>
      <c r="D252" s="832">
        <f>-C251*C252*B251</f>
        <v>-2.73</v>
      </c>
      <c r="E252" s="833"/>
      <c r="F252" s="831"/>
      <c r="G252" s="829"/>
      <c r="H252" s="832"/>
      <c r="I252" s="833"/>
    </row>
    <row r="253" spans="1:10">
      <c r="A253" s="818"/>
      <c r="B253" s="831"/>
      <c r="C253" s="829"/>
      <c r="D253" s="832"/>
      <c r="E253" s="833"/>
      <c r="F253" s="831">
        <v>1</v>
      </c>
      <c r="G253" s="829">
        <v>4</v>
      </c>
      <c r="H253" s="832"/>
      <c r="I253" s="833" t="s">
        <v>780</v>
      </c>
    </row>
    <row r="254" spans="1:10">
      <c r="A254" s="818"/>
      <c r="B254" s="831">
        <v>1</v>
      </c>
      <c r="C254" s="829">
        <v>1.2</v>
      </c>
      <c r="D254" s="832"/>
      <c r="E254" s="833" t="s">
        <v>353</v>
      </c>
      <c r="F254" s="831"/>
      <c r="G254" s="829">
        <v>2.95</v>
      </c>
      <c r="H254" s="832">
        <f t="shared" si="0"/>
        <v>11.8</v>
      </c>
      <c r="I254" s="833"/>
    </row>
    <row r="255" spans="1:10">
      <c r="A255" s="818"/>
      <c r="B255" s="831"/>
      <c r="C255" s="829">
        <v>0.6</v>
      </c>
      <c r="D255" s="832">
        <f>-C254*C255*B254</f>
        <v>-0.72</v>
      </c>
      <c r="E255" s="833"/>
      <c r="F255" s="831"/>
      <c r="G255" s="829"/>
      <c r="H255" s="832"/>
      <c r="I255" s="833"/>
    </row>
    <row r="256" spans="1:10">
      <c r="A256" s="818"/>
      <c r="B256" s="831"/>
      <c r="C256" s="829"/>
      <c r="D256" s="832"/>
      <c r="E256" s="833" t="s">
        <v>791</v>
      </c>
      <c r="F256" s="831">
        <v>1</v>
      </c>
      <c r="G256" s="829">
        <v>4</v>
      </c>
      <c r="H256" s="832"/>
      <c r="I256" s="833" t="s">
        <v>769</v>
      </c>
    </row>
    <row r="257" spans="1:9">
      <c r="A257" s="818"/>
      <c r="B257" s="831">
        <v>4</v>
      </c>
      <c r="C257" s="829">
        <v>4.2</v>
      </c>
      <c r="D257" s="832"/>
      <c r="E257" s="833" t="s">
        <v>792</v>
      </c>
      <c r="F257" s="831"/>
      <c r="G257" s="829">
        <v>2.95</v>
      </c>
      <c r="H257" s="832">
        <f t="shared" si="0"/>
        <v>11.8</v>
      </c>
      <c r="I257" s="833"/>
    </row>
    <row r="258" spans="1:9">
      <c r="A258" s="818"/>
      <c r="B258" s="831"/>
      <c r="C258" s="829">
        <v>3.06</v>
      </c>
      <c r="D258" s="832">
        <f>C257*C258*B257</f>
        <v>51.408000000000001</v>
      </c>
      <c r="E258" s="833"/>
      <c r="F258" s="831"/>
      <c r="G258" s="829"/>
      <c r="H258" s="832"/>
      <c r="I258" s="833"/>
    </row>
    <row r="259" spans="1:9">
      <c r="A259" s="818"/>
      <c r="B259" s="831"/>
      <c r="C259" s="829"/>
      <c r="D259" s="832"/>
      <c r="E259" s="833"/>
      <c r="F259" s="831">
        <v>1</v>
      </c>
      <c r="G259" s="829">
        <v>4</v>
      </c>
      <c r="H259" s="832"/>
      <c r="I259" s="833" t="s">
        <v>771</v>
      </c>
    </row>
    <row r="260" spans="1:9">
      <c r="A260" s="818"/>
      <c r="B260" s="831">
        <v>4</v>
      </c>
      <c r="C260" s="829">
        <v>0.7</v>
      </c>
      <c r="D260" s="832"/>
      <c r="E260" s="833" t="s">
        <v>46</v>
      </c>
      <c r="F260" s="831"/>
      <c r="G260" s="829">
        <v>2.75</v>
      </c>
      <c r="H260" s="832">
        <f t="shared" si="0"/>
        <v>11</v>
      </c>
      <c r="I260" s="833"/>
    </row>
    <row r="261" spans="1:9">
      <c r="A261" s="818"/>
      <c r="B261" s="831"/>
      <c r="C261" s="829">
        <v>2.73</v>
      </c>
      <c r="D261" s="832">
        <f>-C260*C261*B260</f>
        <v>-7.6439999999999992</v>
      </c>
      <c r="E261" s="833"/>
      <c r="F261" s="831"/>
      <c r="G261" s="829"/>
      <c r="H261" s="832"/>
      <c r="I261" s="833"/>
    </row>
    <row r="262" spans="1:9">
      <c r="A262" s="818"/>
      <c r="B262" s="831"/>
      <c r="C262" s="829"/>
      <c r="D262" s="832"/>
      <c r="E262" s="833" t="s">
        <v>793</v>
      </c>
      <c r="F262" s="831">
        <v>1</v>
      </c>
      <c r="G262" s="829">
        <v>4</v>
      </c>
      <c r="H262" s="832"/>
      <c r="I262" s="833" t="s">
        <v>774</v>
      </c>
    </row>
    <row r="263" spans="1:9">
      <c r="A263" s="818"/>
      <c r="B263" s="831">
        <v>1</v>
      </c>
      <c r="C263" s="829">
        <v>6.4</v>
      </c>
      <c r="D263" s="832"/>
      <c r="E263" s="833" t="s">
        <v>795</v>
      </c>
      <c r="F263" s="831"/>
      <c r="G263" s="829">
        <v>4.8499999999999996</v>
      </c>
      <c r="H263" s="832">
        <f t="shared" si="0"/>
        <v>19.399999999999999</v>
      </c>
      <c r="I263" s="833"/>
    </row>
    <row r="264" spans="1:9">
      <c r="A264" s="818"/>
      <c r="B264" s="831"/>
      <c r="C264" s="829">
        <v>3.06</v>
      </c>
      <c r="D264" s="832">
        <f>C263*C264*B263</f>
        <v>19.584000000000003</v>
      </c>
      <c r="E264" s="833"/>
      <c r="F264" s="831"/>
      <c r="G264" s="829"/>
      <c r="H264" s="832"/>
      <c r="I264" s="833"/>
    </row>
    <row r="265" spans="1:9">
      <c r="A265" s="818"/>
      <c r="B265" s="831"/>
      <c r="C265" s="829"/>
      <c r="D265" s="832"/>
      <c r="E265" s="833"/>
      <c r="F265" s="831">
        <v>1</v>
      </c>
      <c r="G265" s="829">
        <v>4</v>
      </c>
      <c r="H265" s="832"/>
      <c r="I265" s="833" t="s">
        <v>776</v>
      </c>
    </row>
    <row r="266" spans="1:9">
      <c r="A266" s="818"/>
      <c r="B266" s="831">
        <v>1</v>
      </c>
      <c r="C266" s="829">
        <v>1</v>
      </c>
      <c r="D266" s="832"/>
      <c r="E266" s="833" t="s">
        <v>356</v>
      </c>
      <c r="F266" s="831"/>
      <c r="G266" s="829">
        <v>4.8499999999999996</v>
      </c>
      <c r="H266" s="832">
        <f t="shared" si="0"/>
        <v>19.399999999999999</v>
      </c>
      <c r="I266" s="833"/>
    </row>
    <row r="267" spans="1:9">
      <c r="A267" s="818"/>
      <c r="B267" s="831"/>
      <c r="C267" s="829">
        <v>2.73</v>
      </c>
      <c r="D267" s="832">
        <f>-C266*C267*B266</f>
        <v>-2.73</v>
      </c>
      <c r="E267" s="833"/>
      <c r="F267" s="831"/>
      <c r="G267" s="829"/>
      <c r="H267" s="832"/>
      <c r="I267" s="833"/>
    </row>
    <row r="268" spans="1:9">
      <c r="A268" s="818"/>
      <c r="B268" s="831"/>
      <c r="C268" s="829"/>
      <c r="D268" s="832"/>
      <c r="E268" s="833"/>
      <c r="F268" s="831">
        <v>1</v>
      </c>
      <c r="G268" s="829">
        <v>22.9</v>
      </c>
      <c r="H268" s="832"/>
      <c r="I268" s="833" t="s">
        <v>160</v>
      </c>
    </row>
    <row r="269" spans="1:9">
      <c r="A269" s="818"/>
      <c r="B269" s="831">
        <v>1</v>
      </c>
      <c r="C269" s="829">
        <v>0.8</v>
      </c>
      <c r="D269" s="832"/>
      <c r="E269" s="833" t="s">
        <v>182</v>
      </c>
      <c r="F269" s="831"/>
      <c r="G269" s="829">
        <v>2.4</v>
      </c>
      <c r="H269" s="832">
        <f t="shared" si="0"/>
        <v>54.959999999999994</v>
      </c>
      <c r="I269" s="833"/>
    </row>
    <row r="270" spans="1:9">
      <c r="A270" s="818"/>
      <c r="B270" s="831"/>
      <c r="C270" s="829">
        <v>2.73</v>
      </c>
      <c r="D270" s="832">
        <f>-C269*C270*B269</f>
        <v>-2.1840000000000002</v>
      </c>
      <c r="E270" s="833"/>
      <c r="F270" s="831"/>
      <c r="G270" s="829"/>
      <c r="H270" s="832"/>
      <c r="I270" s="833"/>
    </row>
    <row r="271" spans="1:9">
      <c r="A271" s="818"/>
      <c r="B271" s="831"/>
      <c r="C271" s="829"/>
      <c r="D271" s="832"/>
      <c r="E271" s="833"/>
      <c r="F271" s="831">
        <v>1</v>
      </c>
      <c r="G271" s="829">
        <v>4.2</v>
      </c>
      <c r="H271" s="832"/>
      <c r="I271" s="833" t="s">
        <v>786</v>
      </c>
    </row>
    <row r="272" spans="1:9">
      <c r="A272" s="818"/>
      <c r="B272" s="831">
        <v>1</v>
      </c>
      <c r="C272" s="829">
        <v>0.7</v>
      </c>
      <c r="D272" s="832"/>
      <c r="E272" s="833" t="s">
        <v>204</v>
      </c>
      <c r="F272" s="831"/>
      <c r="G272" s="829">
        <v>5.8</v>
      </c>
      <c r="H272" s="832">
        <f t="shared" si="0"/>
        <v>24.36</v>
      </c>
      <c r="I272" s="833"/>
    </row>
    <row r="273" spans="1:9">
      <c r="A273" s="818"/>
      <c r="B273" s="831"/>
      <c r="C273" s="829">
        <v>2.73</v>
      </c>
      <c r="D273" s="832">
        <f>-C272*C273*B272</f>
        <v>-1.9109999999999998</v>
      </c>
      <c r="E273" s="833"/>
      <c r="F273" s="831"/>
      <c r="G273" s="829"/>
      <c r="H273" s="832"/>
      <c r="I273" s="833"/>
    </row>
    <row r="274" spans="1:9">
      <c r="A274" s="818"/>
      <c r="B274" s="831"/>
      <c r="C274" s="829"/>
      <c r="D274" s="832"/>
      <c r="E274" s="833" t="s">
        <v>793</v>
      </c>
      <c r="F274" s="831">
        <v>1</v>
      </c>
      <c r="G274" s="829">
        <v>4.2</v>
      </c>
      <c r="H274" s="832"/>
      <c r="I274" s="833" t="s">
        <v>789</v>
      </c>
    </row>
    <row r="275" spans="1:9">
      <c r="A275" s="818"/>
      <c r="B275" s="831">
        <v>1</v>
      </c>
      <c r="C275" s="829">
        <v>7.5</v>
      </c>
      <c r="D275" s="832"/>
      <c r="E275" s="833" t="s">
        <v>799</v>
      </c>
      <c r="F275" s="831"/>
      <c r="G275" s="829">
        <v>7.05</v>
      </c>
      <c r="H275" s="832">
        <f t="shared" si="0"/>
        <v>29.61</v>
      </c>
      <c r="I275" s="833"/>
    </row>
    <row r="276" spans="1:9">
      <c r="A276" s="818"/>
      <c r="B276" s="831"/>
      <c r="C276" s="829">
        <v>3.06</v>
      </c>
      <c r="D276" s="832">
        <f>C275*C276*B275</f>
        <v>22.95</v>
      </c>
      <c r="E276" s="833"/>
      <c r="F276" s="831"/>
      <c r="G276" s="829"/>
      <c r="H276" s="832"/>
      <c r="I276" s="833"/>
    </row>
    <row r="277" spans="1:9">
      <c r="A277" s="818"/>
      <c r="B277" s="831"/>
      <c r="C277" s="829"/>
      <c r="D277" s="832"/>
      <c r="E277" s="833"/>
      <c r="F277" s="831">
        <v>2</v>
      </c>
      <c r="G277" s="829">
        <v>1.4</v>
      </c>
      <c r="H277" s="832"/>
      <c r="I277" s="833" t="s">
        <v>84</v>
      </c>
    </row>
    <row r="278" spans="1:9">
      <c r="A278" s="818"/>
      <c r="B278" s="831">
        <v>1</v>
      </c>
      <c r="C278" s="829">
        <v>0.7</v>
      </c>
      <c r="D278" s="832"/>
      <c r="E278" s="833" t="s">
        <v>204</v>
      </c>
      <c r="F278" s="831"/>
      <c r="G278" s="829">
        <v>4.05</v>
      </c>
      <c r="H278" s="832">
        <f t="shared" si="0"/>
        <v>11.339999999999998</v>
      </c>
      <c r="I278" s="833"/>
    </row>
    <row r="279" spans="1:9">
      <c r="A279" s="818"/>
      <c r="B279" s="831"/>
      <c r="C279" s="829">
        <v>2.73</v>
      </c>
      <c r="D279" s="832">
        <f>-C278*C279*B278</f>
        <v>-1.9109999999999998</v>
      </c>
      <c r="E279" s="833"/>
      <c r="F279" s="831"/>
      <c r="G279" s="829"/>
      <c r="H279" s="832"/>
      <c r="I279" s="833"/>
    </row>
    <row r="280" spans="1:9">
      <c r="A280" s="818"/>
      <c r="B280" s="831"/>
      <c r="C280" s="829"/>
      <c r="D280" s="832"/>
      <c r="E280" s="833"/>
      <c r="F280" s="831">
        <v>1</v>
      </c>
      <c r="G280" s="829">
        <v>2.7</v>
      </c>
      <c r="H280" s="832"/>
      <c r="I280" s="833" t="s">
        <v>84</v>
      </c>
    </row>
    <row r="281" spans="1:9">
      <c r="A281" s="818"/>
      <c r="B281" s="831">
        <v>1</v>
      </c>
      <c r="C281" s="829">
        <v>1.25</v>
      </c>
      <c r="D281" s="832"/>
      <c r="E281" s="833" t="s">
        <v>353</v>
      </c>
      <c r="F281" s="831"/>
      <c r="G281" s="829">
        <v>3.95</v>
      </c>
      <c r="H281" s="832">
        <f t="shared" si="0"/>
        <v>10.665000000000001</v>
      </c>
      <c r="I281" s="833"/>
    </row>
    <row r="282" spans="1:9">
      <c r="A282" s="818"/>
      <c r="B282" s="831"/>
      <c r="C282" s="829">
        <v>0.6</v>
      </c>
      <c r="D282" s="832">
        <f>-C281*C282*B281</f>
        <v>-0.75</v>
      </c>
      <c r="E282" s="833"/>
      <c r="F282" s="831"/>
      <c r="G282" s="829"/>
      <c r="H282" s="832"/>
      <c r="I282" s="833"/>
    </row>
    <row r="283" spans="1:9">
      <c r="A283" s="818"/>
      <c r="B283" s="831"/>
      <c r="C283" s="829"/>
      <c r="D283" s="832"/>
      <c r="E283" s="833"/>
      <c r="F283" s="831">
        <v>1</v>
      </c>
      <c r="G283" s="829">
        <v>1.45</v>
      </c>
      <c r="H283" s="832"/>
      <c r="I283" s="833" t="s">
        <v>84</v>
      </c>
    </row>
    <row r="284" spans="1:9">
      <c r="A284" s="818"/>
      <c r="B284" s="831">
        <v>20</v>
      </c>
      <c r="C284" s="829">
        <v>0.2</v>
      </c>
      <c r="D284" s="832"/>
      <c r="E284" s="833" t="s">
        <v>220</v>
      </c>
      <c r="F284" s="831"/>
      <c r="G284" s="829">
        <v>4.05</v>
      </c>
      <c r="H284" s="832">
        <f t="shared" si="0"/>
        <v>5.8724999999999996</v>
      </c>
      <c r="I284" s="833"/>
    </row>
    <row r="285" spans="1:9">
      <c r="A285" s="818"/>
      <c r="B285" s="831"/>
      <c r="C285" s="829">
        <v>2.73</v>
      </c>
      <c r="D285" s="832">
        <f t="shared" ref="D285:D294" si="1">C284*C285*B284</f>
        <v>10.920000000000002</v>
      </c>
      <c r="E285" s="833"/>
      <c r="F285" s="831"/>
      <c r="G285" s="829"/>
      <c r="H285" s="832"/>
      <c r="I285" s="833"/>
    </row>
    <row r="286" spans="1:9">
      <c r="A286" s="818"/>
      <c r="B286" s="831"/>
      <c r="C286" s="829"/>
      <c r="D286" s="832"/>
      <c r="E286" s="833"/>
      <c r="F286" s="831">
        <v>1</v>
      </c>
      <c r="G286" s="829">
        <v>2.2000000000000002</v>
      </c>
      <c r="H286" s="832"/>
      <c r="I286" s="833" t="s">
        <v>230</v>
      </c>
    </row>
    <row r="287" spans="1:9">
      <c r="A287" s="818"/>
      <c r="B287" s="831">
        <v>2</v>
      </c>
      <c r="C287" s="829">
        <v>23.3</v>
      </c>
      <c r="D287" s="832"/>
      <c r="E287" s="833" t="s">
        <v>800</v>
      </c>
      <c r="F287" s="831"/>
      <c r="G287" s="829">
        <v>4.2</v>
      </c>
      <c r="H287" s="832">
        <f t="shared" si="0"/>
        <v>9.240000000000002</v>
      </c>
      <c r="I287" s="833"/>
    </row>
    <row r="288" spans="1:9">
      <c r="A288" s="818"/>
      <c r="B288" s="831"/>
      <c r="C288" s="829">
        <v>0.4</v>
      </c>
      <c r="D288" s="832">
        <f t="shared" si="1"/>
        <v>18.64</v>
      </c>
      <c r="E288" s="833"/>
      <c r="F288" s="831"/>
      <c r="G288" s="829"/>
      <c r="H288" s="832"/>
      <c r="I288" s="833"/>
    </row>
    <row r="289" spans="1:9">
      <c r="A289" s="818"/>
      <c r="B289" s="831"/>
      <c r="C289" s="829"/>
      <c r="D289" s="832"/>
      <c r="E289" s="833"/>
      <c r="F289" s="839"/>
      <c r="G289" s="935"/>
      <c r="H289" s="838">
        <f>SUM(H251:H287)</f>
        <v>231.24750000000006</v>
      </c>
      <c r="I289" s="839" t="s">
        <v>2144</v>
      </c>
    </row>
    <row r="290" spans="1:9">
      <c r="A290" s="818"/>
      <c r="B290" s="831">
        <v>2</v>
      </c>
      <c r="C290" s="829">
        <v>11.35</v>
      </c>
      <c r="D290" s="832"/>
      <c r="E290" s="833" t="s">
        <v>800</v>
      </c>
      <c r="F290" s="831"/>
      <c r="G290" s="829"/>
      <c r="H290" s="832"/>
      <c r="I290" s="833"/>
    </row>
    <row r="291" spans="1:9">
      <c r="A291" s="818"/>
      <c r="B291" s="831"/>
      <c r="C291" s="829">
        <v>0.4</v>
      </c>
      <c r="D291" s="832">
        <f t="shared" si="1"/>
        <v>9.08</v>
      </c>
      <c r="E291" s="833"/>
      <c r="F291" s="831"/>
      <c r="G291" s="829"/>
      <c r="H291" s="832"/>
      <c r="I291" s="844" t="s">
        <v>229</v>
      </c>
    </row>
    <row r="292" spans="1:9">
      <c r="A292" s="818"/>
      <c r="B292" s="831"/>
      <c r="C292" s="829"/>
      <c r="D292" s="832"/>
      <c r="E292" s="833"/>
      <c r="F292" s="1022"/>
      <c r="G292" s="848"/>
      <c r="H292" s="843"/>
      <c r="I292" s="844" t="s">
        <v>231</v>
      </c>
    </row>
    <row r="293" spans="1:9">
      <c r="A293" s="818"/>
      <c r="B293" s="831">
        <v>2</v>
      </c>
      <c r="C293" s="829">
        <v>23.3</v>
      </c>
      <c r="D293" s="832"/>
      <c r="E293" s="833" t="s">
        <v>801</v>
      </c>
      <c r="F293" s="831">
        <v>1</v>
      </c>
      <c r="G293" s="829">
        <v>4.2</v>
      </c>
      <c r="H293" s="832"/>
      <c r="I293" s="833" t="s">
        <v>805</v>
      </c>
    </row>
    <row r="294" spans="1:9">
      <c r="A294" s="818"/>
      <c r="B294" s="831"/>
      <c r="C294" s="829">
        <v>0.3</v>
      </c>
      <c r="D294" s="832">
        <f t="shared" si="1"/>
        <v>13.98</v>
      </c>
      <c r="E294" s="833"/>
      <c r="F294" s="831"/>
      <c r="G294" s="829">
        <v>2.95</v>
      </c>
      <c r="H294" s="832"/>
      <c r="I294" s="833"/>
    </row>
    <row r="295" spans="1:9">
      <c r="A295" s="818"/>
      <c r="B295" s="831"/>
      <c r="C295" s="829"/>
      <c r="D295" s="832"/>
      <c r="E295" s="833"/>
      <c r="F295" s="831"/>
      <c r="G295" s="829"/>
      <c r="H295" s="832">
        <f>G293*G294*F293</f>
        <v>12.39</v>
      </c>
      <c r="I295" s="833"/>
    </row>
    <row r="296" spans="1:9">
      <c r="A296" s="818"/>
      <c r="B296" s="831">
        <v>2</v>
      </c>
      <c r="C296" s="829">
        <v>11.35</v>
      </c>
      <c r="D296" s="832"/>
      <c r="E296" s="833" t="s">
        <v>801</v>
      </c>
      <c r="F296" s="831">
        <v>1</v>
      </c>
      <c r="G296" s="829">
        <v>4</v>
      </c>
      <c r="H296" s="832"/>
      <c r="I296" s="833" t="s">
        <v>780</v>
      </c>
    </row>
    <row r="297" spans="1:9">
      <c r="A297" s="818"/>
      <c r="B297" s="831"/>
      <c r="C297" s="829">
        <v>0.3</v>
      </c>
      <c r="D297" s="832">
        <f>C296*C297*B296</f>
        <v>6.81</v>
      </c>
      <c r="E297" s="833"/>
      <c r="F297" s="831"/>
      <c r="G297" s="829">
        <v>2.95</v>
      </c>
      <c r="H297" s="832"/>
      <c r="I297" s="833"/>
    </row>
    <row r="298" spans="1:9">
      <c r="A298" s="818"/>
      <c r="B298" s="831"/>
      <c r="C298" s="829"/>
      <c r="D298" s="832"/>
      <c r="E298" s="833"/>
      <c r="F298" s="831"/>
      <c r="G298" s="829"/>
      <c r="H298" s="832">
        <f>G296*G297*F296</f>
        <v>11.8</v>
      </c>
      <c r="I298" s="435"/>
    </row>
    <row r="299" spans="1:9">
      <c r="A299" s="818"/>
      <c r="B299" s="831">
        <v>4</v>
      </c>
      <c r="C299" s="829">
        <v>6.4</v>
      </c>
      <c r="D299" s="832"/>
      <c r="E299" s="833" t="s">
        <v>802</v>
      </c>
      <c r="F299" s="1022"/>
      <c r="G299" s="848"/>
      <c r="H299" s="843"/>
      <c r="I299" s="435"/>
    </row>
    <row r="300" spans="1:9">
      <c r="A300" s="818"/>
      <c r="B300" s="849"/>
      <c r="C300" s="850">
        <v>0.8</v>
      </c>
      <c r="D300" s="851">
        <f>C299*C300*B299</f>
        <v>20.480000000000004</v>
      </c>
      <c r="E300" s="852" t="s">
        <v>803</v>
      </c>
      <c r="F300" s="860"/>
      <c r="G300" s="927"/>
      <c r="H300" s="928"/>
      <c r="I300" s="109"/>
    </row>
    <row r="301" spans="1:9">
      <c r="A301" s="818"/>
      <c r="B301" s="853" t="s">
        <v>1884</v>
      </c>
      <c r="C301" s="855" t="s">
        <v>526</v>
      </c>
      <c r="D301" s="856" t="s">
        <v>1885</v>
      </c>
      <c r="E301" s="854" t="s">
        <v>1886</v>
      </c>
      <c r="F301" s="853" t="s">
        <v>1884</v>
      </c>
      <c r="G301" s="855" t="s">
        <v>526</v>
      </c>
      <c r="H301" s="856" t="s">
        <v>1885</v>
      </c>
      <c r="I301" s="854" t="s">
        <v>1886</v>
      </c>
    </row>
    <row r="302" spans="1:9">
      <c r="A302" s="818"/>
      <c r="B302" s="831">
        <v>1</v>
      </c>
      <c r="C302" s="829">
        <v>4</v>
      </c>
      <c r="D302" s="832"/>
      <c r="E302" s="833" t="s">
        <v>769</v>
      </c>
      <c r="F302" s="831"/>
      <c r="G302" s="829"/>
      <c r="H302" s="832"/>
      <c r="I302" s="833" t="s">
        <v>808</v>
      </c>
    </row>
    <row r="303" spans="1:9">
      <c r="A303" s="818"/>
      <c r="B303" s="1022"/>
      <c r="C303" s="829">
        <v>2.95</v>
      </c>
      <c r="D303" s="832">
        <f>C302*C303*B302</f>
        <v>11.8</v>
      </c>
      <c r="E303" s="833"/>
      <c r="F303" s="831">
        <v>1</v>
      </c>
      <c r="G303" s="829">
        <v>12.1</v>
      </c>
      <c r="H303" s="832"/>
      <c r="I303" s="833" t="s">
        <v>805</v>
      </c>
    </row>
    <row r="304" spans="1:9">
      <c r="A304" s="818"/>
      <c r="B304" s="831"/>
      <c r="C304" s="829"/>
      <c r="D304" s="1022"/>
      <c r="E304" s="435"/>
      <c r="F304" s="831"/>
      <c r="G304" s="829"/>
      <c r="H304" s="832">
        <f>G303*F303</f>
        <v>12.1</v>
      </c>
      <c r="I304" s="833" t="s">
        <v>1238</v>
      </c>
    </row>
    <row r="305" spans="1:9">
      <c r="A305" s="818"/>
      <c r="B305" s="831">
        <v>1</v>
      </c>
      <c r="C305" s="829">
        <v>4</v>
      </c>
      <c r="D305" s="832"/>
      <c r="E305" s="833" t="s">
        <v>771</v>
      </c>
      <c r="F305" s="831">
        <v>1</v>
      </c>
      <c r="G305" s="829">
        <v>13</v>
      </c>
      <c r="H305" s="832"/>
      <c r="I305" s="833" t="s">
        <v>780</v>
      </c>
    </row>
    <row r="306" spans="1:9">
      <c r="A306" s="818"/>
      <c r="B306" s="831"/>
      <c r="C306" s="829">
        <v>2.95</v>
      </c>
      <c r="D306" s="832">
        <f>C305*C306*B305</f>
        <v>11.8</v>
      </c>
      <c r="E306" s="833"/>
      <c r="F306" s="831"/>
      <c r="G306" s="829"/>
      <c r="H306" s="832">
        <f>G305*F305</f>
        <v>13</v>
      </c>
      <c r="I306" s="833" t="s">
        <v>809</v>
      </c>
    </row>
    <row r="307" spans="1:9">
      <c r="A307" s="818"/>
      <c r="B307" s="831"/>
      <c r="C307" s="829"/>
      <c r="D307" s="832"/>
      <c r="E307" s="833"/>
      <c r="F307" s="831">
        <v>1</v>
      </c>
      <c r="G307" s="829">
        <v>12.1</v>
      </c>
      <c r="H307" s="832"/>
      <c r="I307" s="833" t="s">
        <v>769</v>
      </c>
    </row>
    <row r="308" spans="1:9">
      <c r="A308" s="818"/>
      <c r="B308" s="831">
        <v>1</v>
      </c>
      <c r="C308" s="829">
        <v>4</v>
      </c>
      <c r="D308" s="832"/>
      <c r="E308" s="833" t="s">
        <v>774</v>
      </c>
      <c r="F308" s="831"/>
      <c r="G308" s="829"/>
      <c r="H308" s="832">
        <f>G307*F307</f>
        <v>12.1</v>
      </c>
      <c r="I308" s="833" t="s">
        <v>810</v>
      </c>
    </row>
    <row r="309" spans="1:9">
      <c r="A309" s="818"/>
      <c r="B309" s="831"/>
      <c r="C309" s="829">
        <v>5.05</v>
      </c>
      <c r="D309" s="832">
        <f>C308*C309*B308</f>
        <v>20.2</v>
      </c>
      <c r="E309" s="833"/>
      <c r="F309" s="831">
        <v>1</v>
      </c>
      <c r="G309" s="829">
        <v>12.1</v>
      </c>
      <c r="H309" s="832"/>
      <c r="I309" s="833" t="s">
        <v>771</v>
      </c>
    </row>
    <row r="310" spans="1:9">
      <c r="A310" s="818"/>
      <c r="B310" s="831"/>
      <c r="C310" s="829"/>
      <c r="D310" s="832"/>
      <c r="E310" s="833"/>
      <c r="F310" s="831"/>
      <c r="G310" s="829"/>
      <c r="H310" s="832">
        <f>G309*F309</f>
        <v>12.1</v>
      </c>
      <c r="I310" s="833" t="s">
        <v>810</v>
      </c>
    </row>
    <row r="311" spans="1:9">
      <c r="A311" s="818"/>
      <c r="B311" s="831">
        <v>1</v>
      </c>
      <c r="C311" s="829">
        <v>4</v>
      </c>
      <c r="D311" s="832"/>
      <c r="E311" s="833" t="s">
        <v>776</v>
      </c>
      <c r="F311" s="831">
        <v>1</v>
      </c>
      <c r="G311" s="829">
        <v>16.3</v>
      </c>
      <c r="H311" s="832"/>
      <c r="I311" s="833" t="s">
        <v>774</v>
      </c>
    </row>
    <row r="312" spans="1:9">
      <c r="A312" s="818"/>
      <c r="B312" s="831"/>
      <c r="C312" s="829">
        <v>5.05</v>
      </c>
      <c r="D312" s="832">
        <f>C311*C312*B311</f>
        <v>20.2</v>
      </c>
      <c r="E312" s="833"/>
      <c r="F312" s="831"/>
      <c r="G312" s="829"/>
      <c r="H312" s="832">
        <f>G311*F311</f>
        <v>16.3</v>
      </c>
      <c r="I312" s="833" t="s">
        <v>1239</v>
      </c>
    </row>
    <row r="313" spans="1:9">
      <c r="A313" s="818"/>
      <c r="B313" s="831"/>
      <c r="C313" s="829"/>
      <c r="D313" s="832"/>
      <c r="E313" s="833"/>
      <c r="F313" s="831">
        <v>1</v>
      </c>
      <c r="G313" s="829">
        <v>16.5</v>
      </c>
      <c r="H313" s="832"/>
      <c r="I313" s="833" t="s">
        <v>776</v>
      </c>
    </row>
    <row r="314" spans="1:9">
      <c r="A314" s="818"/>
      <c r="B314" s="831">
        <v>1</v>
      </c>
      <c r="C314" s="829">
        <v>23.1</v>
      </c>
      <c r="D314" s="832"/>
      <c r="E314" s="833" t="s">
        <v>160</v>
      </c>
      <c r="F314" s="831"/>
      <c r="G314" s="829"/>
      <c r="H314" s="832">
        <f>G313*F313</f>
        <v>16.5</v>
      </c>
      <c r="I314" s="833" t="s">
        <v>811</v>
      </c>
    </row>
    <row r="315" spans="1:9">
      <c r="A315" s="818"/>
      <c r="B315" s="831"/>
      <c r="C315" s="829">
        <v>2.4</v>
      </c>
      <c r="D315" s="832">
        <f>C314*C315*B314</f>
        <v>55.440000000000005</v>
      </c>
      <c r="E315" s="833"/>
      <c r="F315" s="831">
        <v>1</v>
      </c>
      <c r="G315" s="829">
        <v>36.65</v>
      </c>
      <c r="H315" s="832"/>
      <c r="I315" s="833" t="s">
        <v>160</v>
      </c>
    </row>
    <row r="316" spans="1:9">
      <c r="A316" s="818"/>
      <c r="B316" s="831"/>
      <c r="C316" s="829"/>
      <c r="D316" s="832"/>
      <c r="E316" s="833"/>
      <c r="F316" s="831"/>
      <c r="G316" s="829"/>
      <c r="H316" s="832">
        <f>G315*F315</f>
        <v>36.65</v>
      </c>
      <c r="I316" s="833" t="s">
        <v>812</v>
      </c>
    </row>
    <row r="317" spans="1:9">
      <c r="A317" s="818"/>
      <c r="B317" s="831">
        <v>1</v>
      </c>
      <c r="C317" s="829">
        <v>4.2</v>
      </c>
      <c r="D317" s="832"/>
      <c r="E317" s="833" t="s">
        <v>786</v>
      </c>
      <c r="F317" s="831"/>
      <c r="G317" s="829"/>
      <c r="H317" s="832"/>
      <c r="I317" s="833" t="s">
        <v>813</v>
      </c>
    </row>
    <row r="318" spans="1:9">
      <c r="A318" s="818"/>
      <c r="B318" s="831"/>
      <c r="C318" s="829">
        <v>5.8</v>
      </c>
      <c r="D318" s="832">
        <f>C317*C318*B317</f>
        <v>24.36</v>
      </c>
      <c r="E318" s="833"/>
      <c r="F318" s="831">
        <v>1</v>
      </c>
      <c r="G318" s="829">
        <v>18.8</v>
      </c>
      <c r="H318" s="832"/>
      <c r="I318" s="833" t="s">
        <v>786</v>
      </c>
    </row>
    <row r="319" spans="1:9">
      <c r="A319" s="818"/>
      <c r="B319" s="831"/>
      <c r="C319" s="829"/>
      <c r="D319" s="832"/>
      <c r="E319" s="833"/>
      <c r="F319" s="831"/>
      <c r="G319" s="829"/>
      <c r="H319" s="832">
        <f>G318*F318</f>
        <v>18.8</v>
      </c>
      <c r="I319" s="833" t="s">
        <v>814</v>
      </c>
    </row>
    <row r="320" spans="1:9">
      <c r="A320" s="818"/>
      <c r="B320" s="831">
        <v>1</v>
      </c>
      <c r="C320" s="829">
        <v>4.2</v>
      </c>
      <c r="D320" s="832"/>
      <c r="E320" s="833" t="s">
        <v>789</v>
      </c>
      <c r="F320" s="831">
        <v>1</v>
      </c>
      <c r="G320" s="829">
        <v>21.7</v>
      </c>
      <c r="H320" s="832"/>
      <c r="I320" s="833" t="s">
        <v>789</v>
      </c>
    </row>
    <row r="321" spans="1:9">
      <c r="A321" s="818"/>
      <c r="B321" s="831"/>
      <c r="C321" s="829">
        <v>7.25</v>
      </c>
      <c r="D321" s="832">
        <f>C320*C321*B320</f>
        <v>30.450000000000003</v>
      </c>
      <c r="E321" s="833"/>
      <c r="F321" s="831"/>
      <c r="G321" s="829"/>
      <c r="H321" s="832">
        <f>G320*F320</f>
        <v>21.7</v>
      </c>
      <c r="I321" s="833" t="s">
        <v>816</v>
      </c>
    </row>
    <row r="322" spans="1:9">
      <c r="A322" s="818"/>
      <c r="B322" s="831"/>
      <c r="C322" s="829"/>
      <c r="D322" s="832"/>
      <c r="E322" s="833"/>
      <c r="F322" s="831">
        <v>2</v>
      </c>
      <c r="G322" s="829">
        <v>3.4</v>
      </c>
      <c r="H322" s="832"/>
      <c r="I322" s="833" t="s">
        <v>84</v>
      </c>
    </row>
    <row r="323" spans="1:9">
      <c r="A323" s="818"/>
      <c r="B323" s="831">
        <v>2</v>
      </c>
      <c r="C323" s="829">
        <v>1.4</v>
      </c>
      <c r="D323" s="832"/>
      <c r="E323" s="833" t="s">
        <v>84</v>
      </c>
      <c r="F323" s="831"/>
      <c r="G323" s="829"/>
      <c r="H323" s="832">
        <f>G322*F322</f>
        <v>6.8</v>
      </c>
      <c r="I323" s="833" t="s">
        <v>819</v>
      </c>
    </row>
    <row r="324" spans="1:9">
      <c r="A324" s="818"/>
      <c r="B324" s="831"/>
      <c r="C324" s="829">
        <v>4.05</v>
      </c>
      <c r="D324" s="832">
        <f>C323*C324*B323</f>
        <v>11.339999999999998</v>
      </c>
      <c r="E324" s="833"/>
      <c r="F324" s="831">
        <v>1</v>
      </c>
      <c r="G324" s="829">
        <v>3.7</v>
      </c>
      <c r="H324" s="832"/>
      <c r="I324" s="833" t="s">
        <v>84</v>
      </c>
    </row>
    <row r="325" spans="1:9">
      <c r="A325" s="818"/>
      <c r="B325" s="831"/>
      <c r="C325" s="829"/>
      <c r="D325" s="832"/>
      <c r="E325" s="833"/>
      <c r="F325" s="831"/>
      <c r="G325" s="829"/>
      <c r="H325" s="832">
        <f>G324*F324</f>
        <v>3.7</v>
      </c>
      <c r="I325" s="833" t="s">
        <v>820</v>
      </c>
    </row>
    <row r="326" spans="1:9">
      <c r="A326" s="818"/>
      <c r="B326" s="831">
        <v>1</v>
      </c>
      <c r="C326" s="829">
        <v>2.7</v>
      </c>
      <c r="D326" s="832"/>
      <c r="E326" s="833" t="s">
        <v>84</v>
      </c>
      <c r="F326" s="831">
        <v>1</v>
      </c>
      <c r="G326" s="829">
        <v>12</v>
      </c>
      <c r="H326" s="832"/>
      <c r="I326" s="833" t="s">
        <v>230</v>
      </c>
    </row>
    <row r="327" spans="1:9">
      <c r="A327" s="818"/>
      <c r="B327" s="831"/>
      <c r="C327" s="829">
        <v>2.0499999999999998</v>
      </c>
      <c r="D327" s="832">
        <f>C326*C327*B326</f>
        <v>5.5350000000000001</v>
      </c>
      <c r="E327" s="833"/>
      <c r="F327" s="831"/>
      <c r="G327" s="829"/>
      <c r="H327" s="832">
        <f>G326*F326</f>
        <v>12</v>
      </c>
      <c r="I327" s="833" t="s">
        <v>822</v>
      </c>
    </row>
    <row r="328" spans="1:9">
      <c r="A328" s="818"/>
      <c r="B328" s="831"/>
      <c r="C328" s="829"/>
      <c r="D328" s="832"/>
      <c r="E328" s="833"/>
      <c r="F328" s="831">
        <v>4</v>
      </c>
      <c r="G328" s="829">
        <v>0.15</v>
      </c>
      <c r="H328" s="832"/>
      <c r="I328" s="833" t="s">
        <v>745</v>
      </c>
    </row>
    <row r="329" spans="1:9">
      <c r="A329" s="818"/>
      <c r="B329" s="831">
        <v>4</v>
      </c>
      <c r="C329" s="829">
        <v>0.98</v>
      </c>
      <c r="D329" s="832"/>
      <c r="E329" s="833" t="s">
        <v>84</v>
      </c>
      <c r="F329" s="831"/>
      <c r="G329" s="829"/>
      <c r="H329" s="832">
        <f>G328*F328</f>
        <v>0.6</v>
      </c>
      <c r="I329" s="833"/>
    </row>
    <row r="330" spans="1:9">
      <c r="A330" s="818"/>
      <c r="B330" s="831"/>
      <c r="C330" s="829">
        <v>1.4</v>
      </c>
      <c r="D330" s="832">
        <f>C329*C330*B329</f>
        <v>5.4879999999999995</v>
      </c>
      <c r="E330" s="833"/>
      <c r="F330" s="831">
        <v>4</v>
      </c>
      <c r="G330" s="829">
        <v>0.15</v>
      </c>
      <c r="H330" s="832"/>
      <c r="I330" s="833">
        <f>SUM('Emer. Super TOS'!H304:H316,H319:H331)</f>
        <v>182.95</v>
      </c>
    </row>
    <row r="331" spans="1:9">
      <c r="A331" s="818"/>
      <c r="B331" s="831"/>
      <c r="C331" s="829"/>
      <c r="D331" s="832"/>
      <c r="E331" s="833"/>
      <c r="F331" s="831"/>
      <c r="G331" s="829"/>
      <c r="H331" s="832">
        <f>G330*F330</f>
        <v>0.6</v>
      </c>
      <c r="I331" s="833"/>
    </row>
    <row r="332" spans="1:9">
      <c r="A332" s="818"/>
      <c r="B332" s="831">
        <v>1</v>
      </c>
      <c r="C332" s="829">
        <v>1.45</v>
      </c>
      <c r="D332" s="832"/>
      <c r="E332" s="833" t="s">
        <v>121</v>
      </c>
      <c r="F332" s="831"/>
      <c r="G332" s="829"/>
      <c r="H332" s="832"/>
      <c r="I332" s="833"/>
    </row>
    <row r="333" spans="1:9">
      <c r="A333" s="818"/>
      <c r="B333" s="831"/>
      <c r="C333" s="829">
        <v>4.05</v>
      </c>
      <c r="D333" s="832">
        <f>C332*C333*B332</f>
        <v>5.8724999999999996</v>
      </c>
      <c r="E333" s="833"/>
      <c r="F333" s="839"/>
      <c r="G333" s="935"/>
      <c r="H333" s="838">
        <f>SUM(H304:H331)</f>
        <v>182.95</v>
      </c>
      <c r="I333" s="839" t="s">
        <v>2528</v>
      </c>
    </row>
    <row r="334" spans="1:9">
      <c r="A334" s="818"/>
      <c r="B334" s="831"/>
      <c r="C334" s="829"/>
      <c r="D334" s="832"/>
      <c r="E334" s="833"/>
      <c r="F334" s="1022"/>
      <c r="G334" s="848"/>
      <c r="H334" s="843"/>
      <c r="I334" s="435"/>
    </row>
    <row r="335" spans="1:9">
      <c r="A335" s="818"/>
      <c r="B335" s="831">
        <v>1</v>
      </c>
      <c r="C335" s="829">
        <v>2.2000000000000002</v>
      </c>
      <c r="D335" s="832"/>
      <c r="E335" s="833" t="s">
        <v>230</v>
      </c>
      <c r="F335" s="831"/>
      <c r="G335" s="829"/>
      <c r="H335" s="832"/>
      <c r="I335" s="844" t="s">
        <v>824</v>
      </c>
    </row>
    <row r="336" spans="1:9">
      <c r="A336" s="818"/>
      <c r="B336" s="831"/>
      <c r="C336" s="829">
        <v>4.2</v>
      </c>
      <c r="D336" s="832">
        <f>C335*C336*B335</f>
        <v>9.240000000000002</v>
      </c>
      <c r="E336" s="833"/>
      <c r="F336" s="831">
        <v>9</v>
      </c>
      <c r="G336" s="829">
        <v>1.55</v>
      </c>
      <c r="H336" s="832"/>
      <c r="I336" s="833" t="s">
        <v>825</v>
      </c>
    </row>
    <row r="337" spans="1:9">
      <c r="A337" s="818"/>
      <c r="B337" s="831"/>
      <c r="C337" s="829"/>
      <c r="D337" s="832"/>
      <c r="E337" s="833"/>
      <c r="F337" s="831"/>
      <c r="G337" s="829"/>
      <c r="H337" s="832">
        <f>G336*F336</f>
        <v>13.950000000000001</v>
      </c>
      <c r="I337" s="833"/>
    </row>
    <row r="338" spans="1:9">
      <c r="A338" s="818"/>
      <c r="B338" s="831">
        <v>2</v>
      </c>
      <c r="C338" s="829">
        <v>1.4</v>
      </c>
      <c r="D338" s="832"/>
      <c r="E338" s="833" t="s">
        <v>745</v>
      </c>
      <c r="F338" s="831">
        <v>2</v>
      </c>
      <c r="G338" s="829">
        <v>1.35</v>
      </c>
      <c r="H338" s="832"/>
      <c r="I338" s="833" t="s">
        <v>355</v>
      </c>
    </row>
    <row r="339" spans="1:9">
      <c r="A339" s="818"/>
      <c r="B339" s="831"/>
      <c r="C339" s="829">
        <v>0.2</v>
      </c>
      <c r="D339" s="832">
        <v>0.55999999999999994</v>
      </c>
      <c r="E339" s="833"/>
      <c r="F339" s="831"/>
      <c r="G339" s="829"/>
      <c r="H339" s="832">
        <f>G338*F338</f>
        <v>2.7</v>
      </c>
      <c r="I339" s="833"/>
    </row>
    <row r="340" spans="1:9">
      <c r="A340" s="818"/>
      <c r="B340" s="831"/>
      <c r="C340" s="829"/>
      <c r="D340" s="832"/>
      <c r="E340" s="833"/>
      <c r="F340" s="831">
        <v>1</v>
      </c>
      <c r="G340" s="829">
        <v>4.3</v>
      </c>
      <c r="H340" s="832"/>
      <c r="I340" s="833" t="s">
        <v>826</v>
      </c>
    </row>
    <row r="341" spans="1:9">
      <c r="A341" s="818"/>
      <c r="B341" s="831">
        <v>2</v>
      </c>
      <c r="C341" s="829">
        <v>1.2</v>
      </c>
      <c r="D341" s="832"/>
      <c r="E341" s="833" t="s">
        <v>806</v>
      </c>
      <c r="F341" s="831"/>
      <c r="G341" s="829"/>
      <c r="H341" s="832">
        <f>G340*F340</f>
        <v>4.3</v>
      </c>
      <c r="I341" s="833"/>
    </row>
    <row r="342" spans="1:9">
      <c r="A342" s="818"/>
      <c r="B342" s="831"/>
      <c r="C342" s="829">
        <v>0.15</v>
      </c>
      <c r="D342" s="832">
        <f>C341*C342*B341</f>
        <v>0.36</v>
      </c>
      <c r="E342" s="833"/>
      <c r="F342" s="831">
        <v>2</v>
      </c>
      <c r="G342" s="829">
        <v>1.3</v>
      </c>
      <c r="H342" s="832"/>
      <c r="I342" s="833" t="s">
        <v>367</v>
      </c>
    </row>
    <row r="343" spans="1:9">
      <c r="A343" s="818"/>
      <c r="B343" s="831"/>
      <c r="C343" s="829"/>
      <c r="D343" s="832"/>
      <c r="E343" s="833"/>
      <c r="F343" s="831"/>
      <c r="G343" s="829"/>
      <c r="H343" s="832">
        <f>G342*F342</f>
        <v>2.6</v>
      </c>
      <c r="I343" s="833"/>
    </row>
    <row r="344" spans="1:9">
      <c r="A344" s="818"/>
      <c r="B344" s="831">
        <v>4</v>
      </c>
      <c r="C344" s="829">
        <v>1</v>
      </c>
      <c r="D344" s="832"/>
      <c r="E344" s="833" t="s">
        <v>807</v>
      </c>
      <c r="F344" s="831">
        <v>1</v>
      </c>
      <c r="G344" s="829">
        <v>1.05</v>
      </c>
      <c r="H344" s="832"/>
      <c r="I344" s="833" t="s">
        <v>619</v>
      </c>
    </row>
    <row r="345" spans="1:9">
      <c r="A345" s="818"/>
      <c r="B345" s="831"/>
      <c r="C345" s="829">
        <v>0.2</v>
      </c>
      <c r="D345" s="832">
        <f>C344*C345*B344</f>
        <v>0.8</v>
      </c>
      <c r="E345" s="833"/>
      <c r="F345" s="831"/>
      <c r="G345" s="829"/>
      <c r="H345" s="832">
        <f>G344*F344</f>
        <v>1.05</v>
      </c>
      <c r="I345" s="833"/>
    </row>
    <row r="346" spans="1:9">
      <c r="A346" s="818"/>
      <c r="B346" s="831"/>
      <c r="C346" s="829"/>
      <c r="D346" s="832"/>
      <c r="E346" s="833"/>
      <c r="F346" s="831">
        <v>1</v>
      </c>
      <c r="G346" s="829">
        <v>1.25</v>
      </c>
      <c r="H346" s="832"/>
      <c r="I346" s="833" t="s">
        <v>827</v>
      </c>
    </row>
    <row r="347" spans="1:9">
      <c r="A347" s="818"/>
      <c r="B347" s="831">
        <v>5</v>
      </c>
      <c r="C347" s="829">
        <v>0.9</v>
      </c>
      <c r="D347" s="832"/>
      <c r="E347" s="833" t="s">
        <v>162</v>
      </c>
      <c r="F347" s="831"/>
      <c r="G347" s="829"/>
      <c r="H347" s="832">
        <f>G346*F346</f>
        <v>1.25</v>
      </c>
      <c r="I347" s="833"/>
    </row>
    <row r="348" spans="1:9">
      <c r="A348" s="818"/>
      <c r="B348" s="831"/>
      <c r="C348" s="829">
        <v>0.2</v>
      </c>
      <c r="D348" s="832">
        <f>C347*C348*B347</f>
        <v>0.90000000000000013</v>
      </c>
      <c r="E348" s="833"/>
      <c r="F348" s="831"/>
      <c r="G348" s="829"/>
      <c r="H348" s="832"/>
      <c r="I348" s="833"/>
    </row>
    <row r="349" spans="1:9">
      <c r="A349" s="818"/>
      <c r="B349" s="831"/>
      <c r="C349" s="829"/>
      <c r="D349" s="832"/>
      <c r="E349" s="833"/>
      <c r="F349" s="839"/>
      <c r="G349" s="935"/>
      <c r="H349" s="838">
        <f ca="1">SUM(H336:H349)</f>
        <v>25.850000000000005</v>
      </c>
      <c r="I349" s="839" t="s">
        <v>2527</v>
      </c>
    </row>
    <row r="350" spans="1:9">
      <c r="A350" s="818"/>
      <c r="B350" s="831">
        <v>3</v>
      </c>
      <c r="C350" s="829">
        <v>0.8</v>
      </c>
      <c r="D350" s="832"/>
      <c r="E350" s="833" t="s">
        <v>111</v>
      </c>
      <c r="F350" s="831"/>
      <c r="G350" s="829"/>
      <c r="H350" s="832"/>
      <c r="I350" s="833"/>
    </row>
    <row r="351" spans="1:9">
      <c r="A351" s="818"/>
      <c r="B351" s="831"/>
      <c r="C351" s="829">
        <v>0.15</v>
      </c>
      <c r="D351" s="832">
        <f>C350*C351*B350</f>
        <v>0.36</v>
      </c>
      <c r="E351" s="833"/>
      <c r="F351" s="831"/>
      <c r="G351" s="829"/>
      <c r="H351" s="843"/>
      <c r="I351" s="833"/>
    </row>
    <row r="352" spans="1:9">
      <c r="A352" s="818"/>
      <c r="B352" s="831"/>
      <c r="C352" s="829"/>
      <c r="D352" s="832"/>
      <c r="E352" s="833"/>
      <c r="F352" s="831"/>
      <c r="G352" s="829"/>
      <c r="H352" s="832"/>
      <c r="I352" s="833"/>
    </row>
    <row r="353" spans="1:9">
      <c r="A353" s="818"/>
      <c r="B353" s="831">
        <v>5</v>
      </c>
      <c r="C353" s="829">
        <v>0.7</v>
      </c>
      <c r="D353" s="832"/>
      <c r="E353" s="833" t="s">
        <v>346</v>
      </c>
      <c r="F353" s="1022"/>
      <c r="G353" s="848"/>
      <c r="H353" s="843"/>
      <c r="I353" s="435"/>
    </row>
    <row r="354" spans="1:9">
      <c r="A354" s="818"/>
      <c r="B354" s="831"/>
      <c r="C354" s="829">
        <v>0.1</v>
      </c>
      <c r="D354" s="832">
        <f>C353*C354*B353</f>
        <v>0.35</v>
      </c>
      <c r="E354" s="833"/>
      <c r="F354" s="1022"/>
      <c r="G354" s="848"/>
      <c r="H354" s="843"/>
      <c r="I354" s="435"/>
    </row>
    <row r="355" spans="1:9">
      <c r="A355" s="818"/>
      <c r="B355" s="831"/>
      <c r="C355" s="829"/>
      <c r="D355" s="832"/>
      <c r="E355" s="833"/>
      <c r="F355" s="1022"/>
      <c r="G355" s="848"/>
      <c r="H355" s="843"/>
      <c r="I355" s="435"/>
    </row>
    <row r="356" spans="1:9">
      <c r="A356" s="818"/>
      <c r="B356" s="831">
        <v>3</v>
      </c>
      <c r="C356" s="829">
        <v>0.9</v>
      </c>
      <c r="D356" s="832"/>
      <c r="E356" s="833" t="s">
        <v>59</v>
      </c>
      <c r="F356" s="1022"/>
      <c r="G356" s="848"/>
      <c r="H356" s="843"/>
      <c r="I356" s="435"/>
    </row>
    <row r="357" spans="1:9">
      <c r="A357" s="818"/>
      <c r="B357" s="831"/>
      <c r="C357" s="829">
        <v>0.15</v>
      </c>
      <c r="D357" s="832">
        <f>C356*C357*B356</f>
        <v>0.40500000000000003</v>
      </c>
      <c r="E357" s="833"/>
      <c r="F357" s="1022"/>
      <c r="G357" s="848"/>
      <c r="H357" s="843"/>
      <c r="I357" s="435"/>
    </row>
    <row r="358" spans="1:9">
      <c r="A358" s="818"/>
      <c r="B358" s="831"/>
      <c r="C358" s="829"/>
      <c r="D358" s="832"/>
      <c r="E358" s="833"/>
      <c r="F358" s="1022"/>
      <c r="G358" s="848"/>
      <c r="H358" s="843"/>
      <c r="I358" s="435"/>
    </row>
    <row r="359" spans="1:9">
      <c r="A359" s="818"/>
      <c r="B359" s="857"/>
      <c r="C359" s="970"/>
      <c r="D359" s="858">
        <f>SUM(D303:D357)+SUM(H295:H298)</f>
        <v>239.65050000000005</v>
      </c>
      <c r="E359" s="857" t="s">
        <v>2148</v>
      </c>
      <c r="F359" s="860"/>
      <c r="G359" s="927"/>
      <c r="H359" s="928"/>
      <c r="I359" s="109"/>
    </row>
    <row r="360" spans="1:9">
      <c r="A360" s="818"/>
      <c r="B360" s="853" t="s">
        <v>1884</v>
      </c>
      <c r="C360" s="854" t="s">
        <v>526</v>
      </c>
      <c r="D360" s="855" t="s">
        <v>1885</v>
      </c>
      <c r="E360" s="854" t="s">
        <v>1886</v>
      </c>
      <c r="F360" s="853" t="s">
        <v>1884</v>
      </c>
      <c r="G360" s="855" t="s">
        <v>526</v>
      </c>
      <c r="H360" s="856" t="s">
        <v>1885</v>
      </c>
      <c r="I360" s="854" t="s">
        <v>1886</v>
      </c>
    </row>
    <row r="361" spans="1:9">
      <c r="A361" s="818"/>
      <c r="B361" s="831"/>
      <c r="C361" s="829"/>
      <c r="D361" s="832"/>
      <c r="E361" s="844" t="s">
        <v>274</v>
      </c>
      <c r="F361" s="831"/>
      <c r="G361" s="829"/>
      <c r="H361" s="832"/>
      <c r="I361" s="844" t="s">
        <v>279</v>
      </c>
    </row>
    <row r="362" spans="1:9">
      <c r="A362" s="818"/>
      <c r="B362" s="831">
        <v>2</v>
      </c>
      <c r="C362" s="829">
        <v>25.7</v>
      </c>
      <c r="D362" s="832"/>
      <c r="E362" s="844" t="s">
        <v>275</v>
      </c>
      <c r="F362" s="831"/>
      <c r="G362" s="829"/>
      <c r="H362" s="832"/>
      <c r="I362" s="844" t="s">
        <v>831</v>
      </c>
    </row>
    <row r="363" spans="1:9">
      <c r="A363" s="818"/>
      <c r="B363" s="831"/>
      <c r="C363" s="829">
        <v>1.2</v>
      </c>
      <c r="D363" s="832">
        <f>C362*C363*B362</f>
        <v>61.679999999999993</v>
      </c>
      <c r="E363" s="833"/>
      <c r="I363" s="833" t="s">
        <v>2529</v>
      </c>
    </row>
    <row r="364" spans="1:9">
      <c r="A364" s="818"/>
      <c r="B364" s="831"/>
      <c r="C364" s="829"/>
      <c r="D364" s="832"/>
      <c r="E364" s="833" t="s">
        <v>829</v>
      </c>
      <c r="F364" s="831">
        <v>1</v>
      </c>
      <c r="G364" s="829">
        <v>11.4</v>
      </c>
      <c r="H364" s="832"/>
      <c r="I364" s="833"/>
    </row>
    <row r="365" spans="1:9">
      <c r="A365" s="818"/>
      <c r="B365" s="831">
        <v>2</v>
      </c>
      <c r="C365" s="829">
        <v>11.35</v>
      </c>
      <c r="D365" s="832"/>
      <c r="E365" s="833"/>
      <c r="F365" s="839"/>
      <c r="G365" s="839"/>
      <c r="H365" s="838">
        <f>F364*G364</f>
        <v>11.4</v>
      </c>
      <c r="I365" s="845" t="s">
        <v>2385</v>
      </c>
    </row>
    <row r="366" spans="1:9">
      <c r="A366" s="818"/>
      <c r="B366" s="831"/>
      <c r="C366" s="829">
        <v>1.2</v>
      </c>
      <c r="D366" s="832">
        <f>C365*C366*B365</f>
        <v>27.24</v>
      </c>
      <c r="E366" s="833" t="s">
        <v>830</v>
      </c>
      <c r="I366" s="833"/>
    </row>
    <row r="367" spans="1:9">
      <c r="A367" s="818"/>
      <c r="B367" s="831"/>
      <c r="C367" s="829"/>
      <c r="D367" s="832"/>
      <c r="E367" s="833"/>
      <c r="F367" s="831"/>
      <c r="G367" s="829"/>
      <c r="H367" s="832"/>
      <c r="I367" s="833" t="s">
        <v>1272</v>
      </c>
    </row>
    <row r="368" spans="1:9">
      <c r="A368" s="818"/>
      <c r="B368" s="839"/>
      <c r="C368" s="935"/>
      <c r="D368" s="838">
        <f>SUM(D363:D366)</f>
        <v>88.919999999999987</v>
      </c>
      <c r="E368" s="839" t="s">
        <v>2272</v>
      </c>
      <c r="F368" s="831">
        <v>1</v>
      </c>
      <c r="G368" s="829">
        <v>9</v>
      </c>
      <c r="H368" s="832"/>
      <c r="I368" s="833"/>
    </row>
    <row r="369" spans="1:9">
      <c r="A369" s="818"/>
      <c r="B369" s="831"/>
      <c r="C369" s="829"/>
      <c r="D369" s="832"/>
      <c r="E369" s="833"/>
      <c r="F369" s="839"/>
      <c r="G369" s="839"/>
      <c r="H369" s="838">
        <f>F368*G368</f>
        <v>9</v>
      </c>
      <c r="I369" s="845" t="s">
        <v>2386</v>
      </c>
    </row>
    <row r="370" spans="1:9">
      <c r="A370" s="818"/>
      <c r="B370" s="831"/>
      <c r="C370" s="829"/>
      <c r="D370" s="832"/>
      <c r="E370" s="844" t="s">
        <v>2525</v>
      </c>
      <c r="F370" s="831"/>
      <c r="G370" s="829"/>
      <c r="H370" s="435"/>
      <c r="I370" s="833"/>
    </row>
    <row r="371" spans="1:9">
      <c r="A371" s="818"/>
      <c r="B371" s="831">
        <v>2</v>
      </c>
      <c r="C371" s="829">
        <v>26.3</v>
      </c>
      <c r="D371" s="832"/>
      <c r="E371" s="833" t="s">
        <v>815</v>
      </c>
      <c r="F371" s="831"/>
      <c r="G371" s="829"/>
      <c r="H371" s="832"/>
      <c r="I371" s="833" t="s">
        <v>1273</v>
      </c>
    </row>
    <row r="372" spans="1:9">
      <c r="A372" s="818"/>
      <c r="B372" s="831"/>
      <c r="C372" s="829"/>
      <c r="D372" s="832">
        <f>B371*C371</f>
        <v>52.6</v>
      </c>
      <c r="E372" s="833"/>
      <c r="F372" s="831">
        <v>1</v>
      </c>
      <c r="G372" s="829">
        <v>17.7</v>
      </c>
      <c r="H372" s="832"/>
      <c r="I372" s="833"/>
    </row>
    <row r="373" spans="1:9">
      <c r="A373" s="818"/>
      <c r="B373" s="831"/>
      <c r="C373" s="829"/>
      <c r="D373" s="832"/>
      <c r="E373" s="833"/>
      <c r="F373" s="839"/>
      <c r="G373" s="839"/>
      <c r="H373" s="838">
        <f>F372*G372</f>
        <v>17.7</v>
      </c>
      <c r="I373" s="845" t="s">
        <v>2387</v>
      </c>
    </row>
    <row r="374" spans="1:9">
      <c r="A374" s="818"/>
      <c r="B374" s="831">
        <v>1</v>
      </c>
      <c r="C374" s="829">
        <v>14.15</v>
      </c>
      <c r="D374" s="832"/>
      <c r="E374" s="833" t="s">
        <v>817</v>
      </c>
      <c r="F374" s="831"/>
      <c r="G374" s="829"/>
      <c r="H374" s="832"/>
      <c r="I374" s="833"/>
    </row>
    <row r="375" spans="1:9">
      <c r="A375" s="818"/>
      <c r="B375" s="831"/>
      <c r="C375" s="829"/>
      <c r="D375" s="832">
        <f>B374*C374</f>
        <v>14.15</v>
      </c>
      <c r="E375" s="833" t="s">
        <v>818</v>
      </c>
      <c r="F375" s="831"/>
      <c r="G375" s="829"/>
      <c r="H375" s="832"/>
      <c r="I375" s="844" t="s">
        <v>372</v>
      </c>
    </row>
    <row r="376" spans="1:9">
      <c r="A376" s="818"/>
      <c r="B376" s="831"/>
      <c r="C376" s="829"/>
      <c r="D376" s="832"/>
      <c r="E376" s="833"/>
      <c r="F376" s="831">
        <v>6</v>
      </c>
      <c r="G376" s="829">
        <v>1</v>
      </c>
      <c r="H376" s="832"/>
      <c r="I376" s="833"/>
    </row>
    <row r="377" spans="1:9">
      <c r="A377" s="818"/>
      <c r="B377" s="839"/>
      <c r="C377" s="935"/>
      <c r="D377" s="838">
        <f>SUM(D371:D375)</f>
        <v>66.75</v>
      </c>
      <c r="E377" s="839" t="s">
        <v>2472</v>
      </c>
      <c r="F377" s="839"/>
      <c r="G377" s="839"/>
      <c r="H377" s="838">
        <f>F376*G376</f>
        <v>6</v>
      </c>
      <c r="I377" s="845" t="s">
        <v>2889</v>
      </c>
    </row>
    <row r="378" spans="1:9">
      <c r="A378" s="818"/>
      <c r="B378" s="831"/>
      <c r="C378" s="829"/>
      <c r="D378" s="832"/>
      <c r="E378" s="833"/>
      <c r="F378" s="435"/>
      <c r="G378" s="435"/>
      <c r="H378" s="435"/>
      <c r="I378" s="1022"/>
    </row>
    <row r="379" spans="1:9">
      <c r="A379" s="818"/>
      <c r="B379" s="831"/>
      <c r="C379" s="829"/>
      <c r="D379" s="832"/>
      <c r="E379" s="844" t="s">
        <v>821</v>
      </c>
      <c r="F379" s="831"/>
      <c r="G379" s="829"/>
      <c r="H379" s="832"/>
      <c r="I379" s="844" t="s">
        <v>5</v>
      </c>
    </row>
    <row r="380" spans="1:9">
      <c r="A380" s="818"/>
      <c r="B380" s="831">
        <v>2</v>
      </c>
      <c r="C380" s="829">
        <v>26.8</v>
      </c>
      <c r="D380" s="832"/>
      <c r="E380" s="833" t="s">
        <v>2526</v>
      </c>
      <c r="F380" s="831"/>
      <c r="G380" s="829"/>
      <c r="H380" s="832"/>
      <c r="I380" s="844" t="s">
        <v>377</v>
      </c>
    </row>
    <row r="381" spans="1:9">
      <c r="A381" s="818"/>
      <c r="B381" s="831"/>
      <c r="C381" s="829"/>
      <c r="D381" s="832">
        <f>C380*B380</f>
        <v>53.6</v>
      </c>
      <c r="E381" s="833"/>
      <c r="F381" s="831"/>
      <c r="G381" s="829"/>
      <c r="H381" s="832"/>
      <c r="I381" s="844" t="s">
        <v>283</v>
      </c>
    </row>
    <row r="382" spans="1:9">
      <c r="A382" s="818"/>
      <c r="B382" s="831"/>
      <c r="C382" s="829"/>
      <c r="D382" s="832"/>
      <c r="E382" s="833"/>
      <c r="F382" s="831">
        <v>56</v>
      </c>
      <c r="G382" s="829">
        <v>1</v>
      </c>
      <c r="H382" s="832"/>
      <c r="I382" s="844"/>
    </row>
    <row r="383" spans="1:9">
      <c r="A383" s="818"/>
      <c r="B383" s="831">
        <v>1</v>
      </c>
      <c r="C383" s="829">
        <v>14.95</v>
      </c>
      <c r="D383" s="832"/>
      <c r="E383" s="833" t="s">
        <v>823</v>
      </c>
      <c r="F383" s="839"/>
      <c r="G383" s="839"/>
      <c r="H383" s="838">
        <f>F382*G382</f>
        <v>56</v>
      </c>
      <c r="I383" s="845" t="s">
        <v>2390</v>
      </c>
    </row>
    <row r="384" spans="1:9">
      <c r="A384" s="818"/>
      <c r="B384" s="831"/>
      <c r="C384" s="829"/>
      <c r="D384" s="832">
        <f>C383*B383</f>
        <v>14.95</v>
      </c>
      <c r="E384" s="833"/>
      <c r="F384" s="435"/>
      <c r="G384" s="435"/>
      <c r="H384" s="435"/>
      <c r="I384" s="1022"/>
    </row>
    <row r="385" spans="1:9">
      <c r="A385" s="818"/>
      <c r="B385" s="831"/>
      <c r="C385" s="829"/>
      <c r="D385" s="832"/>
      <c r="E385" s="833"/>
      <c r="F385" s="831"/>
      <c r="G385" s="829"/>
      <c r="H385" s="832"/>
      <c r="I385" s="844" t="s">
        <v>382</v>
      </c>
    </row>
    <row r="386" spans="1:9">
      <c r="A386" s="818"/>
      <c r="B386" s="839"/>
      <c r="C386" s="935"/>
      <c r="D386" s="838">
        <f>SUM(D381:D385)</f>
        <v>68.55</v>
      </c>
      <c r="E386" s="839" t="s">
        <v>2890</v>
      </c>
      <c r="F386" s="831">
        <v>4</v>
      </c>
      <c r="G386" s="829">
        <v>1</v>
      </c>
      <c r="H386" s="832"/>
      <c r="I386" s="844"/>
    </row>
    <row r="387" spans="1:9">
      <c r="A387" s="818"/>
      <c r="B387" s="831"/>
      <c r="C387" s="829"/>
      <c r="D387" s="832"/>
      <c r="E387" s="833"/>
      <c r="F387" s="839"/>
      <c r="G387" s="839"/>
      <c r="H387" s="838">
        <f>F386*G386</f>
        <v>4</v>
      </c>
      <c r="I387" s="845" t="s">
        <v>2391</v>
      </c>
    </row>
    <row r="388" spans="1:9">
      <c r="A388" s="818"/>
      <c r="B388" s="831"/>
      <c r="C388" s="829"/>
      <c r="D388" s="832"/>
      <c r="E388" s="844" t="s">
        <v>369</v>
      </c>
      <c r="F388" s="831"/>
      <c r="G388" s="829"/>
      <c r="H388" s="832"/>
      <c r="I388" s="844"/>
    </row>
    <row r="389" spans="1:9">
      <c r="A389" s="818"/>
      <c r="B389" s="831"/>
      <c r="C389" s="829"/>
      <c r="D389" s="832"/>
      <c r="E389" s="844" t="s">
        <v>2329</v>
      </c>
      <c r="F389" s="831"/>
      <c r="G389" s="829"/>
      <c r="H389" s="832"/>
      <c r="I389" s="844" t="s">
        <v>384</v>
      </c>
    </row>
    <row r="390" spans="1:9">
      <c r="A390" s="818"/>
      <c r="B390" s="831"/>
      <c r="C390" s="829"/>
      <c r="D390" s="832"/>
      <c r="E390" s="844"/>
      <c r="F390" s="831">
        <v>14</v>
      </c>
      <c r="G390" s="829">
        <v>1</v>
      </c>
      <c r="H390" s="832"/>
      <c r="I390" s="844"/>
    </row>
    <row r="391" spans="1:9">
      <c r="A391" s="818"/>
      <c r="B391" s="839"/>
      <c r="C391" s="839"/>
      <c r="D391" s="838">
        <f>H247</f>
        <v>646.27750000000003</v>
      </c>
      <c r="E391" s="845" t="s">
        <v>2156</v>
      </c>
      <c r="F391" s="839"/>
      <c r="G391" s="839"/>
      <c r="H391" s="838">
        <f>F390*G390</f>
        <v>14</v>
      </c>
      <c r="I391" s="845" t="s">
        <v>2392</v>
      </c>
    </row>
    <row r="392" spans="1:9">
      <c r="A392" s="818"/>
      <c r="B392" s="831"/>
      <c r="C392" s="829"/>
      <c r="D392" s="832"/>
      <c r="E392" s="833"/>
      <c r="F392" s="831"/>
      <c r="G392" s="829"/>
      <c r="H392" s="832"/>
      <c r="I392" s="844"/>
    </row>
    <row r="393" spans="1:9">
      <c r="A393" s="818"/>
      <c r="B393" s="831"/>
      <c r="C393" s="829"/>
      <c r="D393" s="832"/>
      <c r="E393" s="844" t="s">
        <v>272</v>
      </c>
      <c r="F393" s="831"/>
      <c r="G393" s="829"/>
      <c r="H393" s="832"/>
      <c r="I393" s="844" t="s">
        <v>386</v>
      </c>
    </row>
    <row r="394" spans="1:9">
      <c r="A394" s="818"/>
      <c r="B394" s="839"/>
      <c r="C394" s="839"/>
      <c r="D394" s="838">
        <f>H289</f>
        <v>231.24750000000006</v>
      </c>
      <c r="E394" s="845" t="s">
        <v>2157</v>
      </c>
      <c r="F394" s="831">
        <v>6</v>
      </c>
      <c r="G394" s="829">
        <v>1</v>
      </c>
      <c r="H394" s="832"/>
      <c r="I394" s="844"/>
    </row>
    <row r="395" spans="1:9">
      <c r="A395" s="818"/>
      <c r="B395" s="831"/>
      <c r="C395" s="829"/>
      <c r="D395" s="832"/>
      <c r="E395" s="833"/>
      <c r="F395" s="839"/>
      <c r="G395" s="839"/>
      <c r="H395" s="838">
        <f>F394*G394</f>
        <v>6</v>
      </c>
      <c r="I395" s="845" t="s">
        <v>2891</v>
      </c>
    </row>
    <row r="396" spans="1:9">
      <c r="A396" s="818"/>
      <c r="B396" s="831"/>
      <c r="C396" s="829"/>
      <c r="D396" s="832"/>
      <c r="E396" s="844" t="s">
        <v>273</v>
      </c>
      <c r="F396" s="435"/>
      <c r="G396" s="435"/>
      <c r="H396" s="435"/>
      <c r="I396" s="1022"/>
    </row>
    <row r="397" spans="1:9">
      <c r="A397" s="818"/>
      <c r="B397" s="839"/>
      <c r="C397" s="839"/>
      <c r="D397" s="838">
        <f>H177</f>
        <v>135.69750000000002</v>
      </c>
      <c r="E397" s="845" t="s">
        <v>2158</v>
      </c>
      <c r="F397" s="831"/>
      <c r="G397" s="829"/>
      <c r="H397" s="832"/>
      <c r="I397" s="844" t="s">
        <v>287</v>
      </c>
    </row>
    <row r="398" spans="1:9">
      <c r="A398" s="818"/>
      <c r="B398" s="831"/>
      <c r="C398" s="829"/>
      <c r="D398" s="832"/>
      <c r="E398" s="833"/>
      <c r="F398" s="831"/>
      <c r="G398" s="829"/>
      <c r="H398" s="832"/>
      <c r="I398" s="844" t="s">
        <v>288</v>
      </c>
    </row>
    <row r="399" spans="1:9">
      <c r="A399" s="818"/>
      <c r="B399" s="831"/>
      <c r="C399" s="829"/>
      <c r="D399" s="832"/>
      <c r="E399" s="844" t="s">
        <v>9</v>
      </c>
      <c r="F399" s="831">
        <v>30</v>
      </c>
      <c r="G399" s="829">
        <v>1</v>
      </c>
      <c r="H399" s="832"/>
      <c r="I399" s="844"/>
    </row>
    <row r="400" spans="1:9">
      <c r="A400" s="818"/>
      <c r="B400" s="831"/>
      <c r="C400" s="829"/>
      <c r="D400" s="832"/>
      <c r="E400" s="844" t="s">
        <v>448</v>
      </c>
      <c r="F400" s="839"/>
      <c r="G400" s="839"/>
      <c r="H400" s="838">
        <f>F399*G399</f>
        <v>30</v>
      </c>
      <c r="I400" s="845" t="s">
        <v>2394</v>
      </c>
    </row>
    <row r="401" spans="1:9">
      <c r="A401" s="818"/>
      <c r="B401" s="831"/>
      <c r="C401" s="829"/>
      <c r="D401" s="832"/>
      <c r="E401" s="833" t="s">
        <v>1270</v>
      </c>
      <c r="F401" s="831"/>
      <c r="G401" s="829"/>
      <c r="H401" s="832"/>
      <c r="I401" s="844"/>
    </row>
    <row r="402" spans="1:9">
      <c r="A402" s="818"/>
      <c r="B402" s="831">
        <v>1</v>
      </c>
      <c r="C402" s="829">
        <v>17.190000000000001</v>
      </c>
      <c r="D402" s="832"/>
      <c r="E402" s="833"/>
      <c r="F402" s="831"/>
      <c r="G402" s="829"/>
      <c r="H402" s="832"/>
      <c r="I402" s="844" t="s">
        <v>289</v>
      </c>
    </row>
    <row r="403" spans="1:9">
      <c r="A403" s="818"/>
      <c r="B403" s="839"/>
      <c r="C403" s="839"/>
      <c r="D403" s="838">
        <f>B402*C402</f>
        <v>17.190000000000001</v>
      </c>
      <c r="E403" s="845" t="s">
        <v>2447</v>
      </c>
      <c r="F403" s="831">
        <v>1</v>
      </c>
      <c r="G403" s="829">
        <v>1</v>
      </c>
      <c r="H403" s="832"/>
      <c r="I403" s="844"/>
    </row>
    <row r="404" spans="1:9">
      <c r="A404" s="818"/>
      <c r="B404" s="831"/>
      <c r="C404" s="829"/>
      <c r="D404" s="832"/>
      <c r="E404" s="833"/>
      <c r="F404" s="839"/>
      <c r="G404" s="839"/>
      <c r="H404" s="838">
        <f>F403*G403</f>
        <v>1</v>
      </c>
      <c r="I404" s="845" t="s">
        <v>2395</v>
      </c>
    </row>
    <row r="405" spans="1:9">
      <c r="A405" s="818"/>
      <c r="B405" s="831"/>
      <c r="C405" s="829"/>
      <c r="D405" s="832"/>
      <c r="E405" s="833" t="s">
        <v>1271</v>
      </c>
      <c r="F405" s="435"/>
      <c r="G405" s="435"/>
      <c r="H405" s="435"/>
      <c r="I405" s="1022"/>
    </row>
    <row r="406" spans="1:9">
      <c r="A406" s="818"/>
      <c r="B406" s="831">
        <v>1</v>
      </c>
      <c r="C406" s="829">
        <v>3.05</v>
      </c>
      <c r="D406" s="832"/>
      <c r="E406" s="833"/>
      <c r="F406" s="831"/>
      <c r="G406" s="829"/>
      <c r="H406" s="832"/>
      <c r="I406" s="844" t="s">
        <v>390</v>
      </c>
    </row>
    <row r="407" spans="1:9">
      <c r="A407" s="818"/>
      <c r="B407" s="839"/>
      <c r="C407" s="839"/>
      <c r="D407" s="838">
        <f>B406*C406</f>
        <v>3.05</v>
      </c>
      <c r="E407" s="845" t="s">
        <v>2380</v>
      </c>
      <c r="F407" s="831"/>
      <c r="G407" s="829"/>
      <c r="H407" s="832"/>
      <c r="I407" s="844" t="s">
        <v>391</v>
      </c>
    </row>
    <row r="408" spans="1:9">
      <c r="A408" s="818"/>
      <c r="F408" s="831">
        <v>30</v>
      </c>
      <c r="G408" s="829">
        <v>1</v>
      </c>
      <c r="H408" s="832"/>
      <c r="I408" s="844"/>
    </row>
    <row r="409" spans="1:9">
      <c r="A409" s="818"/>
      <c r="B409" s="831"/>
      <c r="C409" s="829"/>
      <c r="D409" s="832"/>
      <c r="E409" s="833" t="s">
        <v>371</v>
      </c>
      <c r="F409" s="839"/>
      <c r="G409" s="839"/>
      <c r="H409" s="838">
        <f>F408*G408</f>
        <v>30</v>
      </c>
      <c r="I409" s="845" t="s">
        <v>2398</v>
      </c>
    </row>
    <row r="410" spans="1:9">
      <c r="A410" s="818"/>
      <c r="B410" s="831">
        <v>1</v>
      </c>
      <c r="C410" s="829">
        <v>4.2</v>
      </c>
      <c r="D410" s="832"/>
      <c r="E410" s="833"/>
      <c r="F410" s="831"/>
      <c r="G410" s="829"/>
      <c r="H410" s="832"/>
      <c r="I410" s="844"/>
    </row>
    <row r="411" spans="1:9">
      <c r="A411" s="818"/>
      <c r="B411" s="839"/>
      <c r="C411" s="839"/>
      <c r="D411" s="838">
        <f>B410*C410</f>
        <v>4.2</v>
      </c>
      <c r="E411" s="845" t="s">
        <v>2381</v>
      </c>
      <c r="F411" s="831"/>
      <c r="G411" s="829"/>
      <c r="H411" s="832"/>
      <c r="I411" s="844" t="s">
        <v>734</v>
      </c>
    </row>
    <row r="412" spans="1:9">
      <c r="A412" s="818"/>
      <c r="B412" s="831"/>
      <c r="C412" s="829"/>
      <c r="D412" s="832"/>
      <c r="E412" s="844"/>
      <c r="F412" s="831">
        <v>1</v>
      </c>
      <c r="G412" s="829">
        <v>1</v>
      </c>
      <c r="H412" s="832"/>
      <c r="I412" s="1022"/>
    </row>
    <row r="413" spans="1:9">
      <c r="A413" s="818"/>
      <c r="B413" s="831"/>
      <c r="C413" s="829"/>
      <c r="D413" s="832"/>
      <c r="E413" s="844" t="s">
        <v>374</v>
      </c>
      <c r="F413" s="839"/>
      <c r="G413" s="839"/>
      <c r="H413" s="838">
        <f>F412*G412</f>
        <v>1</v>
      </c>
      <c r="I413" s="845" t="s">
        <v>2399</v>
      </c>
    </row>
    <row r="414" spans="1:9">
      <c r="A414" s="818"/>
      <c r="B414" s="831"/>
      <c r="C414" s="829"/>
      <c r="D414" s="832"/>
      <c r="E414" s="833" t="s">
        <v>2892</v>
      </c>
      <c r="F414" s="435"/>
      <c r="G414" s="829"/>
      <c r="H414" s="843"/>
      <c r="I414" s="1022"/>
    </row>
    <row r="415" spans="1:9">
      <c r="A415" s="818"/>
      <c r="B415" s="831">
        <v>3</v>
      </c>
      <c r="C415" s="829">
        <v>1</v>
      </c>
      <c r="D415" s="832"/>
      <c r="E415" s="833"/>
      <c r="F415" s="435"/>
      <c r="G415" s="435"/>
      <c r="H415" s="435"/>
      <c r="I415" s="1022"/>
    </row>
    <row r="416" spans="1:9">
      <c r="A416" s="818"/>
      <c r="B416" s="839"/>
      <c r="C416" s="839"/>
      <c r="D416" s="838">
        <f>B415*C415</f>
        <v>3</v>
      </c>
      <c r="E416" s="845" t="s">
        <v>2893</v>
      </c>
      <c r="F416" s="435"/>
      <c r="G416" s="829"/>
      <c r="H416" s="843"/>
      <c r="I416" s="442"/>
    </row>
    <row r="417" spans="1:9">
      <c r="A417" s="818"/>
      <c r="B417" s="109"/>
      <c r="C417" s="850"/>
      <c r="D417" s="928"/>
      <c r="E417" s="109"/>
      <c r="F417" s="109"/>
      <c r="G417" s="850"/>
      <c r="H417" s="928"/>
      <c r="I417" s="934"/>
    </row>
    <row r="418" spans="1:9">
      <c r="A418" s="818"/>
      <c r="B418" s="853" t="s">
        <v>1884</v>
      </c>
      <c r="C418" s="854" t="s">
        <v>526</v>
      </c>
      <c r="D418" s="855" t="s">
        <v>1885</v>
      </c>
      <c r="E418" s="854" t="s">
        <v>1886</v>
      </c>
      <c r="F418" s="853" t="s">
        <v>1884</v>
      </c>
      <c r="G418" s="855" t="s">
        <v>526</v>
      </c>
      <c r="H418" s="856" t="s">
        <v>1885</v>
      </c>
      <c r="I418" s="854" t="s">
        <v>1886</v>
      </c>
    </row>
    <row r="419" spans="1:9">
      <c r="A419" s="818"/>
      <c r="B419" s="831"/>
      <c r="C419" s="829"/>
      <c r="D419" s="832"/>
      <c r="E419" s="844" t="s">
        <v>392</v>
      </c>
      <c r="F419" s="435"/>
      <c r="G419" s="435"/>
      <c r="H419" s="435"/>
      <c r="I419" s="435"/>
    </row>
    <row r="420" spans="1:9">
      <c r="A420" s="818"/>
      <c r="B420" s="831"/>
      <c r="C420" s="829"/>
      <c r="D420" s="832"/>
      <c r="E420" s="844" t="s">
        <v>393</v>
      </c>
      <c r="F420" s="435"/>
      <c r="G420" s="435"/>
      <c r="H420" s="435"/>
      <c r="I420" s="435"/>
    </row>
    <row r="421" spans="1:9">
      <c r="A421" s="818"/>
      <c r="B421" s="831">
        <v>8</v>
      </c>
      <c r="C421" s="829">
        <v>1</v>
      </c>
      <c r="D421" s="832"/>
      <c r="E421" s="844" t="s">
        <v>394</v>
      </c>
      <c r="F421" s="435"/>
      <c r="G421" s="435"/>
      <c r="H421" s="435"/>
      <c r="I421" s="435"/>
    </row>
    <row r="422" spans="1:9">
      <c r="A422" s="818"/>
      <c r="B422" s="839"/>
      <c r="C422" s="839"/>
      <c r="D422" s="838">
        <f>B421*C421</f>
        <v>8</v>
      </c>
      <c r="E422" s="845" t="s">
        <v>2403</v>
      </c>
      <c r="F422" s="831"/>
      <c r="G422" s="829"/>
      <c r="H422" s="832"/>
      <c r="I422" s="833"/>
    </row>
    <row r="423" spans="1:9">
      <c r="A423" s="818"/>
      <c r="B423" s="831"/>
      <c r="C423" s="829"/>
      <c r="D423" s="832"/>
      <c r="E423" s="844"/>
      <c r="F423" s="831"/>
      <c r="G423" s="829"/>
      <c r="H423" s="832"/>
      <c r="I423" s="833"/>
    </row>
    <row r="424" spans="1:9">
      <c r="A424" s="818"/>
      <c r="B424" s="831"/>
      <c r="C424" s="829"/>
      <c r="D424" s="832"/>
      <c r="E424" s="844" t="s">
        <v>375</v>
      </c>
      <c r="F424" s="831"/>
      <c r="G424" s="829"/>
      <c r="H424" s="832"/>
      <c r="I424" s="833"/>
    </row>
    <row r="425" spans="1:9">
      <c r="A425" s="818"/>
      <c r="B425" s="831">
        <v>8</v>
      </c>
      <c r="C425" s="829">
        <v>1</v>
      </c>
      <c r="D425" s="832"/>
      <c r="E425" s="844" t="s">
        <v>376</v>
      </c>
      <c r="F425" s="831"/>
      <c r="G425" s="829"/>
      <c r="H425" s="832"/>
      <c r="I425" s="833"/>
    </row>
    <row r="426" spans="1:9">
      <c r="A426" s="818"/>
      <c r="B426" s="839"/>
      <c r="C426" s="839"/>
      <c r="D426" s="838">
        <f>B425*C425</f>
        <v>8</v>
      </c>
      <c r="E426" s="845" t="s">
        <v>2500</v>
      </c>
      <c r="F426" s="831"/>
      <c r="G426" s="829"/>
      <c r="H426" s="832"/>
      <c r="I426" s="833"/>
    </row>
    <row r="427" spans="1:9">
      <c r="A427" s="818"/>
      <c r="B427" s="831"/>
      <c r="C427" s="829"/>
      <c r="D427" s="832"/>
      <c r="E427" s="833"/>
      <c r="F427" s="831"/>
      <c r="G427" s="829"/>
      <c r="H427" s="832"/>
      <c r="I427" s="833"/>
    </row>
    <row r="428" spans="1:9">
      <c r="A428" s="818"/>
      <c r="B428" s="831"/>
      <c r="C428" s="829"/>
      <c r="D428" s="832"/>
      <c r="E428" s="844" t="s">
        <v>8</v>
      </c>
      <c r="F428" s="831"/>
      <c r="G428" s="829"/>
      <c r="H428" s="832"/>
      <c r="I428" s="833"/>
    </row>
    <row r="429" spans="1:9">
      <c r="A429" s="818"/>
      <c r="B429" s="831"/>
      <c r="C429" s="829"/>
      <c r="D429" s="832"/>
      <c r="E429" s="844" t="s">
        <v>284</v>
      </c>
      <c r="F429" s="831"/>
      <c r="G429" s="829"/>
      <c r="H429" s="832"/>
      <c r="I429" s="833"/>
    </row>
    <row r="430" spans="1:9">
      <c r="A430" s="818"/>
      <c r="B430" s="831">
        <v>27</v>
      </c>
      <c r="C430" s="829">
        <v>1</v>
      </c>
      <c r="D430" s="832"/>
      <c r="E430" s="844"/>
      <c r="F430" s="831"/>
      <c r="G430" s="829"/>
      <c r="H430" s="832"/>
      <c r="I430" s="833"/>
    </row>
    <row r="431" spans="1:9">
      <c r="A431" s="818"/>
      <c r="B431" s="839"/>
      <c r="C431" s="839"/>
      <c r="D431" s="838">
        <f>B430*C430</f>
        <v>27</v>
      </c>
      <c r="E431" s="845" t="s">
        <v>2408</v>
      </c>
      <c r="F431" s="831"/>
      <c r="G431" s="829"/>
      <c r="H431" s="832"/>
      <c r="I431" s="833"/>
    </row>
    <row r="432" spans="1:9">
      <c r="A432" s="818"/>
      <c r="B432" s="831"/>
      <c r="C432" s="829"/>
      <c r="D432" s="832"/>
      <c r="E432" s="833"/>
      <c r="F432" s="831"/>
      <c r="G432" s="829"/>
      <c r="H432" s="832"/>
      <c r="I432" s="833"/>
    </row>
    <row r="433" spans="1:9">
      <c r="A433" s="818"/>
      <c r="E433" s="844" t="s">
        <v>2894</v>
      </c>
      <c r="F433" s="831"/>
      <c r="G433" s="829"/>
      <c r="H433" s="832"/>
      <c r="I433" s="833"/>
    </row>
    <row r="434" spans="1:9">
      <c r="A434" s="818"/>
      <c r="B434" s="831">
        <v>6</v>
      </c>
      <c r="C434" s="829">
        <v>1</v>
      </c>
      <c r="D434" s="832"/>
      <c r="E434" s="833"/>
      <c r="F434" s="831"/>
      <c r="G434" s="829"/>
      <c r="H434" s="832"/>
      <c r="I434" s="833"/>
    </row>
    <row r="435" spans="1:9">
      <c r="A435" s="818"/>
      <c r="B435" s="839"/>
      <c r="C435" s="839"/>
      <c r="D435" s="838">
        <f>B434*C434</f>
        <v>6</v>
      </c>
      <c r="E435" s="845" t="s">
        <v>2409</v>
      </c>
      <c r="F435" s="831"/>
      <c r="G435" s="829"/>
      <c r="H435" s="832"/>
      <c r="I435" s="833"/>
    </row>
    <row r="436" spans="1:9">
      <c r="A436" s="818"/>
      <c r="B436" s="831"/>
      <c r="C436" s="829"/>
      <c r="D436" s="832"/>
      <c r="E436" s="833"/>
      <c r="F436" s="831"/>
      <c r="G436" s="829"/>
      <c r="H436" s="832"/>
      <c r="I436" s="833"/>
    </row>
    <row r="437" spans="1:9">
      <c r="A437" s="818"/>
      <c r="B437" s="831"/>
      <c r="C437" s="829"/>
      <c r="D437" s="832"/>
      <c r="E437" s="844" t="s">
        <v>285</v>
      </c>
      <c r="F437" s="831"/>
      <c r="G437" s="829"/>
      <c r="H437" s="832"/>
      <c r="I437" s="833"/>
    </row>
    <row r="438" spans="1:9">
      <c r="A438" s="818"/>
      <c r="B438" s="831">
        <v>19</v>
      </c>
      <c r="C438" s="829">
        <v>1</v>
      </c>
      <c r="D438" s="832"/>
      <c r="E438" s="833"/>
      <c r="F438" s="831"/>
      <c r="G438" s="829"/>
      <c r="H438" s="832"/>
      <c r="I438" s="833"/>
    </row>
    <row r="439" spans="1:9">
      <c r="A439" s="818"/>
      <c r="B439" s="839"/>
      <c r="C439" s="839"/>
      <c r="D439" s="838">
        <f>B438*C438</f>
        <v>19</v>
      </c>
      <c r="E439" s="845" t="s">
        <v>2407</v>
      </c>
      <c r="F439" s="831"/>
      <c r="G439" s="829"/>
      <c r="H439" s="832"/>
      <c r="I439" s="833"/>
    </row>
    <row r="440" spans="1:9">
      <c r="A440" s="818"/>
      <c r="B440" s="831"/>
      <c r="C440" s="829"/>
      <c r="D440" s="832"/>
      <c r="E440" s="833"/>
      <c r="F440" s="831"/>
      <c r="G440" s="829"/>
      <c r="H440" s="832"/>
      <c r="I440" s="833"/>
    </row>
    <row r="441" spans="1:9">
      <c r="A441" s="818"/>
      <c r="B441" s="831"/>
      <c r="C441" s="829"/>
      <c r="D441" s="832"/>
      <c r="E441" s="844" t="s">
        <v>385</v>
      </c>
      <c r="F441" s="831"/>
      <c r="G441" s="829"/>
      <c r="H441" s="832"/>
      <c r="I441" s="833"/>
    </row>
    <row r="442" spans="1:9">
      <c r="A442" s="818"/>
      <c r="B442" s="831">
        <v>4</v>
      </c>
      <c r="C442" s="829">
        <v>1</v>
      </c>
      <c r="D442" s="832"/>
      <c r="E442" s="833"/>
      <c r="F442" s="831"/>
      <c r="G442" s="829"/>
      <c r="H442" s="832"/>
      <c r="I442" s="833"/>
    </row>
    <row r="443" spans="1:9">
      <c r="A443" s="818"/>
      <c r="B443" s="839"/>
      <c r="C443" s="839"/>
      <c r="D443" s="838">
        <f>B442*C442</f>
        <v>4</v>
      </c>
      <c r="E443" s="845" t="s">
        <v>2406</v>
      </c>
      <c r="F443" s="831"/>
      <c r="G443" s="829"/>
      <c r="H443" s="832"/>
      <c r="I443" s="833"/>
    </row>
    <row r="444" spans="1:9">
      <c r="A444" s="818"/>
      <c r="B444" s="831"/>
      <c r="C444" s="829"/>
      <c r="D444" s="832"/>
      <c r="E444" s="844"/>
      <c r="F444" s="831"/>
      <c r="G444" s="829"/>
      <c r="H444" s="832"/>
      <c r="I444" s="833"/>
    </row>
    <row r="445" spans="1:9">
      <c r="A445" s="818"/>
      <c r="B445" s="831"/>
      <c r="C445" s="829"/>
      <c r="D445" s="832"/>
      <c r="E445" s="844" t="s">
        <v>387</v>
      </c>
      <c r="F445" s="831"/>
      <c r="G445" s="829"/>
      <c r="H445" s="832"/>
      <c r="I445" s="833"/>
    </row>
    <row r="446" spans="1:9">
      <c r="A446" s="818"/>
      <c r="E446" s="844" t="s">
        <v>388</v>
      </c>
      <c r="F446" s="831"/>
      <c r="G446" s="829"/>
      <c r="H446" s="832"/>
      <c r="I446" s="833"/>
    </row>
    <row r="447" spans="1:9">
      <c r="A447" s="818"/>
      <c r="B447" s="831">
        <v>1</v>
      </c>
      <c r="C447" s="829">
        <v>1</v>
      </c>
      <c r="D447" s="832"/>
      <c r="E447" s="844" t="s">
        <v>389</v>
      </c>
      <c r="F447" s="831"/>
      <c r="G447" s="829"/>
      <c r="H447" s="832"/>
      <c r="I447" s="833"/>
    </row>
    <row r="448" spans="1:9">
      <c r="A448" s="818"/>
      <c r="B448" s="839"/>
      <c r="C448" s="839"/>
      <c r="D448" s="838">
        <f>B447*C447</f>
        <v>1</v>
      </c>
      <c r="E448" s="845" t="s">
        <v>2404</v>
      </c>
      <c r="F448" s="831"/>
      <c r="G448" s="829"/>
      <c r="H448" s="832"/>
      <c r="I448" s="833"/>
    </row>
    <row r="449" spans="1:9">
      <c r="A449" s="818"/>
      <c r="F449" s="831"/>
      <c r="G449" s="829"/>
      <c r="H449" s="832"/>
      <c r="I449" s="833"/>
    </row>
    <row r="450" spans="1:9">
      <c r="A450" s="818"/>
      <c r="B450" s="831"/>
      <c r="C450" s="829"/>
      <c r="D450" s="832"/>
      <c r="E450" s="844" t="s">
        <v>1234</v>
      </c>
      <c r="F450" s="831"/>
      <c r="G450" s="829"/>
      <c r="H450" s="832"/>
      <c r="I450" s="833"/>
    </row>
    <row r="451" spans="1:9">
      <c r="A451" s="818"/>
      <c r="B451" s="831"/>
      <c r="C451" s="829"/>
      <c r="D451" s="832"/>
      <c r="E451" s="844" t="s">
        <v>1236</v>
      </c>
      <c r="F451" s="831"/>
      <c r="G451" s="829"/>
      <c r="H451" s="832"/>
      <c r="I451" s="833"/>
    </row>
    <row r="452" spans="1:9">
      <c r="A452" s="818"/>
      <c r="B452" s="831"/>
      <c r="C452" s="829"/>
      <c r="D452" s="832"/>
      <c r="E452" s="844" t="s">
        <v>1235</v>
      </c>
      <c r="F452" s="831"/>
      <c r="G452" s="829"/>
      <c r="H452" s="832"/>
      <c r="I452" s="833"/>
    </row>
    <row r="453" spans="1:9">
      <c r="A453" s="818"/>
      <c r="B453" s="831">
        <v>1</v>
      </c>
      <c r="C453" s="829">
        <v>15.45</v>
      </c>
      <c r="D453" s="832"/>
      <c r="E453" s="833"/>
      <c r="F453" s="831"/>
      <c r="G453" s="829"/>
      <c r="H453" s="832"/>
      <c r="I453" s="833"/>
    </row>
    <row r="454" spans="1:9">
      <c r="A454" s="818"/>
      <c r="B454" s="839"/>
      <c r="C454" s="839"/>
      <c r="D454" s="838">
        <f>B453*C453</f>
        <v>15.45</v>
      </c>
      <c r="E454" s="845" t="s">
        <v>2895</v>
      </c>
      <c r="F454" s="831"/>
      <c r="G454" s="829"/>
      <c r="H454" s="832"/>
      <c r="I454" s="833"/>
    </row>
    <row r="455" spans="1:9">
      <c r="A455" s="818"/>
      <c r="B455" s="435"/>
      <c r="C455" s="435"/>
      <c r="D455" s="435"/>
      <c r="E455" s="435"/>
      <c r="F455" s="831"/>
      <c r="G455" s="829"/>
      <c r="H455" s="832"/>
      <c r="I455" s="833"/>
    </row>
    <row r="456" spans="1:9">
      <c r="A456" s="818"/>
      <c r="B456" s="435"/>
      <c r="C456" s="435"/>
      <c r="D456" s="435"/>
      <c r="E456" s="435"/>
      <c r="F456" s="831"/>
      <c r="G456" s="829"/>
      <c r="H456" s="832"/>
      <c r="I456" s="833"/>
    </row>
    <row r="457" spans="1:9">
      <c r="A457" s="818"/>
      <c r="B457" s="435"/>
      <c r="C457" s="435"/>
      <c r="D457" s="435"/>
      <c r="E457" s="435"/>
      <c r="F457" s="228"/>
      <c r="G457" s="228"/>
      <c r="H457" s="228"/>
      <c r="I457" s="228"/>
    </row>
    <row r="458" spans="1:9">
      <c r="A458" s="818"/>
      <c r="B458" s="831"/>
      <c r="C458" s="829"/>
      <c r="D458" s="832"/>
      <c r="E458" s="833"/>
      <c r="F458" s="228"/>
      <c r="G458" s="228"/>
      <c r="H458" s="228"/>
      <c r="I458" s="228"/>
    </row>
    <row r="459" spans="1:9">
      <c r="A459" s="818"/>
      <c r="B459" s="831"/>
      <c r="C459" s="829"/>
      <c r="D459" s="832"/>
      <c r="E459" s="833"/>
      <c r="F459" s="228"/>
      <c r="G459" s="228"/>
      <c r="H459" s="228"/>
      <c r="I459" s="228"/>
    </row>
    <row r="460" spans="1:9">
      <c r="A460" s="818"/>
      <c r="B460" s="831"/>
      <c r="C460" s="829"/>
      <c r="D460" s="832"/>
      <c r="E460" s="833"/>
      <c r="F460" s="228"/>
      <c r="G460" s="228"/>
      <c r="H460" s="228"/>
      <c r="I460" s="228"/>
    </row>
    <row r="461" spans="1:9">
      <c r="A461" s="818"/>
      <c r="B461" s="831"/>
      <c r="C461" s="829"/>
      <c r="D461" s="832"/>
      <c r="E461" s="833"/>
      <c r="F461" s="831"/>
      <c r="G461" s="829"/>
      <c r="H461" s="832"/>
      <c r="I461" s="833"/>
    </row>
    <row r="462" spans="1:9">
      <c r="A462" s="818"/>
      <c r="B462" s="831"/>
      <c r="C462" s="829"/>
      <c r="D462" s="832"/>
      <c r="E462" s="833"/>
      <c r="F462" s="831"/>
      <c r="G462" s="829"/>
      <c r="H462" s="832"/>
      <c r="I462" s="833"/>
    </row>
    <row r="463" spans="1:9">
      <c r="A463" s="818"/>
      <c r="B463" s="831"/>
      <c r="C463" s="829"/>
      <c r="D463" s="832"/>
      <c r="E463" s="833"/>
      <c r="F463" s="831"/>
      <c r="G463" s="829"/>
      <c r="H463" s="832"/>
      <c r="I463" s="833"/>
    </row>
    <row r="464" spans="1:9">
      <c r="A464" s="818"/>
      <c r="B464" s="831"/>
      <c r="C464" s="829"/>
      <c r="D464" s="832"/>
      <c r="E464" s="833"/>
      <c r="F464" s="831"/>
      <c r="G464" s="829"/>
      <c r="H464" s="832"/>
      <c r="I464" s="833"/>
    </row>
    <row r="465" spans="1:9">
      <c r="A465" s="818"/>
      <c r="B465" s="831"/>
      <c r="C465" s="829"/>
      <c r="D465" s="832"/>
      <c r="E465" s="833"/>
      <c r="F465" s="831"/>
      <c r="G465" s="829"/>
      <c r="H465" s="832"/>
      <c r="I465" s="833"/>
    </row>
    <row r="466" spans="1:9">
      <c r="A466" s="818"/>
      <c r="B466" s="831"/>
      <c r="C466" s="829"/>
      <c r="D466" s="832"/>
      <c r="E466" s="833"/>
      <c r="F466" s="831"/>
      <c r="G466" s="829"/>
      <c r="H466" s="832"/>
      <c r="I466" s="833"/>
    </row>
    <row r="467" spans="1:9">
      <c r="A467" s="818"/>
      <c r="B467" s="831"/>
      <c r="C467" s="829"/>
      <c r="D467" s="832"/>
      <c r="E467" s="833"/>
      <c r="F467" s="435"/>
      <c r="G467" s="829"/>
      <c r="H467" s="843"/>
      <c r="I467" s="442"/>
    </row>
    <row r="468" spans="1:9">
      <c r="A468" s="818"/>
      <c r="B468" s="831"/>
      <c r="C468" s="829"/>
      <c r="D468" s="832"/>
      <c r="E468" s="833"/>
      <c r="F468" s="435"/>
      <c r="G468" s="829"/>
      <c r="H468" s="843"/>
      <c r="I468" s="442"/>
    </row>
    <row r="469" spans="1:9">
      <c r="A469" s="818"/>
      <c r="B469" s="831"/>
      <c r="C469" s="829"/>
      <c r="D469" s="832"/>
      <c r="E469" s="833"/>
      <c r="F469" s="435"/>
      <c r="G469" s="829"/>
      <c r="H469" s="843"/>
      <c r="I469" s="442"/>
    </row>
    <row r="470" spans="1:9">
      <c r="A470" s="818"/>
      <c r="B470" s="831"/>
      <c r="C470" s="829"/>
      <c r="D470" s="832"/>
      <c r="E470" s="833"/>
      <c r="F470" s="435"/>
      <c r="G470" s="829"/>
      <c r="H470" s="843"/>
      <c r="I470" s="442"/>
    </row>
    <row r="471" spans="1:9">
      <c r="A471" s="818"/>
      <c r="B471" s="831"/>
      <c r="C471" s="829"/>
      <c r="D471" s="832"/>
      <c r="E471" s="833"/>
      <c r="F471" s="435"/>
      <c r="G471" s="829"/>
      <c r="H471" s="843"/>
      <c r="I471" s="442"/>
    </row>
    <row r="472" spans="1:9">
      <c r="A472" s="818"/>
      <c r="B472" s="831"/>
      <c r="C472" s="829"/>
      <c r="D472" s="832"/>
      <c r="E472" s="833"/>
      <c r="F472" s="435"/>
      <c r="G472" s="829"/>
      <c r="H472" s="843"/>
      <c r="I472" s="442"/>
    </row>
    <row r="473" spans="1:9">
      <c r="A473" s="818"/>
      <c r="B473" s="831"/>
      <c r="C473" s="829"/>
      <c r="D473" s="832"/>
      <c r="E473" s="833"/>
      <c r="F473" s="435"/>
      <c r="G473" s="435"/>
      <c r="H473" s="435"/>
      <c r="I473" s="442"/>
    </row>
    <row r="474" spans="1:9">
      <c r="A474" s="818"/>
      <c r="B474" s="435"/>
      <c r="C474" s="829"/>
      <c r="D474" s="843"/>
      <c r="E474" s="435"/>
      <c r="F474" s="435"/>
      <c r="G474" s="829"/>
      <c r="H474" s="843"/>
      <c r="I474" s="442"/>
    </row>
    <row r="475" spans="1:9">
      <c r="A475" s="818"/>
      <c r="B475" s="109"/>
      <c r="C475" s="850"/>
      <c r="D475" s="928"/>
      <c r="E475" s="109"/>
      <c r="F475" s="109"/>
      <c r="G475" s="850"/>
      <c r="H475" s="928"/>
      <c r="I475" s="934"/>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7" manualBreakCount="7">
    <brk id="63" max="9" man="1"/>
    <brk id="122" max="16383" man="1"/>
    <brk id="181" max="16383" man="1"/>
    <brk id="240" max="16383" man="1"/>
    <brk id="300" max="16383" man="1"/>
    <brk id="359" max="9" man="1"/>
    <brk id="417" max="9"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0"/>
  <sheetViews>
    <sheetView view="pageBreakPreview" zoomScale="115" zoomScaleNormal="115" zoomScaleSheetLayoutView="115" zoomScalePageLayoutView="85" workbookViewId="0">
      <selection activeCell="H1" sqref="H1:I1"/>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1020"/>
      <c r="H1" s="821"/>
      <c r="I1" s="1021"/>
      <c r="J1" s="820"/>
    </row>
    <row r="2" spans="1:10">
      <c r="A2" s="818"/>
      <c r="B2" s="2059" t="s">
        <v>1917</v>
      </c>
      <c r="C2" s="2059"/>
      <c r="D2" s="2059"/>
      <c r="E2" s="2059"/>
      <c r="F2" s="819"/>
      <c r="G2" s="1020"/>
      <c r="J2" s="818"/>
    </row>
    <row r="3" spans="1:10">
      <c r="A3" s="818"/>
      <c r="B3" s="2059" t="s">
        <v>1920</v>
      </c>
      <c r="C3" s="2059"/>
      <c r="D3" s="2059"/>
      <c r="E3" s="2059"/>
      <c r="F3" s="2059"/>
      <c r="G3" s="1020"/>
      <c r="H3" s="2060" t="s">
        <v>2524</v>
      </c>
      <c r="I3" s="2060"/>
      <c r="J3" s="818"/>
    </row>
    <row r="4" spans="1:10">
      <c r="A4" s="818"/>
      <c r="B4" s="2059" t="s">
        <v>1921</v>
      </c>
      <c r="C4" s="2059"/>
      <c r="D4" s="2059"/>
      <c r="E4" s="2059"/>
      <c r="F4" s="819"/>
      <c r="G4" s="1020"/>
      <c r="H4" s="2089"/>
      <c r="I4" s="2089"/>
      <c r="J4" s="818"/>
    </row>
    <row r="5" spans="1:10">
      <c r="A5" s="818"/>
      <c r="B5" s="824"/>
      <c r="C5" s="1020"/>
      <c r="D5" s="1020"/>
      <c r="E5" s="825"/>
      <c r="F5" s="819"/>
      <c r="G5" s="1020"/>
      <c r="H5" s="827"/>
      <c r="I5" s="1019"/>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c r="G7" s="829"/>
      <c r="H7" s="832"/>
      <c r="I7" s="844" t="s">
        <v>2875</v>
      </c>
    </row>
    <row r="8" spans="1:10">
      <c r="A8" s="818"/>
      <c r="B8" s="831"/>
      <c r="C8" s="829"/>
      <c r="D8" s="832"/>
      <c r="E8" s="844" t="s">
        <v>25</v>
      </c>
      <c r="F8" s="831">
        <v>1</v>
      </c>
      <c r="G8" s="829">
        <f>'[24]EMG &amp;Waitng Reinf'!M278</f>
        <v>711.30575999999996</v>
      </c>
      <c r="H8" s="832"/>
      <c r="I8" s="833"/>
    </row>
    <row r="9" spans="1:10">
      <c r="A9" s="818"/>
      <c r="B9" s="831"/>
      <c r="C9" s="829"/>
      <c r="D9" s="832"/>
      <c r="E9" s="844" t="s">
        <v>27</v>
      </c>
      <c r="F9" s="831"/>
      <c r="G9" s="829"/>
      <c r="H9" s="832">
        <f>G8</f>
        <v>711.30575999999996</v>
      </c>
      <c r="I9" s="833" t="s">
        <v>2339</v>
      </c>
    </row>
    <row r="10" spans="1:10">
      <c r="A10" s="818"/>
      <c r="B10" s="831">
        <v>14</v>
      </c>
      <c r="C10" s="829">
        <v>0.2</v>
      </c>
      <c r="D10" s="832"/>
      <c r="E10" s="833" t="s">
        <v>738</v>
      </c>
      <c r="F10" s="831"/>
      <c r="G10" s="829"/>
      <c r="H10" s="832"/>
      <c r="I10" s="833"/>
    </row>
    <row r="11" spans="1:10">
      <c r="A11" s="818"/>
      <c r="B11" s="831"/>
      <c r="C11" s="829">
        <v>0.2</v>
      </c>
      <c r="D11" s="832"/>
      <c r="E11" s="833"/>
      <c r="F11" s="831"/>
      <c r="G11" s="829"/>
      <c r="H11" s="832"/>
      <c r="I11" s="844" t="s">
        <v>2876</v>
      </c>
    </row>
    <row r="12" spans="1:10">
      <c r="A12" s="818"/>
      <c r="B12" s="831"/>
      <c r="C12" s="829">
        <v>2.73</v>
      </c>
      <c r="D12" s="832"/>
      <c r="E12" s="833"/>
      <c r="F12" s="831">
        <v>1</v>
      </c>
      <c r="G12" s="829">
        <f>'[24]EMG &amp;Waitng Reinf'!K278</f>
        <v>227.28299999999999</v>
      </c>
      <c r="H12" s="832"/>
      <c r="I12" s="833"/>
    </row>
    <row r="13" spans="1:10">
      <c r="A13" s="818"/>
      <c r="B13" s="831"/>
      <c r="C13" s="829"/>
      <c r="D13" s="832">
        <f>B10*C10*C11*C12</f>
        <v>1.5288000000000002</v>
      </c>
      <c r="E13" s="833"/>
      <c r="F13" s="831"/>
      <c r="G13" s="829"/>
      <c r="H13" s="832">
        <f>G12</f>
        <v>227.28299999999999</v>
      </c>
      <c r="I13" s="833" t="s">
        <v>2121</v>
      </c>
    </row>
    <row r="14" spans="1:10">
      <c r="A14" s="818"/>
      <c r="B14" s="831"/>
      <c r="C14" s="829"/>
      <c r="D14" s="832"/>
      <c r="E14" s="833"/>
      <c r="F14" s="831"/>
      <c r="G14" s="829"/>
      <c r="H14" s="832"/>
      <c r="I14" s="833"/>
    </row>
    <row r="15" spans="1:10">
      <c r="A15" s="818"/>
      <c r="B15" s="831"/>
      <c r="C15" s="829"/>
      <c r="D15" s="832"/>
      <c r="E15" s="844" t="s">
        <v>29</v>
      </c>
      <c r="F15" s="831"/>
      <c r="G15" s="829"/>
      <c r="H15" s="832"/>
      <c r="I15" s="844" t="s">
        <v>350</v>
      </c>
    </row>
    <row r="16" spans="1:10">
      <c r="A16" s="818"/>
      <c r="B16" s="831">
        <v>3</v>
      </c>
      <c r="C16" s="829">
        <v>8.8000000000000007</v>
      </c>
      <c r="D16" s="832"/>
      <c r="E16" s="833" t="s">
        <v>833</v>
      </c>
      <c r="F16" s="831"/>
      <c r="G16" s="829"/>
      <c r="H16" s="832"/>
      <c r="I16" s="844" t="s">
        <v>834</v>
      </c>
    </row>
    <row r="17" spans="1:9">
      <c r="A17" s="818"/>
      <c r="B17" s="831"/>
      <c r="C17" s="829">
        <v>0.3</v>
      </c>
      <c r="D17" s="832"/>
      <c r="E17" s="833"/>
      <c r="F17" s="831">
        <v>2</v>
      </c>
      <c r="G17" s="829">
        <v>3.9</v>
      </c>
      <c r="H17" s="832"/>
      <c r="I17" s="833" t="s">
        <v>835</v>
      </c>
    </row>
    <row r="18" spans="1:9">
      <c r="A18" s="818"/>
      <c r="B18" s="831"/>
      <c r="C18" s="829">
        <v>0.2</v>
      </c>
      <c r="D18" s="832">
        <f>B16*C16*C17*C18</f>
        <v>1.5840000000000001</v>
      </c>
      <c r="E18" s="833"/>
      <c r="F18" s="831"/>
      <c r="G18" s="829">
        <v>2.73</v>
      </c>
      <c r="H18" s="832">
        <f>G17*G18*F17</f>
        <v>21.294</v>
      </c>
      <c r="I18" s="833"/>
    </row>
    <row r="19" spans="1:9">
      <c r="A19" s="818"/>
      <c r="B19" s="831"/>
      <c r="C19" s="829"/>
      <c r="D19" s="832"/>
      <c r="E19" s="833"/>
      <c r="F19" s="831"/>
      <c r="G19" s="829"/>
      <c r="H19" s="832"/>
      <c r="I19" s="833"/>
    </row>
    <row r="20" spans="1:9">
      <c r="A20" s="818"/>
      <c r="B20" s="831">
        <v>2</v>
      </c>
      <c r="C20" s="829">
        <v>16.399999999999999</v>
      </c>
      <c r="D20" s="832"/>
      <c r="E20" s="833" t="s">
        <v>496</v>
      </c>
      <c r="F20" s="831">
        <v>1</v>
      </c>
      <c r="G20" s="829">
        <v>1.5</v>
      </c>
      <c r="H20" s="832"/>
      <c r="I20" s="833" t="s">
        <v>464</v>
      </c>
    </row>
    <row r="21" spans="1:9">
      <c r="A21" s="818"/>
      <c r="B21" s="831"/>
      <c r="C21" s="829">
        <v>0.3</v>
      </c>
      <c r="D21" s="832"/>
      <c r="E21" s="833"/>
      <c r="F21" s="831"/>
      <c r="G21" s="829">
        <v>1.73</v>
      </c>
      <c r="H21" s="832">
        <f>-G20*G21*F20</f>
        <v>-2.5949999999999998</v>
      </c>
      <c r="I21" s="833"/>
    </row>
    <row r="22" spans="1:9">
      <c r="A22" s="818"/>
      <c r="B22" s="831"/>
      <c r="C22" s="829">
        <v>0.2</v>
      </c>
      <c r="D22" s="832">
        <f>B20*C20*C21*C22</f>
        <v>1.9679999999999997</v>
      </c>
      <c r="E22" s="833"/>
      <c r="F22" s="831"/>
      <c r="G22" s="829"/>
      <c r="H22" s="832"/>
      <c r="I22" s="833"/>
    </row>
    <row r="23" spans="1:9">
      <c r="A23" s="818"/>
      <c r="B23" s="831"/>
      <c r="C23" s="829"/>
      <c r="D23" s="832"/>
      <c r="E23" s="833"/>
      <c r="F23" s="831">
        <v>1</v>
      </c>
      <c r="G23" s="829">
        <v>1.1499999999999999</v>
      </c>
      <c r="H23" s="832"/>
      <c r="I23" s="833" t="s">
        <v>836</v>
      </c>
    </row>
    <row r="24" spans="1:9">
      <c r="A24" s="818"/>
      <c r="B24" s="831">
        <v>2</v>
      </c>
      <c r="C24" s="829">
        <v>16.399999999999999</v>
      </c>
      <c r="D24" s="832"/>
      <c r="E24" s="833" t="s">
        <v>37</v>
      </c>
      <c r="F24" s="831"/>
      <c r="G24" s="829">
        <v>1.73</v>
      </c>
      <c r="H24" s="832">
        <f>-G23*G24*F23</f>
        <v>-1.9894999999999998</v>
      </c>
      <c r="I24" s="833"/>
    </row>
    <row r="25" spans="1:9">
      <c r="A25" s="818"/>
      <c r="B25" s="831"/>
      <c r="C25" s="829">
        <v>0.3</v>
      </c>
      <c r="D25" s="832"/>
      <c r="E25" s="833" t="s">
        <v>1276</v>
      </c>
      <c r="F25" s="831"/>
      <c r="G25" s="829"/>
      <c r="H25" s="832"/>
      <c r="I25" s="833"/>
    </row>
    <row r="26" spans="1:9">
      <c r="A26" s="818"/>
      <c r="B26" s="831"/>
      <c r="C26" s="829">
        <v>0.2</v>
      </c>
      <c r="D26" s="832">
        <f>B24*C24*C25*C26</f>
        <v>1.9679999999999997</v>
      </c>
      <c r="E26" s="833"/>
      <c r="F26" s="831">
        <v>1</v>
      </c>
      <c r="G26" s="829">
        <v>1</v>
      </c>
      <c r="H26" s="832"/>
      <c r="I26" s="833" t="s">
        <v>748</v>
      </c>
    </row>
    <row r="27" spans="1:9">
      <c r="A27" s="818"/>
      <c r="B27" s="831"/>
      <c r="C27" s="829"/>
      <c r="D27" s="832"/>
      <c r="E27" s="833"/>
      <c r="F27" s="831"/>
      <c r="G27" s="829">
        <v>1.73</v>
      </c>
      <c r="H27" s="832">
        <f>-G26*G27*F26</f>
        <v>-1.73</v>
      </c>
      <c r="I27" s="833"/>
    </row>
    <row r="28" spans="1:9">
      <c r="A28" s="818"/>
      <c r="B28" s="831"/>
      <c r="C28" s="829"/>
      <c r="D28" s="832">
        <f>SUM(D18:D26)</f>
        <v>5.52</v>
      </c>
      <c r="E28" s="833"/>
      <c r="F28" s="831"/>
      <c r="G28" s="829"/>
      <c r="H28" s="832"/>
      <c r="I28" s="833"/>
    </row>
    <row r="29" spans="1:9">
      <c r="A29" s="818"/>
      <c r="B29" s="831"/>
      <c r="C29" s="829"/>
      <c r="D29" s="832"/>
      <c r="E29" s="833"/>
      <c r="F29" s="831">
        <v>2</v>
      </c>
      <c r="G29" s="829">
        <v>0.8</v>
      </c>
      <c r="H29" s="832"/>
      <c r="I29" s="833" t="s">
        <v>234</v>
      </c>
    </row>
    <row r="30" spans="1:9">
      <c r="A30" s="818"/>
      <c r="B30" s="831"/>
      <c r="C30" s="829"/>
      <c r="D30" s="832"/>
      <c r="E30" s="844" t="s">
        <v>44</v>
      </c>
      <c r="F30" s="831"/>
      <c r="G30" s="829">
        <v>2.73</v>
      </c>
      <c r="H30" s="832">
        <f>-G29*G30*F29</f>
        <v>-4.3680000000000003</v>
      </c>
      <c r="I30" s="833"/>
    </row>
    <row r="31" spans="1:9">
      <c r="A31" s="818"/>
      <c r="B31" s="831">
        <v>1</v>
      </c>
      <c r="C31" s="829">
        <v>1.3</v>
      </c>
      <c r="D31" s="832"/>
      <c r="E31" s="833" t="s">
        <v>837</v>
      </c>
      <c r="F31" s="831"/>
      <c r="G31" s="829"/>
      <c r="H31" s="832"/>
      <c r="I31" s="833"/>
    </row>
    <row r="32" spans="1:9">
      <c r="A32" s="818"/>
      <c r="B32" s="831"/>
      <c r="C32" s="829">
        <v>0.2</v>
      </c>
      <c r="D32" s="832"/>
      <c r="E32" s="833"/>
      <c r="F32" s="831">
        <v>1</v>
      </c>
      <c r="G32" s="829">
        <v>13.9</v>
      </c>
      <c r="H32" s="832"/>
      <c r="I32" s="833" t="s">
        <v>828</v>
      </c>
    </row>
    <row r="33" spans="1:9">
      <c r="A33" s="818"/>
      <c r="B33" s="831"/>
      <c r="C33" s="829">
        <v>0.15</v>
      </c>
      <c r="D33" s="832"/>
      <c r="E33" s="833"/>
      <c r="F33" s="831"/>
      <c r="G33" s="829">
        <v>1</v>
      </c>
      <c r="H33" s="832">
        <f>G32*G33*F32</f>
        <v>13.9</v>
      </c>
      <c r="I33" s="833" t="s">
        <v>839</v>
      </c>
    </row>
    <row r="34" spans="1:9">
      <c r="A34" s="818"/>
      <c r="B34" s="831"/>
      <c r="C34" s="829"/>
      <c r="D34" s="832">
        <f>B31*C31*C32*C33</f>
        <v>3.9E-2</v>
      </c>
      <c r="E34" s="833"/>
      <c r="F34" s="831"/>
      <c r="G34" s="829"/>
      <c r="H34" s="832"/>
      <c r="I34" s="833"/>
    </row>
    <row r="35" spans="1:9">
      <c r="A35" s="818"/>
      <c r="B35" s="831"/>
      <c r="C35" s="829"/>
      <c r="D35" s="832"/>
      <c r="E35" s="833"/>
      <c r="F35" s="831">
        <v>1</v>
      </c>
      <c r="G35" s="829">
        <v>7.3</v>
      </c>
      <c r="H35" s="832"/>
      <c r="I35" s="833" t="s">
        <v>840</v>
      </c>
    </row>
    <row r="36" spans="1:9">
      <c r="A36" s="818"/>
      <c r="B36" s="831"/>
      <c r="C36" s="829"/>
      <c r="D36" s="832"/>
      <c r="E36" s="844" t="s">
        <v>32</v>
      </c>
      <c r="F36" s="831"/>
      <c r="G36" s="829">
        <v>2.73</v>
      </c>
      <c r="H36" s="832">
        <f>G35*G36*F35</f>
        <v>19.928999999999998</v>
      </c>
      <c r="I36" s="833" t="s">
        <v>841</v>
      </c>
    </row>
    <row r="37" spans="1:9">
      <c r="A37" s="818"/>
      <c r="B37" s="831"/>
      <c r="C37" s="829"/>
      <c r="D37" s="832"/>
      <c r="E37" s="844" t="s">
        <v>33</v>
      </c>
      <c r="F37" s="831"/>
      <c r="G37" s="829"/>
      <c r="H37" s="832"/>
      <c r="I37" s="833"/>
    </row>
    <row r="38" spans="1:9">
      <c r="A38" s="818"/>
      <c r="B38" s="831">
        <v>14</v>
      </c>
      <c r="C38" s="829">
        <v>0.8</v>
      </c>
      <c r="D38" s="832"/>
      <c r="E38" s="833" t="s">
        <v>838</v>
      </c>
      <c r="F38" s="831">
        <v>1</v>
      </c>
      <c r="G38" s="829">
        <v>0.9</v>
      </c>
      <c r="H38" s="832"/>
      <c r="I38" s="833" t="s">
        <v>191</v>
      </c>
    </row>
    <row r="39" spans="1:9">
      <c r="A39" s="818"/>
      <c r="B39" s="831"/>
      <c r="C39" s="829">
        <v>2.73</v>
      </c>
      <c r="D39" s="832"/>
      <c r="E39" s="833"/>
      <c r="F39" s="831"/>
      <c r="G39" s="829">
        <v>2.73</v>
      </c>
      <c r="H39" s="832">
        <f>-G38*G39*F38</f>
        <v>-2.4569999999999999</v>
      </c>
      <c r="I39" s="833"/>
    </row>
    <row r="40" spans="1:9">
      <c r="A40" s="818"/>
      <c r="B40" s="831"/>
      <c r="C40" s="829"/>
      <c r="D40" s="832">
        <f>B38*C39*C38</f>
        <v>30.576000000000001</v>
      </c>
      <c r="E40" s="833"/>
      <c r="F40" s="831"/>
      <c r="G40" s="829"/>
      <c r="H40" s="832"/>
      <c r="I40" s="833" t="s">
        <v>749</v>
      </c>
    </row>
    <row r="41" spans="1:9">
      <c r="A41" s="818"/>
      <c r="B41" s="831"/>
      <c r="C41" s="829"/>
      <c r="D41" s="832"/>
      <c r="E41" s="833"/>
      <c r="F41" s="831">
        <v>2</v>
      </c>
      <c r="G41" s="829">
        <v>1.05</v>
      </c>
      <c r="H41" s="832"/>
      <c r="I41" s="833"/>
    </row>
    <row r="42" spans="1:9">
      <c r="A42" s="818"/>
      <c r="B42" s="831"/>
      <c r="C42" s="829"/>
      <c r="D42" s="832"/>
      <c r="E42" s="844" t="s">
        <v>38</v>
      </c>
      <c r="F42" s="831"/>
      <c r="G42" s="829">
        <v>9.6</v>
      </c>
      <c r="H42" s="832">
        <f>G41*G42*F41</f>
        <v>20.16</v>
      </c>
      <c r="I42" s="833"/>
    </row>
    <row r="43" spans="1:9">
      <c r="A43" s="818"/>
      <c r="B43" s="831">
        <v>3</v>
      </c>
      <c r="C43" s="829">
        <v>8.8000000000000007</v>
      </c>
      <c r="D43" s="832"/>
      <c r="E43" s="833" t="s">
        <v>30</v>
      </c>
      <c r="F43" s="831"/>
      <c r="G43" s="829"/>
      <c r="H43" s="832"/>
      <c r="I43" s="833" t="s">
        <v>842</v>
      </c>
    </row>
    <row r="44" spans="1:9">
      <c r="A44" s="818"/>
      <c r="B44" s="831"/>
      <c r="C44" s="829">
        <v>0.8</v>
      </c>
      <c r="D44" s="832">
        <f>B43*C44*C43</f>
        <v>21.120000000000005</v>
      </c>
      <c r="E44" s="833" t="s">
        <v>737</v>
      </c>
      <c r="F44" s="831">
        <v>2</v>
      </c>
      <c r="G44" s="829">
        <v>10.5</v>
      </c>
      <c r="H44" s="832"/>
      <c r="I44" s="833"/>
    </row>
    <row r="45" spans="1:9">
      <c r="A45" s="818"/>
      <c r="B45" s="831"/>
      <c r="C45" s="829"/>
      <c r="D45" s="832"/>
      <c r="E45" s="833" t="s">
        <v>40</v>
      </c>
      <c r="F45" s="831"/>
      <c r="G45" s="829">
        <v>0.2</v>
      </c>
      <c r="H45" s="832">
        <f>G44*G45*F44</f>
        <v>4.2</v>
      </c>
      <c r="I45" s="833"/>
    </row>
    <row r="46" spans="1:9">
      <c r="A46" s="818"/>
      <c r="B46" s="831">
        <v>10</v>
      </c>
      <c r="C46" s="829">
        <v>0.3</v>
      </c>
      <c r="D46" s="832"/>
      <c r="E46" s="833"/>
      <c r="F46" s="831"/>
      <c r="G46" s="829"/>
      <c r="H46" s="832"/>
      <c r="I46" s="833"/>
    </row>
    <row r="47" spans="1:9">
      <c r="A47" s="818"/>
      <c r="B47" s="831"/>
      <c r="C47" s="829">
        <v>0.2</v>
      </c>
      <c r="D47" s="832">
        <f>C46*C47*20</f>
        <v>1.2</v>
      </c>
      <c r="E47" s="833" t="s">
        <v>496</v>
      </c>
      <c r="F47" s="831"/>
      <c r="G47" s="829"/>
      <c r="H47" s="832">
        <f>SUM(H17:H46)</f>
        <v>66.343500000000006</v>
      </c>
      <c r="I47" s="833"/>
    </row>
    <row r="48" spans="1:9">
      <c r="A48" s="818"/>
      <c r="B48" s="831"/>
      <c r="C48" s="829"/>
      <c r="D48" s="832"/>
      <c r="E48" s="833" t="s">
        <v>468</v>
      </c>
      <c r="F48" s="831"/>
      <c r="G48" s="829"/>
      <c r="H48" s="832"/>
      <c r="I48" s="833"/>
    </row>
    <row r="49" spans="1:10">
      <c r="A49" s="818"/>
      <c r="B49" s="831">
        <v>2</v>
      </c>
      <c r="C49" s="829">
        <v>16.399999999999999</v>
      </c>
      <c r="D49" s="832"/>
      <c r="E49" s="833"/>
      <c r="F49" s="831"/>
      <c r="G49" s="829"/>
      <c r="H49" s="832"/>
      <c r="I49" s="844" t="s">
        <v>86</v>
      </c>
    </row>
    <row r="50" spans="1:10">
      <c r="A50" s="818"/>
      <c r="B50" s="831"/>
      <c r="C50" s="829">
        <v>0.8</v>
      </c>
      <c r="D50" s="832">
        <f>B49*C50*C49</f>
        <v>26.24</v>
      </c>
      <c r="E50" s="833"/>
      <c r="F50" s="831"/>
      <c r="G50" s="829">
        <v>2.95</v>
      </c>
      <c r="H50" s="832"/>
      <c r="I50" s="833"/>
    </row>
    <row r="51" spans="1:10">
      <c r="A51" s="818"/>
      <c r="B51" s="831"/>
      <c r="C51" s="829"/>
      <c r="D51" s="832"/>
      <c r="E51" s="833"/>
      <c r="F51" s="831">
        <v>1</v>
      </c>
      <c r="G51" s="829">
        <v>2.73</v>
      </c>
      <c r="H51" s="832"/>
      <c r="I51" s="833"/>
    </row>
    <row r="52" spans="1:10">
      <c r="A52" s="818"/>
      <c r="B52" s="831">
        <v>2</v>
      </c>
      <c r="C52" s="829">
        <v>16.399999999999999</v>
      </c>
      <c r="D52" s="832"/>
      <c r="E52" s="833" t="s">
        <v>37</v>
      </c>
      <c r="F52" s="831"/>
      <c r="G52" s="829"/>
      <c r="H52" s="832">
        <f>G50*G51*F51</f>
        <v>8.0534999999999997</v>
      </c>
      <c r="I52" s="833"/>
    </row>
    <row r="53" spans="1:10">
      <c r="A53" s="818"/>
      <c r="B53" s="831"/>
      <c r="C53" s="829">
        <v>0.8</v>
      </c>
      <c r="D53" s="832">
        <f>B52*C53*C52</f>
        <v>26.24</v>
      </c>
      <c r="E53" s="833" t="s">
        <v>739</v>
      </c>
      <c r="F53" s="831"/>
      <c r="G53" s="829">
        <v>1.8</v>
      </c>
      <c r="H53" s="832"/>
      <c r="I53" s="833"/>
    </row>
    <row r="54" spans="1:10">
      <c r="A54" s="818"/>
      <c r="B54" s="831"/>
      <c r="C54" s="829"/>
      <c r="D54" s="832"/>
      <c r="E54" s="833"/>
      <c r="F54" s="831">
        <v>1</v>
      </c>
      <c r="G54" s="829">
        <v>2.73</v>
      </c>
      <c r="H54" s="832"/>
      <c r="I54" s="833"/>
    </row>
    <row r="55" spans="1:10">
      <c r="A55" s="818"/>
      <c r="B55" s="831"/>
      <c r="C55" s="829"/>
      <c r="D55" s="832">
        <f>SUM(D44:D53)</f>
        <v>74.8</v>
      </c>
      <c r="E55" s="833"/>
      <c r="F55" s="831"/>
      <c r="G55" s="829"/>
      <c r="H55" s="832">
        <f>G53*G54*F54</f>
        <v>4.9139999999999997</v>
      </c>
      <c r="I55" s="833"/>
    </row>
    <row r="56" spans="1:10">
      <c r="A56" s="818"/>
      <c r="B56" s="831"/>
      <c r="C56" s="829"/>
      <c r="D56" s="832"/>
      <c r="E56" s="833"/>
      <c r="F56" s="831"/>
      <c r="G56" s="829">
        <v>0.9</v>
      </c>
      <c r="H56" s="832"/>
      <c r="I56" s="833"/>
    </row>
    <row r="57" spans="1:10">
      <c r="A57" s="818"/>
      <c r="B57" s="831"/>
      <c r="C57" s="829"/>
      <c r="D57" s="832"/>
      <c r="E57" s="844" t="s">
        <v>48</v>
      </c>
      <c r="F57" s="831">
        <v>2</v>
      </c>
      <c r="G57" s="829">
        <v>1.73</v>
      </c>
      <c r="H57" s="832"/>
      <c r="I57" s="833"/>
    </row>
    <row r="58" spans="1:10">
      <c r="A58" s="818"/>
      <c r="B58" s="831">
        <v>1</v>
      </c>
      <c r="C58" s="829">
        <v>1.3</v>
      </c>
      <c r="D58" s="832"/>
      <c r="E58" s="833" t="s">
        <v>832</v>
      </c>
      <c r="F58" s="831"/>
      <c r="G58" s="829"/>
      <c r="H58" s="832">
        <f>-G56*G57*F57</f>
        <v>-3.1139999999999999</v>
      </c>
      <c r="I58" s="833"/>
    </row>
    <row r="59" spans="1:10">
      <c r="A59" s="818"/>
      <c r="B59" s="831"/>
      <c r="C59" s="829">
        <v>0.55000000000000004</v>
      </c>
      <c r="D59" s="832"/>
      <c r="E59" s="833"/>
      <c r="F59" s="831"/>
      <c r="G59" s="829"/>
      <c r="H59" s="832"/>
      <c r="I59" s="833"/>
    </row>
    <row r="60" spans="1:10">
      <c r="A60" s="818"/>
      <c r="B60" s="831"/>
      <c r="C60" s="829"/>
      <c r="D60" s="832">
        <f>B58*C58*C59</f>
        <v>0.71500000000000008</v>
      </c>
      <c r="E60" s="833"/>
      <c r="F60" s="831"/>
      <c r="G60" s="829"/>
      <c r="H60" s="832">
        <f>SUM(H52:H59)</f>
        <v>9.8535000000000004</v>
      </c>
      <c r="I60" s="833"/>
    </row>
    <row r="61" spans="1:10">
      <c r="A61" s="818"/>
      <c r="B61" s="831"/>
      <c r="C61" s="829"/>
      <c r="D61" s="832"/>
      <c r="E61" s="833"/>
      <c r="F61" s="831"/>
      <c r="G61" s="829"/>
      <c r="H61" s="832"/>
      <c r="I61" s="833"/>
    </row>
    <row r="62" spans="1:10">
      <c r="A62" s="818"/>
      <c r="B62" s="831"/>
      <c r="C62" s="829"/>
      <c r="D62" s="832"/>
      <c r="E62" s="833"/>
      <c r="F62" s="831"/>
      <c r="G62" s="829"/>
      <c r="H62" s="832"/>
      <c r="I62" s="833"/>
    </row>
    <row r="63" spans="1:10">
      <c r="A63" s="818"/>
      <c r="B63" s="849"/>
      <c r="C63" s="850"/>
      <c r="D63" s="851"/>
      <c r="E63" s="852"/>
      <c r="F63" s="849"/>
      <c r="G63" s="850"/>
      <c r="H63" s="851"/>
      <c r="I63" s="852"/>
    </row>
    <row r="64" spans="1:10">
      <c r="A64" s="828"/>
      <c r="B64" s="853" t="s">
        <v>1884</v>
      </c>
      <c r="C64" s="854" t="s">
        <v>526</v>
      </c>
      <c r="D64" s="855" t="s">
        <v>1885</v>
      </c>
      <c r="E64" s="854" t="s">
        <v>1886</v>
      </c>
      <c r="F64" s="853" t="s">
        <v>1884</v>
      </c>
      <c r="G64" s="855" t="s">
        <v>526</v>
      </c>
      <c r="H64" s="856" t="s">
        <v>1885</v>
      </c>
      <c r="I64" s="854" t="s">
        <v>1886</v>
      </c>
      <c r="J64" s="828"/>
    </row>
    <row r="65" spans="1:9">
      <c r="A65" s="818"/>
      <c r="B65" s="831"/>
      <c r="C65" s="829"/>
      <c r="D65" s="832"/>
      <c r="E65" s="844" t="s">
        <v>124</v>
      </c>
      <c r="F65" s="831"/>
      <c r="G65" s="829"/>
      <c r="H65" s="832"/>
      <c r="I65" s="844" t="s">
        <v>135</v>
      </c>
    </row>
    <row r="66" spans="1:9">
      <c r="A66" s="818"/>
      <c r="B66" s="831"/>
      <c r="C66" s="829"/>
      <c r="D66" s="832"/>
      <c r="E66" s="844" t="s">
        <v>125</v>
      </c>
      <c r="F66" s="831"/>
      <c r="G66" s="829"/>
      <c r="H66" s="832"/>
      <c r="I66" s="833" t="s">
        <v>843</v>
      </c>
    </row>
    <row r="67" spans="1:9">
      <c r="A67" s="818"/>
      <c r="B67" s="831"/>
      <c r="C67" s="829"/>
      <c r="D67" s="832"/>
      <c r="E67" s="833" t="s">
        <v>1248</v>
      </c>
      <c r="F67" s="831">
        <v>1</v>
      </c>
      <c r="G67" s="829">
        <v>1</v>
      </c>
      <c r="H67" s="832"/>
      <c r="I67" s="833"/>
    </row>
    <row r="68" spans="1:9">
      <c r="A68" s="818"/>
      <c r="B68" s="831"/>
      <c r="C68" s="829">
        <v>17.100000000000001</v>
      </c>
      <c r="D68" s="832"/>
      <c r="E68" s="833" t="s">
        <v>1249</v>
      </c>
      <c r="F68" s="831"/>
      <c r="G68" s="829"/>
      <c r="H68" s="832">
        <f>F67*G67</f>
        <v>1</v>
      </c>
      <c r="I68" s="833"/>
    </row>
    <row r="69" spans="1:9">
      <c r="A69" s="818"/>
      <c r="B69" s="831"/>
      <c r="C69" s="829">
        <v>10.8</v>
      </c>
      <c r="D69" s="832"/>
      <c r="E69" s="833"/>
      <c r="F69" s="831"/>
      <c r="G69" s="829"/>
      <c r="H69" s="832"/>
      <c r="I69" s="833"/>
    </row>
    <row r="70" spans="1:9">
      <c r="A70" s="818"/>
      <c r="B70" s="831"/>
      <c r="C70" s="829"/>
      <c r="D70" s="832">
        <f>C68*C69</f>
        <v>184.68000000000004</v>
      </c>
      <c r="E70" s="833"/>
      <c r="F70" s="831"/>
      <c r="G70" s="829"/>
      <c r="H70" s="832"/>
      <c r="I70" s="833" t="s">
        <v>844</v>
      </c>
    </row>
    <row r="71" spans="1:9">
      <c r="A71" s="818"/>
      <c r="B71" s="831"/>
      <c r="C71" s="829"/>
      <c r="D71" s="832"/>
      <c r="E71" s="833"/>
      <c r="F71" s="831">
        <v>2</v>
      </c>
      <c r="G71" s="829">
        <v>1</v>
      </c>
      <c r="H71" s="832"/>
      <c r="I71" s="833"/>
    </row>
    <row r="72" spans="1:9">
      <c r="A72" s="818"/>
      <c r="B72" s="831">
        <v>2</v>
      </c>
      <c r="C72" s="829">
        <v>5.66</v>
      </c>
      <c r="D72" s="832"/>
      <c r="E72" s="844" t="s">
        <v>129</v>
      </c>
      <c r="F72" s="831"/>
      <c r="G72" s="829"/>
      <c r="H72" s="832">
        <f>F71*G71</f>
        <v>2</v>
      </c>
      <c r="I72" s="833"/>
    </row>
    <row r="73" spans="1:9">
      <c r="A73" s="818"/>
      <c r="B73" s="831"/>
      <c r="C73" s="829">
        <v>0.5</v>
      </c>
      <c r="D73" s="832"/>
      <c r="E73" s="844"/>
      <c r="F73" s="831"/>
      <c r="G73" s="829"/>
      <c r="H73" s="832"/>
      <c r="I73" s="833"/>
    </row>
    <row r="74" spans="1:9">
      <c r="A74" s="818"/>
      <c r="B74" s="831"/>
      <c r="C74" s="829"/>
      <c r="D74" s="832">
        <f>C72*C73*B72</f>
        <v>5.66</v>
      </c>
      <c r="E74" s="844"/>
      <c r="F74" s="831"/>
      <c r="G74" s="829"/>
      <c r="H74" s="832"/>
      <c r="I74" s="844" t="s">
        <v>141</v>
      </c>
    </row>
    <row r="75" spans="1:9">
      <c r="A75" s="818"/>
      <c r="B75" s="831">
        <v>2</v>
      </c>
      <c r="C75" s="829">
        <v>17.100000000000001</v>
      </c>
      <c r="D75" s="832"/>
      <c r="E75" s="833"/>
      <c r="F75" s="831"/>
      <c r="G75" s="829"/>
      <c r="H75" s="832"/>
      <c r="I75" s="844" t="s">
        <v>142</v>
      </c>
    </row>
    <row r="76" spans="1:9">
      <c r="A76" s="818"/>
      <c r="B76" s="831"/>
      <c r="C76" s="829">
        <v>0.5</v>
      </c>
      <c r="D76" s="832"/>
      <c r="E76" s="833"/>
      <c r="F76" s="831">
        <v>2</v>
      </c>
      <c r="G76" s="829">
        <v>3.9</v>
      </c>
      <c r="H76" s="832"/>
      <c r="I76" s="833" t="s">
        <v>845</v>
      </c>
    </row>
    <row r="77" spans="1:9">
      <c r="A77" s="818"/>
      <c r="B77" s="831"/>
      <c r="C77" s="829"/>
      <c r="D77" s="832">
        <f>B75*C75*C76</f>
        <v>17.100000000000001</v>
      </c>
      <c r="E77" s="833"/>
      <c r="F77" s="831"/>
      <c r="G77" s="829">
        <v>2.73</v>
      </c>
      <c r="H77" s="832">
        <f>G76*G77*F76</f>
        <v>21.294</v>
      </c>
      <c r="I77" s="833"/>
    </row>
    <row r="78" spans="1:9">
      <c r="A78" s="818"/>
      <c r="B78" s="831"/>
      <c r="C78" s="829"/>
      <c r="D78" s="832"/>
      <c r="E78" s="833"/>
      <c r="F78" s="831"/>
      <c r="G78" s="829"/>
      <c r="H78" s="832"/>
      <c r="I78" s="833"/>
    </row>
    <row r="79" spans="1:9">
      <c r="A79" s="818"/>
      <c r="B79" s="831"/>
      <c r="C79" s="829"/>
      <c r="D79" s="832">
        <f>SUM(D74:D77)</f>
        <v>22.76</v>
      </c>
      <c r="E79" s="833"/>
      <c r="F79" s="831">
        <v>1</v>
      </c>
      <c r="G79" s="829">
        <v>1.5</v>
      </c>
      <c r="H79" s="832"/>
      <c r="I79" s="833" t="s">
        <v>464</v>
      </c>
    </row>
    <row r="80" spans="1:9">
      <c r="A80" s="818"/>
      <c r="B80" s="831"/>
      <c r="C80" s="829"/>
      <c r="D80" s="832"/>
      <c r="E80" s="844"/>
      <c r="F80" s="831"/>
      <c r="G80" s="829">
        <v>1.73</v>
      </c>
      <c r="H80" s="832">
        <f>-G79*G80*F79</f>
        <v>-2.5949999999999998</v>
      </c>
      <c r="I80" s="833"/>
    </row>
    <row r="81" spans="1:9">
      <c r="A81" s="818"/>
      <c r="B81" s="831"/>
      <c r="C81" s="829"/>
      <c r="D81" s="832"/>
      <c r="E81" s="844"/>
      <c r="F81" s="831"/>
      <c r="G81" s="829"/>
      <c r="H81" s="832"/>
      <c r="I81" s="833"/>
    </row>
    <row r="82" spans="1:9">
      <c r="A82" s="818"/>
      <c r="B82" s="831"/>
      <c r="C82" s="829"/>
      <c r="D82" s="832"/>
      <c r="E82" s="844" t="s">
        <v>131</v>
      </c>
      <c r="F82" s="831">
        <v>1</v>
      </c>
      <c r="G82" s="829">
        <v>1</v>
      </c>
      <c r="H82" s="832"/>
      <c r="I82" s="833" t="s">
        <v>748</v>
      </c>
    </row>
    <row r="83" spans="1:9">
      <c r="A83" s="818"/>
      <c r="B83" s="831">
        <v>2</v>
      </c>
      <c r="C83" s="829">
        <v>5.66</v>
      </c>
      <c r="D83" s="832"/>
      <c r="E83" s="844" t="s">
        <v>133</v>
      </c>
      <c r="F83" s="831"/>
      <c r="G83" s="829">
        <v>1.73</v>
      </c>
      <c r="H83" s="832">
        <f>-G82*G83*F82</f>
        <v>-1.73</v>
      </c>
      <c r="I83" s="833"/>
    </row>
    <row r="84" spans="1:9">
      <c r="A84" s="818"/>
      <c r="B84" s="831"/>
      <c r="C84" s="829"/>
      <c r="D84" s="832">
        <f>C83*B83</f>
        <v>11.32</v>
      </c>
      <c r="E84" s="844"/>
      <c r="F84" s="831"/>
      <c r="G84" s="829"/>
      <c r="H84" s="832"/>
      <c r="I84" s="833"/>
    </row>
    <row r="85" spans="1:9">
      <c r="A85" s="818"/>
      <c r="B85" s="831"/>
      <c r="C85" s="829"/>
      <c r="D85" s="832"/>
      <c r="E85" s="844"/>
      <c r="F85" s="831">
        <v>1</v>
      </c>
      <c r="G85" s="829">
        <v>1.1499999999999999</v>
      </c>
      <c r="H85" s="832"/>
      <c r="I85" s="833" t="s">
        <v>836</v>
      </c>
    </row>
    <row r="86" spans="1:9">
      <c r="A86" s="818"/>
      <c r="B86" s="831"/>
      <c r="C86" s="829"/>
      <c r="D86" s="832"/>
      <c r="E86" s="844"/>
      <c r="F86" s="831"/>
      <c r="G86" s="829">
        <v>1.73</v>
      </c>
      <c r="H86" s="832">
        <f>-G85*G86*F85</f>
        <v>-1.9894999999999998</v>
      </c>
      <c r="I86" s="833"/>
    </row>
    <row r="87" spans="1:9">
      <c r="A87" s="818"/>
      <c r="B87" s="831">
        <v>2</v>
      </c>
      <c r="C87" s="829">
        <v>17.600000000000001</v>
      </c>
      <c r="D87" s="832"/>
      <c r="E87" s="844" t="s">
        <v>105</v>
      </c>
      <c r="F87" s="831"/>
      <c r="G87" s="829"/>
      <c r="H87" s="832"/>
      <c r="I87" s="833"/>
    </row>
    <row r="88" spans="1:9">
      <c r="A88" s="818"/>
      <c r="B88" s="831"/>
      <c r="C88" s="829"/>
      <c r="D88" s="832">
        <f>C87*B87</f>
        <v>35.200000000000003</v>
      </c>
      <c r="E88" s="844"/>
      <c r="F88" s="831">
        <v>2</v>
      </c>
      <c r="G88" s="829">
        <v>0.8</v>
      </c>
      <c r="H88" s="832"/>
      <c r="I88" s="833" t="s">
        <v>234</v>
      </c>
    </row>
    <row r="89" spans="1:9">
      <c r="A89" s="818"/>
      <c r="B89" s="831"/>
      <c r="C89" s="829"/>
      <c r="D89" s="832"/>
      <c r="E89" s="844"/>
      <c r="F89" s="831"/>
      <c r="G89" s="829">
        <v>2.73</v>
      </c>
      <c r="H89" s="832">
        <f>-G88*G89*F88</f>
        <v>-4.3680000000000003</v>
      </c>
      <c r="I89" s="833"/>
    </row>
    <row r="90" spans="1:9">
      <c r="A90" s="818"/>
      <c r="B90" s="831"/>
      <c r="C90" s="829"/>
      <c r="D90" s="832"/>
      <c r="E90" s="844"/>
      <c r="F90" s="831"/>
      <c r="G90" s="829"/>
      <c r="H90" s="832"/>
      <c r="I90" s="833"/>
    </row>
    <row r="91" spans="1:9">
      <c r="A91" s="818"/>
      <c r="B91" s="831"/>
      <c r="C91" s="829"/>
      <c r="D91" s="832"/>
      <c r="E91" s="844" t="s">
        <v>109</v>
      </c>
      <c r="F91" s="831">
        <v>1</v>
      </c>
      <c r="G91" s="829">
        <v>14.7</v>
      </c>
      <c r="H91" s="832"/>
      <c r="I91" s="833" t="s">
        <v>828</v>
      </c>
    </row>
    <row r="92" spans="1:9">
      <c r="A92" s="818"/>
      <c r="B92" s="831">
        <v>17</v>
      </c>
      <c r="C92" s="829">
        <v>11.5</v>
      </c>
      <c r="D92" s="832"/>
      <c r="E92" s="844" t="s">
        <v>421</v>
      </c>
      <c r="F92" s="831"/>
      <c r="G92" s="829">
        <v>1</v>
      </c>
      <c r="H92" s="832">
        <f>G91*G92*F91</f>
        <v>14.7</v>
      </c>
      <c r="I92" s="833"/>
    </row>
    <row r="93" spans="1:9">
      <c r="A93" s="818"/>
      <c r="B93" s="831"/>
      <c r="C93" s="829"/>
      <c r="D93" s="832">
        <f>B92*C92</f>
        <v>195.5</v>
      </c>
      <c r="E93" s="844"/>
      <c r="F93" s="831"/>
      <c r="G93" s="829"/>
      <c r="H93" s="832"/>
      <c r="I93" s="833"/>
    </row>
    <row r="94" spans="1:9">
      <c r="A94" s="818"/>
      <c r="B94" s="831"/>
      <c r="C94" s="829"/>
      <c r="D94" s="832"/>
      <c r="E94" s="844"/>
      <c r="F94" s="831">
        <v>2</v>
      </c>
      <c r="G94" s="829">
        <v>1.05</v>
      </c>
      <c r="H94" s="832"/>
      <c r="I94" s="833" t="s">
        <v>848</v>
      </c>
    </row>
    <row r="95" spans="1:9">
      <c r="A95" s="818"/>
      <c r="B95" s="831">
        <v>17</v>
      </c>
      <c r="C95" s="829">
        <v>10.199999999999999</v>
      </c>
      <c r="D95" s="832">
        <f>B93*C93</f>
        <v>0</v>
      </c>
      <c r="E95" s="833"/>
      <c r="F95" s="831"/>
      <c r="G95" s="829">
        <v>9.6</v>
      </c>
      <c r="H95" s="832">
        <f>G94*G95*F94</f>
        <v>20.16</v>
      </c>
      <c r="I95" s="833"/>
    </row>
    <row r="96" spans="1:9">
      <c r="A96" s="818"/>
      <c r="B96" s="831"/>
      <c r="C96" s="829"/>
      <c r="D96" s="832">
        <f>B95*C95</f>
        <v>173.39999999999998</v>
      </c>
      <c r="E96" s="833"/>
      <c r="F96" s="831"/>
      <c r="G96" s="829"/>
      <c r="H96" s="832"/>
      <c r="I96" s="833"/>
    </row>
    <row r="97" spans="1:9">
      <c r="A97" s="818"/>
      <c r="B97" s="831"/>
      <c r="C97" s="829"/>
      <c r="D97" s="832"/>
      <c r="E97" s="833"/>
      <c r="F97" s="831">
        <v>2</v>
      </c>
      <c r="G97" s="829">
        <v>10.5</v>
      </c>
      <c r="H97" s="832"/>
      <c r="I97" s="833" t="s">
        <v>842</v>
      </c>
    </row>
    <row r="98" spans="1:9">
      <c r="A98" s="818"/>
      <c r="B98" s="831"/>
      <c r="C98" s="829"/>
      <c r="D98" s="832">
        <f>SUM(D92:D96)</f>
        <v>368.9</v>
      </c>
      <c r="E98" s="833"/>
      <c r="F98" s="831"/>
      <c r="G98" s="829">
        <v>0.2</v>
      </c>
      <c r="H98" s="832">
        <f>G97*G98*F97</f>
        <v>4.2</v>
      </c>
      <c r="I98" s="833"/>
    </row>
    <row r="99" spans="1:9">
      <c r="A99" s="818"/>
      <c r="B99" s="831"/>
      <c r="C99" s="829"/>
      <c r="D99" s="832"/>
      <c r="E99" s="833"/>
      <c r="F99" s="831"/>
      <c r="G99" s="829"/>
      <c r="H99" s="832"/>
      <c r="I99" s="833"/>
    </row>
    <row r="100" spans="1:9">
      <c r="A100" s="818"/>
      <c r="B100" s="831"/>
      <c r="C100" s="829"/>
      <c r="D100" s="832"/>
      <c r="E100" s="844"/>
      <c r="F100" s="831"/>
      <c r="G100" s="829"/>
      <c r="H100" s="832">
        <f>SUM(H77:H98)</f>
        <v>49.671500000000009</v>
      </c>
      <c r="I100" s="833"/>
    </row>
    <row r="101" spans="1:9">
      <c r="A101" s="818"/>
      <c r="B101" s="831">
        <v>17</v>
      </c>
      <c r="C101" s="829">
        <v>10.82</v>
      </c>
      <c r="D101" s="832"/>
      <c r="E101" s="844" t="s">
        <v>114</v>
      </c>
      <c r="F101" s="831"/>
      <c r="G101" s="829"/>
      <c r="H101" s="832"/>
      <c r="I101" s="833"/>
    </row>
    <row r="102" spans="1:9">
      <c r="A102" s="818"/>
      <c r="B102" s="831"/>
      <c r="C102" s="829"/>
      <c r="D102" s="832">
        <f>B101*C101</f>
        <v>183.94</v>
      </c>
      <c r="E102" s="844"/>
      <c r="F102" s="831"/>
      <c r="G102" s="829"/>
      <c r="H102" s="832"/>
      <c r="I102" s="844" t="s">
        <v>358</v>
      </c>
    </row>
    <row r="103" spans="1:9">
      <c r="A103" s="818"/>
      <c r="B103" s="831"/>
      <c r="C103" s="829"/>
      <c r="D103" s="832"/>
      <c r="E103" s="844"/>
      <c r="F103" s="831">
        <v>1</v>
      </c>
      <c r="G103" s="829">
        <v>9.5</v>
      </c>
      <c r="H103" s="832"/>
      <c r="I103" s="833" t="s">
        <v>851</v>
      </c>
    </row>
    <row r="104" spans="1:9">
      <c r="A104" s="818"/>
      <c r="B104" s="831">
        <v>17</v>
      </c>
      <c r="C104" s="829">
        <v>13.16</v>
      </c>
      <c r="D104" s="832"/>
      <c r="E104" s="833"/>
      <c r="F104" s="831"/>
      <c r="G104" s="829">
        <v>2.93</v>
      </c>
      <c r="H104" s="832">
        <f>G103*G104*F103</f>
        <v>27.835000000000001</v>
      </c>
      <c r="I104" s="833" t="s">
        <v>852</v>
      </c>
    </row>
    <row r="105" spans="1:9">
      <c r="A105" s="818"/>
      <c r="B105" s="831"/>
      <c r="C105" s="829"/>
      <c r="D105" s="832">
        <f>B104*C104</f>
        <v>223.72</v>
      </c>
      <c r="E105" s="833"/>
      <c r="F105" s="831"/>
      <c r="G105" s="829"/>
      <c r="H105" s="832"/>
      <c r="I105" s="833"/>
    </row>
    <row r="106" spans="1:9">
      <c r="A106" s="818"/>
      <c r="B106" s="831"/>
      <c r="C106" s="829"/>
      <c r="D106" s="832"/>
      <c r="E106" s="833"/>
      <c r="F106" s="831">
        <v>1</v>
      </c>
      <c r="G106" s="829">
        <v>0.9</v>
      </c>
      <c r="H106" s="832"/>
      <c r="I106" s="833" t="s">
        <v>234</v>
      </c>
    </row>
    <row r="107" spans="1:9">
      <c r="A107" s="818"/>
      <c r="B107" s="831"/>
      <c r="C107" s="829"/>
      <c r="D107" s="832">
        <f>SUM(D102:D106)</f>
        <v>407.65999999999997</v>
      </c>
      <c r="E107" s="833"/>
      <c r="F107" s="831"/>
      <c r="G107" s="829">
        <v>2.73</v>
      </c>
      <c r="H107" s="832">
        <f>-G106*G107*F106</f>
        <v>-2.4569999999999999</v>
      </c>
      <c r="I107" s="833"/>
    </row>
    <row r="108" spans="1:9">
      <c r="A108" s="818"/>
      <c r="B108" s="831"/>
      <c r="C108" s="829"/>
      <c r="D108" s="832"/>
      <c r="E108" s="833"/>
      <c r="F108" s="831"/>
      <c r="G108" s="829"/>
      <c r="H108" s="832"/>
      <c r="I108" s="833"/>
    </row>
    <row r="109" spans="1:9">
      <c r="A109" s="818"/>
      <c r="B109" s="831"/>
      <c r="C109" s="829"/>
      <c r="D109" s="832"/>
      <c r="E109" s="844"/>
      <c r="F109" s="831">
        <v>1</v>
      </c>
      <c r="G109" s="829">
        <v>1</v>
      </c>
      <c r="H109" s="832"/>
      <c r="I109" s="833" t="s">
        <v>748</v>
      </c>
    </row>
    <row r="110" spans="1:9">
      <c r="A110" s="818"/>
      <c r="B110" s="831">
        <v>14</v>
      </c>
      <c r="C110" s="829">
        <v>17.100000000000001</v>
      </c>
      <c r="D110" s="832"/>
      <c r="E110" s="844" t="s">
        <v>117</v>
      </c>
      <c r="F110" s="831"/>
      <c r="G110" s="829">
        <v>1.73</v>
      </c>
      <c r="H110" s="832">
        <f>-G109*G110*F109</f>
        <v>-1.73</v>
      </c>
      <c r="I110" s="833"/>
    </row>
    <row r="111" spans="1:9">
      <c r="A111" s="818"/>
      <c r="B111" s="831"/>
      <c r="C111" s="829"/>
      <c r="D111" s="832">
        <f>B110*C110</f>
        <v>239.40000000000003</v>
      </c>
      <c r="E111" s="844"/>
      <c r="F111" s="831"/>
      <c r="G111" s="829"/>
      <c r="H111" s="832"/>
      <c r="I111" s="833"/>
    </row>
    <row r="112" spans="1:9">
      <c r="A112" s="818"/>
      <c r="B112" s="831"/>
      <c r="C112" s="829"/>
      <c r="D112" s="832"/>
      <c r="E112" s="844"/>
      <c r="F112" s="831">
        <v>2</v>
      </c>
      <c r="G112" s="829">
        <v>1</v>
      </c>
      <c r="H112" s="832"/>
      <c r="I112" s="833" t="s">
        <v>680</v>
      </c>
    </row>
    <row r="113" spans="1:10">
      <c r="A113" s="818"/>
      <c r="B113" s="831"/>
      <c r="C113" s="829"/>
      <c r="D113" s="832"/>
      <c r="E113" s="844"/>
      <c r="F113" s="831"/>
      <c r="G113" s="829">
        <v>1.73</v>
      </c>
      <c r="H113" s="832">
        <f>-G112*G113*F112</f>
        <v>-3.46</v>
      </c>
      <c r="I113" s="833"/>
    </row>
    <row r="114" spans="1:10">
      <c r="A114" s="818"/>
      <c r="B114" s="831">
        <v>2</v>
      </c>
      <c r="C114" s="829">
        <v>5.66</v>
      </c>
      <c r="D114" s="832"/>
      <c r="E114" s="844" t="s">
        <v>122</v>
      </c>
      <c r="F114" s="831"/>
      <c r="G114" s="829"/>
      <c r="H114" s="832"/>
      <c r="I114" s="833"/>
    </row>
    <row r="115" spans="1:10">
      <c r="A115" s="818"/>
      <c r="B115" s="831"/>
      <c r="C115" s="829"/>
      <c r="D115" s="832">
        <f>B114*C114</f>
        <v>11.32</v>
      </c>
      <c r="E115" s="844"/>
      <c r="F115" s="831">
        <v>1</v>
      </c>
      <c r="G115" s="829">
        <v>5.25</v>
      </c>
      <c r="H115" s="832"/>
      <c r="I115" s="833" t="s">
        <v>855</v>
      </c>
    </row>
    <row r="116" spans="1:10">
      <c r="A116" s="818"/>
      <c r="B116" s="831"/>
      <c r="C116" s="829"/>
      <c r="D116" s="832"/>
      <c r="E116" s="844"/>
      <c r="F116" s="831"/>
      <c r="G116" s="829">
        <v>2.93</v>
      </c>
      <c r="H116" s="832">
        <f>G115*G116*F115</f>
        <v>15.3825</v>
      </c>
      <c r="I116" s="833" t="s">
        <v>856</v>
      </c>
    </row>
    <row r="117" spans="1:10">
      <c r="A117" s="818"/>
      <c r="B117" s="831">
        <v>2</v>
      </c>
      <c r="C117" s="829">
        <v>17.100000000000001</v>
      </c>
      <c r="D117" s="832"/>
      <c r="E117" s="833"/>
      <c r="F117" s="831"/>
      <c r="G117" s="829"/>
      <c r="H117" s="832"/>
      <c r="I117" s="833"/>
    </row>
    <row r="118" spans="1:10">
      <c r="A118" s="818"/>
      <c r="B118" s="831"/>
      <c r="C118" s="829"/>
      <c r="D118" s="832">
        <f>B117*C117</f>
        <v>34.200000000000003</v>
      </c>
      <c r="E118" s="833"/>
      <c r="F118" s="831">
        <v>1</v>
      </c>
      <c r="G118" s="829">
        <v>0.9</v>
      </c>
      <c r="H118" s="832"/>
      <c r="I118" s="833" t="s">
        <v>234</v>
      </c>
    </row>
    <row r="119" spans="1:10">
      <c r="A119" s="818"/>
      <c r="B119" s="831"/>
      <c r="C119" s="829"/>
      <c r="D119" s="832"/>
      <c r="E119" s="833"/>
      <c r="F119" s="831"/>
      <c r="G119" s="829">
        <v>2.63</v>
      </c>
      <c r="H119" s="832">
        <f>-G118*G119*F118</f>
        <v>-2.367</v>
      </c>
      <c r="I119" s="833"/>
    </row>
    <row r="120" spans="1:10">
      <c r="A120" s="818"/>
      <c r="B120" s="831"/>
      <c r="C120" s="829"/>
      <c r="D120" s="832">
        <f>SUM(D115:D118)</f>
        <v>45.52</v>
      </c>
      <c r="E120" s="833"/>
      <c r="F120" s="831"/>
      <c r="G120" s="829"/>
      <c r="H120" s="832"/>
      <c r="I120" s="833"/>
    </row>
    <row r="121" spans="1:10">
      <c r="A121" s="818"/>
      <c r="B121" s="109"/>
      <c r="C121" s="860"/>
      <c r="D121" s="860"/>
      <c r="E121" s="109"/>
      <c r="F121" s="109"/>
      <c r="G121" s="939"/>
      <c r="H121" s="860"/>
      <c r="I121" s="109"/>
    </row>
    <row r="122" spans="1:10">
      <c r="A122" s="828"/>
      <c r="B122" s="853" t="s">
        <v>1884</v>
      </c>
      <c r="C122" s="854" t="s">
        <v>526</v>
      </c>
      <c r="D122" s="855" t="s">
        <v>1885</v>
      </c>
      <c r="E122" s="854" t="s">
        <v>1886</v>
      </c>
      <c r="F122" s="853" t="s">
        <v>1884</v>
      </c>
      <c r="G122" s="855" t="s">
        <v>526</v>
      </c>
      <c r="H122" s="856" t="s">
        <v>1885</v>
      </c>
      <c r="I122" s="854" t="s">
        <v>1886</v>
      </c>
      <c r="J122" s="828"/>
    </row>
    <row r="123" spans="1:10">
      <c r="A123" s="818"/>
      <c r="B123" s="831">
        <v>1</v>
      </c>
      <c r="C123" s="829">
        <v>1</v>
      </c>
      <c r="D123" s="832"/>
      <c r="E123" s="833" t="s">
        <v>836</v>
      </c>
      <c r="F123" s="831"/>
      <c r="G123" s="829"/>
      <c r="H123" s="832"/>
      <c r="I123" s="844" t="s">
        <v>226</v>
      </c>
    </row>
    <row r="124" spans="1:10">
      <c r="A124" s="818"/>
      <c r="B124" s="831"/>
      <c r="C124" s="829">
        <v>1.73</v>
      </c>
      <c r="D124" s="832">
        <f>-C123*C124*B123</f>
        <v>-1.73</v>
      </c>
      <c r="E124" s="833"/>
      <c r="F124" s="831">
        <v>1</v>
      </c>
      <c r="G124" s="829">
        <v>1.8</v>
      </c>
      <c r="H124" s="832"/>
      <c r="I124" s="833" t="s">
        <v>364</v>
      </c>
    </row>
    <row r="125" spans="1:10">
      <c r="A125" s="818"/>
      <c r="B125" s="831"/>
      <c r="C125" s="829"/>
      <c r="D125" s="832"/>
      <c r="E125" s="833"/>
      <c r="F125" s="831"/>
      <c r="G125" s="829">
        <v>2.95</v>
      </c>
      <c r="H125" s="832">
        <f>G124*G125*F124</f>
        <v>5.3100000000000005</v>
      </c>
      <c r="I125" s="833"/>
    </row>
    <row r="126" spans="1:10">
      <c r="A126" s="818"/>
      <c r="B126" s="831">
        <v>1</v>
      </c>
      <c r="C126" s="829">
        <v>1</v>
      </c>
      <c r="D126" s="832"/>
      <c r="E126" s="833" t="s">
        <v>680</v>
      </c>
      <c r="F126" s="831"/>
      <c r="G126" s="829"/>
      <c r="H126" s="832"/>
      <c r="I126" s="833"/>
    </row>
    <row r="127" spans="1:10">
      <c r="A127" s="818"/>
      <c r="B127" s="831"/>
      <c r="C127" s="829">
        <v>1.73</v>
      </c>
      <c r="D127" s="832">
        <f>-C126*C127*B126</f>
        <v>-1.73</v>
      </c>
      <c r="E127" s="833"/>
      <c r="F127" s="831">
        <v>1</v>
      </c>
      <c r="G127" s="829">
        <v>1.95</v>
      </c>
      <c r="H127" s="832"/>
      <c r="I127" s="833" t="s">
        <v>855</v>
      </c>
    </row>
    <row r="128" spans="1:10">
      <c r="A128" s="818"/>
      <c r="B128" s="831"/>
      <c r="C128" s="829"/>
      <c r="D128" s="832"/>
      <c r="E128" s="833"/>
      <c r="F128" s="831"/>
      <c r="G128" s="829">
        <v>2.95</v>
      </c>
      <c r="H128" s="832">
        <f>G127*G128*F127</f>
        <v>5.7525000000000004</v>
      </c>
      <c r="I128" s="833"/>
    </row>
    <row r="129" spans="1:9">
      <c r="A129" s="818"/>
      <c r="B129" s="831">
        <v>1</v>
      </c>
      <c r="C129" s="829">
        <v>10.45</v>
      </c>
      <c r="D129" s="832"/>
      <c r="E129" s="833" t="s">
        <v>160</v>
      </c>
      <c r="F129" s="831"/>
      <c r="G129" s="829"/>
      <c r="H129" s="832"/>
      <c r="I129" s="833"/>
    </row>
    <row r="130" spans="1:9">
      <c r="A130" s="818"/>
      <c r="B130" s="831"/>
      <c r="C130" s="829">
        <v>2.93</v>
      </c>
      <c r="D130" s="832">
        <f>C129*C130*B129</f>
        <v>30.618500000000001</v>
      </c>
      <c r="E130" s="833" t="s">
        <v>846</v>
      </c>
      <c r="F130" s="831">
        <v>1</v>
      </c>
      <c r="G130" s="829">
        <v>2.5</v>
      </c>
      <c r="H130" s="832"/>
      <c r="I130" s="833" t="s">
        <v>160</v>
      </c>
    </row>
    <row r="131" spans="1:9">
      <c r="A131" s="818"/>
      <c r="B131" s="831"/>
      <c r="C131" s="829"/>
      <c r="D131" s="832"/>
      <c r="E131" s="833"/>
      <c r="F131" s="831"/>
      <c r="G131" s="829">
        <v>3.9</v>
      </c>
      <c r="H131" s="832">
        <f>G130*G131*F130</f>
        <v>9.75</v>
      </c>
      <c r="I131" s="833"/>
    </row>
    <row r="132" spans="1:9">
      <c r="A132" s="818"/>
      <c r="B132" s="831">
        <v>1</v>
      </c>
      <c r="C132" s="829">
        <v>0.9</v>
      </c>
      <c r="D132" s="832"/>
      <c r="E132" s="833" t="s">
        <v>191</v>
      </c>
      <c r="F132" s="831"/>
      <c r="G132" s="829"/>
      <c r="H132" s="832"/>
      <c r="I132" s="833"/>
    </row>
    <row r="133" spans="1:9">
      <c r="A133" s="818"/>
      <c r="B133" s="831"/>
      <c r="C133" s="829">
        <v>2.63</v>
      </c>
      <c r="D133" s="832">
        <f>-C132*C133*B132</f>
        <v>-2.367</v>
      </c>
      <c r="E133" s="833"/>
      <c r="F133" s="831">
        <v>1</v>
      </c>
      <c r="G133" s="829">
        <v>3.9</v>
      </c>
      <c r="H133" s="832"/>
      <c r="I133" s="833" t="s">
        <v>840</v>
      </c>
    </row>
    <row r="134" spans="1:9">
      <c r="A134" s="818"/>
      <c r="B134" s="831"/>
      <c r="C134" s="829"/>
      <c r="D134" s="832"/>
      <c r="E134" s="833"/>
      <c r="F134" s="831"/>
      <c r="G134" s="829">
        <v>3.4</v>
      </c>
      <c r="H134" s="832">
        <f>G133*G134*F133</f>
        <v>13.26</v>
      </c>
      <c r="I134" s="833"/>
    </row>
    <row r="135" spans="1:9">
      <c r="A135" s="818"/>
      <c r="B135" s="831">
        <v>1</v>
      </c>
      <c r="C135" s="829">
        <v>1</v>
      </c>
      <c r="D135" s="832"/>
      <c r="E135" s="833" t="s">
        <v>680</v>
      </c>
      <c r="F135" s="831"/>
      <c r="G135" s="829"/>
      <c r="H135" s="832"/>
      <c r="I135" s="833"/>
    </row>
    <row r="136" spans="1:9">
      <c r="A136" s="818"/>
      <c r="B136" s="831"/>
      <c r="C136" s="829">
        <v>1.73</v>
      </c>
      <c r="D136" s="832">
        <f>-C135*C136*B135</f>
        <v>-1.73</v>
      </c>
      <c r="E136" s="833"/>
      <c r="F136" s="831">
        <v>2</v>
      </c>
      <c r="G136" s="829">
        <v>6</v>
      </c>
      <c r="H136" s="832"/>
      <c r="I136" s="833" t="s">
        <v>860</v>
      </c>
    </row>
    <row r="137" spans="1:9">
      <c r="A137" s="818"/>
      <c r="B137" s="831"/>
      <c r="C137" s="829"/>
      <c r="D137" s="832"/>
      <c r="E137" s="833"/>
      <c r="F137" s="831"/>
      <c r="G137" s="829">
        <v>2.9</v>
      </c>
      <c r="H137" s="832">
        <f>G136*G137*F136</f>
        <v>34.799999999999997</v>
      </c>
      <c r="I137" s="833"/>
    </row>
    <row r="138" spans="1:9">
      <c r="A138" s="818"/>
      <c r="B138" s="831">
        <v>1</v>
      </c>
      <c r="C138" s="829">
        <v>14.6</v>
      </c>
      <c r="D138" s="832"/>
      <c r="E138" s="833" t="s">
        <v>840</v>
      </c>
      <c r="F138" s="831"/>
      <c r="G138" s="829"/>
      <c r="H138" s="832"/>
      <c r="I138" s="833"/>
    </row>
    <row r="139" spans="1:9">
      <c r="A139" s="818"/>
      <c r="B139" s="831"/>
      <c r="C139" s="829">
        <v>2.93</v>
      </c>
      <c r="D139" s="832">
        <f>C138*C139*B138</f>
        <v>42.777999999999999</v>
      </c>
      <c r="E139" s="833" t="s">
        <v>847</v>
      </c>
      <c r="F139" s="831">
        <v>2</v>
      </c>
      <c r="G139" s="829">
        <v>6</v>
      </c>
      <c r="H139" s="832"/>
      <c r="I139" s="833" t="s">
        <v>121</v>
      </c>
    </row>
    <row r="140" spans="1:9">
      <c r="A140" s="818"/>
      <c r="B140" s="831"/>
      <c r="C140" s="829"/>
      <c r="D140" s="832"/>
      <c r="E140" s="833"/>
      <c r="F140" s="831"/>
      <c r="G140" s="829">
        <v>3.4</v>
      </c>
      <c r="H140" s="832">
        <f>G139*G140*F139</f>
        <v>40.799999999999997</v>
      </c>
      <c r="I140" s="833"/>
    </row>
    <row r="141" spans="1:9">
      <c r="A141" s="818"/>
      <c r="B141" s="831">
        <v>1</v>
      </c>
      <c r="C141" s="829">
        <v>0.9</v>
      </c>
      <c r="D141" s="832"/>
      <c r="E141" s="833" t="s">
        <v>191</v>
      </c>
      <c r="F141" s="831"/>
      <c r="G141" s="829"/>
      <c r="H141" s="832"/>
      <c r="I141" s="833"/>
    </row>
    <row r="142" spans="1:9">
      <c r="A142" s="818"/>
      <c r="B142" s="831"/>
      <c r="C142" s="829">
        <v>2.73</v>
      </c>
      <c r="D142" s="832">
        <f>-C141*C142*B141</f>
        <v>-2.4569999999999999</v>
      </c>
      <c r="E142" s="833"/>
      <c r="F142" s="831">
        <v>2</v>
      </c>
      <c r="G142" s="829">
        <v>6</v>
      </c>
      <c r="H142" s="832"/>
      <c r="I142" s="833" t="s">
        <v>160</v>
      </c>
    </row>
    <row r="143" spans="1:9">
      <c r="A143" s="818"/>
      <c r="B143" s="831"/>
      <c r="C143" s="829"/>
      <c r="D143" s="832"/>
      <c r="E143" s="833"/>
      <c r="F143" s="831"/>
      <c r="G143" s="829">
        <v>2.5</v>
      </c>
      <c r="H143" s="832">
        <f>G142*G143*F142</f>
        <v>30</v>
      </c>
      <c r="I143" s="833"/>
    </row>
    <row r="144" spans="1:9">
      <c r="A144" s="818"/>
      <c r="B144" s="831">
        <v>1</v>
      </c>
      <c r="C144" s="829">
        <v>1.5</v>
      </c>
      <c r="D144" s="832"/>
      <c r="E144" s="833" t="s">
        <v>464</v>
      </c>
      <c r="F144" s="831"/>
      <c r="G144" s="829"/>
      <c r="H144" s="832"/>
      <c r="I144" s="833"/>
    </row>
    <row r="145" spans="1:9">
      <c r="A145" s="818"/>
      <c r="B145" s="831"/>
      <c r="C145" s="829">
        <v>1.73</v>
      </c>
      <c r="D145" s="832">
        <f>-C144*C145*B144</f>
        <v>-2.5949999999999998</v>
      </c>
      <c r="E145" s="833"/>
      <c r="F145" s="831"/>
      <c r="G145" s="829"/>
      <c r="H145" s="832">
        <f>SUM(H125:H144)</f>
        <v>139.67250000000001</v>
      </c>
      <c r="I145" s="833"/>
    </row>
    <row r="146" spans="1:9">
      <c r="A146" s="818"/>
      <c r="B146" s="831"/>
      <c r="C146" s="829"/>
      <c r="D146" s="832"/>
      <c r="E146" s="833"/>
      <c r="F146" s="831"/>
      <c r="G146" s="829"/>
      <c r="H146" s="832"/>
      <c r="I146" s="833"/>
    </row>
    <row r="147" spans="1:9">
      <c r="A147" s="818"/>
      <c r="B147" s="831">
        <v>1</v>
      </c>
      <c r="C147" s="829">
        <v>15.2</v>
      </c>
      <c r="D147" s="832"/>
      <c r="E147" s="833" t="s">
        <v>828</v>
      </c>
      <c r="F147" s="831"/>
      <c r="G147" s="829"/>
      <c r="H147" s="832"/>
      <c r="I147" s="844" t="s">
        <v>863</v>
      </c>
    </row>
    <row r="148" spans="1:9">
      <c r="A148" s="818"/>
      <c r="B148" s="831"/>
      <c r="C148" s="829">
        <v>1</v>
      </c>
      <c r="D148" s="832">
        <f>C147*C148*B147</f>
        <v>15.2</v>
      </c>
      <c r="E148" s="833" t="s">
        <v>849</v>
      </c>
      <c r="F148" s="831">
        <v>1</v>
      </c>
      <c r="G148" s="829">
        <v>1.8</v>
      </c>
      <c r="H148" s="832"/>
      <c r="I148" s="833" t="s">
        <v>864</v>
      </c>
    </row>
    <row r="149" spans="1:9">
      <c r="A149" s="818"/>
      <c r="B149" s="831"/>
      <c r="C149" s="829"/>
      <c r="D149" s="832"/>
      <c r="E149" s="833"/>
      <c r="F149" s="831"/>
      <c r="G149" s="829">
        <v>2.95</v>
      </c>
      <c r="H149" s="832">
        <f>G148*G149*F148</f>
        <v>5.3100000000000005</v>
      </c>
      <c r="I149" s="833"/>
    </row>
    <row r="150" spans="1:9">
      <c r="A150" s="818"/>
      <c r="B150" s="831">
        <v>24</v>
      </c>
      <c r="C150" s="829">
        <v>0.2</v>
      </c>
      <c r="D150" s="832"/>
      <c r="E150" s="833" t="s">
        <v>850</v>
      </c>
      <c r="F150" s="831"/>
      <c r="G150" s="829"/>
      <c r="H150" s="832"/>
      <c r="I150" s="833" t="s">
        <v>364</v>
      </c>
    </row>
    <row r="151" spans="1:9">
      <c r="A151" s="818"/>
      <c r="B151" s="831"/>
      <c r="C151" s="829">
        <v>2.73</v>
      </c>
      <c r="D151" s="832">
        <f>C150*C151*B150</f>
        <v>13.104000000000001</v>
      </c>
      <c r="E151" s="833"/>
      <c r="F151" s="831">
        <v>1</v>
      </c>
      <c r="G151" s="829">
        <v>2.15</v>
      </c>
      <c r="H151" s="832"/>
      <c r="I151" s="833"/>
    </row>
    <row r="152" spans="1:9">
      <c r="A152" s="818"/>
      <c r="B152" s="831"/>
      <c r="C152" s="829"/>
      <c r="D152" s="832"/>
      <c r="E152" s="833"/>
      <c r="F152" s="831"/>
      <c r="G152" s="829">
        <v>3.1</v>
      </c>
      <c r="H152" s="832">
        <f>G151*G152*F151</f>
        <v>6.665</v>
      </c>
      <c r="I152" s="833" t="s">
        <v>855</v>
      </c>
    </row>
    <row r="153" spans="1:9">
      <c r="A153" s="818"/>
      <c r="B153" s="831">
        <v>4</v>
      </c>
      <c r="C153" s="829">
        <v>0.8</v>
      </c>
      <c r="D153" s="832"/>
      <c r="E153" s="833" t="s">
        <v>121</v>
      </c>
      <c r="F153" s="831"/>
      <c r="G153" s="829"/>
      <c r="H153" s="832"/>
      <c r="I153" s="833"/>
    </row>
    <row r="154" spans="1:9">
      <c r="A154" s="818"/>
      <c r="B154" s="831"/>
      <c r="C154" s="829">
        <v>2.63</v>
      </c>
      <c r="D154" s="832">
        <f>C153*C154*B153</f>
        <v>8.4160000000000004</v>
      </c>
      <c r="E154" s="833"/>
      <c r="F154" s="831">
        <v>1</v>
      </c>
      <c r="G154" s="829">
        <v>2.5</v>
      </c>
      <c r="H154" s="832"/>
      <c r="I154" s="833"/>
    </row>
    <row r="155" spans="1:9">
      <c r="A155" s="818"/>
      <c r="B155" s="831"/>
      <c r="C155" s="829"/>
      <c r="D155" s="832"/>
      <c r="E155" s="833"/>
      <c r="F155" s="831"/>
      <c r="G155" s="829">
        <v>3.9</v>
      </c>
      <c r="H155" s="832">
        <f>G154*G155*F154</f>
        <v>9.75</v>
      </c>
      <c r="I155" s="833" t="s">
        <v>160</v>
      </c>
    </row>
    <row r="156" spans="1:9">
      <c r="A156" s="818"/>
      <c r="B156" s="831">
        <v>4</v>
      </c>
      <c r="C156" s="829">
        <v>0.8</v>
      </c>
      <c r="D156" s="832"/>
      <c r="E156" s="833" t="s">
        <v>853</v>
      </c>
      <c r="F156" s="831"/>
      <c r="G156" s="829"/>
      <c r="H156" s="832"/>
      <c r="I156" s="833"/>
    </row>
    <row r="157" spans="1:9">
      <c r="A157" s="818"/>
      <c r="B157" s="831"/>
      <c r="C157" s="829">
        <v>1.63</v>
      </c>
      <c r="D157" s="832">
        <f>C156*C157*B156</f>
        <v>5.2160000000000002</v>
      </c>
      <c r="E157" s="833"/>
      <c r="F157" s="831">
        <v>1</v>
      </c>
      <c r="G157" s="829">
        <v>3.9</v>
      </c>
      <c r="H157" s="832"/>
      <c r="I157" s="833"/>
    </row>
    <row r="158" spans="1:9">
      <c r="A158" s="818"/>
      <c r="B158" s="831"/>
      <c r="C158" s="829"/>
      <c r="D158" s="832"/>
      <c r="E158" s="833"/>
      <c r="F158" s="831"/>
      <c r="G158" s="829">
        <v>3.4</v>
      </c>
      <c r="H158" s="832">
        <f>G157*G158*F157</f>
        <v>13.26</v>
      </c>
      <c r="I158" s="833" t="s">
        <v>840</v>
      </c>
    </row>
    <row r="159" spans="1:9">
      <c r="A159" s="818"/>
      <c r="B159" s="831">
        <v>2</v>
      </c>
      <c r="C159" s="829">
        <v>10.5</v>
      </c>
      <c r="D159" s="832"/>
      <c r="E159" s="833" t="s">
        <v>854</v>
      </c>
      <c r="F159" s="831"/>
      <c r="G159" s="829"/>
      <c r="H159" s="832"/>
      <c r="I159" s="833"/>
    </row>
    <row r="160" spans="1:9">
      <c r="A160" s="818"/>
      <c r="B160" s="831"/>
      <c r="C160" s="829">
        <v>0.3</v>
      </c>
      <c r="D160" s="832">
        <f>C159*C160*B159</f>
        <v>6.3</v>
      </c>
      <c r="E160" s="833"/>
      <c r="F160" s="831">
        <v>1</v>
      </c>
      <c r="G160" s="829">
        <v>6</v>
      </c>
      <c r="H160" s="832"/>
      <c r="I160" s="833"/>
    </row>
    <row r="161" spans="1:9">
      <c r="A161" s="818"/>
      <c r="B161" s="831"/>
      <c r="C161" s="829"/>
      <c r="D161" s="832"/>
      <c r="E161" s="833"/>
      <c r="F161" s="831"/>
      <c r="G161" s="829">
        <v>9.1999999999999993</v>
      </c>
      <c r="H161" s="832">
        <f>G160*G161*F160</f>
        <v>55.199999999999996</v>
      </c>
      <c r="I161" s="833" t="s">
        <v>860</v>
      </c>
    </row>
    <row r="162" spans="1:9">
      <c r="A162" s="818"/>
      <c r="B162" s="831">
        <v>2</v>
      </c>
      <c r="C162" s="829">
        <v>9.6</v>
      </c>
      <c r="D162" s="832"/>
      <c r="E162" s="833" t="s">
        <v>854</v>
      </c>
      <c r="F162" s="831"/>
      <c r="G162" s="829"/>
      <c r="H162" s="832"/>
      <c r="I162" s="833"/>
    </row>
    <row r="163" spans="1:9">
      <c r="A163" s="818"/>
      <c r="B163" s="831"/>
      <c r="C163" s="829">
        <v>0.3</v>
      </c>
      <c r="D163" s="832">
        <f>C162*C163*B162</f>
        <v>5.76</v>
      </c>
      <c r="E163" s="833"/>
      <c r="F163" s="831">
        <v>2</v>
      </c>
      <c r="G163" s="829">
        <v>2.2000000000000002</v>
      </c>
      <c r="H163" s="832"/>
      <c r="I163" s="833"/>
    </row>
    <row r="164" spans="1:9">
      <c r="A164" s="818"/>
      <c r="B164" s="831"/>
      <c r="C164" s="829"/>
      <c r="D164" s="832"/>
      <c r="E164" s="833"/>
      <c r="F164" s="831"/>
      <c r="G164" s="829">
        <v>0.2</v>
      </c>
      <c r="H164" s="832">
        <f>G163*G164*F163</f>
        <v>0.88000000000000012</v>
      </c>
      <c r="I164" s="833" t="s">
        <v>868</v>
      </c>
    </row>
    <row r="165" spans="1:9">
      <c r="A165" s="818"/>
      <c r="B165" s="831">
        <v>4</v>
      </c>
      <c r="C165" s="829">
        <v>1</v>
      </c>
      <c r="D165" s="832"/>
      <c r="E165" s="833"/>
      <c r="F165" s="831"/>
      <c r="G165" s="829"/>
      <c r="H165" s="832"/>
      <c r="I165" s="833"/>
    </row>
    <row r="166" spans="1:9">
      <c r="A166" s="818"/>
      <c r="B166" s="831"/>
      <c r="C166" s="829">
        <v>6</v>
      </c>
      <c r="D166" s="832">
        <f>C165*C166*B165</f>
        <v>24</v>
      </c>
      <c r="E166" s="833"/>
      <c r="F166" s="831">
        <v>3</v>
      </c>
      <c r="G166" s="829">
        <v>2.5</v>
      </c>
      <c r="H166" s="832"/>
      <c r="I166" s="833"/>
    </row>
    <row r="167" spans="1:9">
      <c r="A167" s="818"/>
      <c r="B167" s="831"/>
      <c r="C167" s="829"/>
      <c r="D167" s="832"/>
      <c r="E167" s="833"/>
      <c r="F167" s="831"/>
      <c r="G167" s="829">
        <v>0.2</v>
      </c>
      <c r="H167" s="832">
        <f>G166*G167*F166</f>
        <v>1.5</v>
      </c>
      <c r="I167" s="833" t="s">
        <v>869</v>
      </c>
    </row>
    <row r="168" spans="1:9">
      <c r="A168" s="818"/>
      <c r="B168" s="831">
        <v>1</v>
      </c>
      <c r="C168" s="829">
        <v>1</v>
      </c>
      <c r="D168" s="832"/>
      <c r="E168" s="833"/>
      <c r="F168" s="831"/>
      <c r="G168" s="829"/>
      <c r="H168" s="832"/>
      <c r="I168" s="833"/>
    </row>
    <row r="169" spans="1:9">
      <c r="A169" s="818"/>
      <c r="B169" s="831"/>
      <c r="C169" s="829">
        <v>8.8000000000000007</v>
      </c>
      <c r="D169" s="832">
        <f>C168*C169*B168</f>
        <v>8.8000000000000007</v>
      </c>
      <c r="E169" s="833"/>
      <c r="F169" s="831">
        <v>3</v>
      </c>
      <c r="G169" s="829">
        <v>0.9</v>
      </c>
      <c r="H169" s="832"/>
      <c r="I169" s="833"/>
    </row>
    <row r="170" spans="1:9">
      <c r="A170" s="818"/>
      <c r="B170" s="831"/>
      <c r="C170" s="829"/>
      <c r="D170" s="832"/>
      <c r="E170" s="833"/>
      <c r="F170" s="831"/>
      <c r="G170" s="829">
        <v>0.2</v>
      </c>
      <c r="H170" s="832">
        <f>G169*G170*F169</f>
        <v>0.54</v>
      </c>
      <c r="I170" s="833" t="s">
        <v>870</v>
      </c>
    </row>
    <row r="171" spans="1:9">
      <c r="A171" s="818"/>
      <c r="B171" s="831">
        <v>2</v>
      </c>
      <c r="C171" s="829">
        <v>10.5</v>
      </c>
      <c r="D171" s="832"/>
      <c r="E171" s="833" t="s">
        <v>1</v>
      </c>
      <c r="F171" s="831"/>
      <c r="G171" s="829"/>
      <c r="H171" s="832"/>
      <c r="I171" s="833"/>
    </row>
    <row r="172" spans="1:9">
      <c r="A172" s="818"/>
      <c r="B172" s="831"/>
      <c r="C172" s="829">
        <v>0.4</v>
      </c>
      <c r="D172" s="832">
        <f>C171*C172*B171</f>
        <v>8.4</v>
      </c>
      <c r="E172" s="833"/>
      <c r="F172" s="831"/>
      <c r="G172" s="829"/>
      <c r="H172" s="832">
        <f>SUM(H149:H170)</f>
        <v>93.105000000000004</v>
      </c>
      <c r="I172" s="833"/>
    </row>
    <row r="173" spans="1:9">
      <c r="A173" s="818"/>
      <c r="B173" s="831"/>
      <c r="C173" s="829"/>
      <c r="D173" s="832"/>
      <c r="E173" s="833"/>
      <c r="F173" s="831"/>
      <c r="G173" s="829"/>
      <c r="H173" s="832"/>
      <c r="I173" s="833"/>
    </row>
    <row r="174" spans="1:9">
      <c r="A174" s="818"/>
      <c r="B174" s="831">
        <v>1</v>
      </c>
      <c r="C174" s="829">
        <v>9.6</v>
      </c>
      <c r="D174" s="832"/>
      <c r="E174" s="833"/>
      <c r="F174" s="831"/>
      <c r="G174" s="829"/>
      <c r="H174" s="832"/>
      <c r="I174" s="833"/>
    </row>
    <row r="175" spans="1:9">
      <c r="A175" s="818"/>
      <c r="B175" s="831"/>
      <c r="C175" s="829">
        <v>0.4</v>
      </c>
      <c r="D175" s="832">
        <f>C174*C175*B174</f>
        <v>3.84</v>
      </c>
      <c r="E175" s="833"/>
      <c r="F175" s="831"/>
      <c r="G175" s="829"/>
      <c r="H175" s="832"/>
      <c r="I175" s="833"/>
    </row>
    <row r="176" spans="1:9">
      <c r="A176" s="818"/>
      <c r="B176" s="831"/>
      <c r="C176" s="829"/>
      <c r="D176" s="832"/>
      <c r="E176" s="833"/>
      <c r="F176" s="831"/>
      <c r="G176" s="829"/>
      <c r="H176" s="832"/>
      <c r="I176" s="833"/>
    </row>
    <row r="177" spans="1:10">
      <c r="A177" s="818"/>
      <c r="B177" s="831"/>
      <c r="C177" s="829"/>
      <c r="D177" s="832">
        <f>SUM(D124:D175)+SUM(H104:H119)</f>
        <v>193.02700000000002</v>
      </c>
      <c r="E177" s="833"/>
      <c r="F177" s="831"/>
      <c r="G177" s="829"/>
      <c r="H177" s="832"/>
      <c r="I177" s="833"/>
    </row>
    <row r="178" spans="1:10">
      <c r="A178" s="818"/>
      <c r="B178" s="831"/>
      <c r="C178" s="829"/>
      <c r="D178" s="832"/>
      <c r="E178" s="833"/>
      <c r="F178" s="831"/>
      <c r="G178" s="829"/>
      <c r="H178" s="832"/>
      <c r="I178" s="833"/>
    </row>
    <row r="179" spans="1:10">
      <c r="A179" s="818"/>
      <c r="B179" s="831"/>
      <c r="C179" s="829"/>
      <c r="D179" s="832"/>
      <c r="E179" s="833"/>
      <c r="F179" s="831"/>
      <c r="G179" s="829"/>
      <c r="H179" s="832"/>
      <c r="I179" s="833"/>
    </row>
    <row r="180" spans="1:10">
      <c r="A180" s="818"/>
      <c r="B180" s="849"/>
      <c r="C180" s="850"/>
      <c r="D180" s="851"/>
      <c r="E180" s="852"/>
      <c r="F180" s="860"/>
      <c r="G180" s="927"/>
      <c r="H180" s="928"/>
      <c r="I180" s="109"/>
    </row>
    <row r="181" spans="1:10">
      <c r="A181" s="828"/>
      <c r="B181" s="853" t="s">
        <v>1884</v>
      </c>
      <c r="C181" s="854" t="s">
        <v>526</v>
      </c>
      <c r="D181" s="855" t="s">
        <v>1885</v>
      </c>
      <c r="E181" s="854" t="s">
        <v>1886</v>
      </c>
      <c r="F181" s="853" t="s">
        <v>1884</v>
      </c>
      <c r="G181" s="854" t="s">
        <v>526</v>
      </c>
      <c r="H181" s="855" t="s">
        <v>1885</v>
      </c>
      <c r="I181" s="854" t="s">
        <v>1886</v>
      </c>
      <c r="J181" s="828"/>
    </row>
    <row r="182" spans="1:10">
      <c r="A182" s="818"/>
      <c r="B182" s="831"/>
      <c r="C182" s="829"/>
      <c r="D182" s="832"/>
      <c r="E182" s="844" t="s">
        <v>2896</v>
      </c>
      <c r="F182" s="831"/>
      <c r="G182" s="829"/>
      <c r="H182" s="832"/>
      <c r="I182" s="844" t="s">
        <v>1277</v>
      </c>
    </row>
    <row r="183" spans="1:10">
      <c r="A183" s="818"/>
      <c r="B183" s="831">
        <v>1</v>
      </c>
      <c r="C183" s="829">
        <v>8.6999999999999993</v>
      </c>
      <c r="D183" s="832"/>
      <c r="E183" s="833" t="s">
        <v>364</v>
      </c>
      <c r="F183" s="831">
        <v>2</v>
      </c>
      <c r="G183" s="829">
        <v>20</v>
      </c>
      <c r="H183" s="832"/>
      <c r="I183" s="833" t="s">
        <v>2897</v>
      </c>
    </row>
    <row r="184" spans="1:10">
      <c r="A184" s="818"/>
      <c r="B184" s="831"/>
      <c r="C184" s="829"/>
      <c r="D184" s="832">
        <f>C183*B183</f>
        <v>8.6999999999999993</v>
      </c>
      <c r="E184" s="833" t="s">
        <v>857</v>
      </c>
      <c r="F184" s="831"/>
      <c r="G184" s="829"/>
      <c r="H184" s="832">
        <f>G183*F183</f>
        <v>40</v>
      </c>
      <c r="I184" s="833"/>
    </row>
    <row r="185" spans="1:10">
      <c r="A185" s="818"/>
      <c r="B185" s="831">
        <v>1</v>
      </c>
      <c r="C185" s="829">
        <v>4.1500000000000004</v>
      </c>
      <c r="D185" s="832"/>
      <c r="E185" s="833" t="s">
        <v>855</v>
      </c>
      <c r="F185" s="831"/>
      <c r="G185" s="829"/>
      <c r="H185" s="832"/>
      <c r="I185" s="833"/>
    </row>
    <row r="186" spans="1:10">
      <c r="A186" s="818"/>
      <c r="B186" s="831"/>
      <c r="C186" s="829"/>
      <c r="D186" s="832">
        <f>C185*B185</f>
        <v>4.1500000000000004</v>
      </c>
      <c r="E186" s="833" t="s">
        <v>858</v>
      </c>
      <c r="F186" s="831">
        <v>2</v>
      </c>
      <c r="G186" s="829">
        <v>2.5</v>
      </c>
      <c r="H186" s="832"/>
      <c r="I186" s="833" t="s">
        <v>873</v>
      </c>
    </row>
    <row r="187" spans="1:10">
      <c r="A187" s="818"/>
      <c r="B187" s="831">
        <v>1</v>
      </c>
      <c r="C187" s="829">
        <v>9.35</v>
      </c>
      <c r="D187" s="832"/>
      <c r="E187" s="833" t="s">
        <v>160</v>
      </c>
      <c r="F187" s="831"/>
      <c r="G187" s="829"/>
      <c r="H187" s="832">
        <f>-G186*F186</f>
        <v>-5</v>
      </c>
      <c r="I187" s="833"/>
    </row>
    <row r="188" spans="1:10">
      <c r="A188" s="818"/>
      <c r="B188" s="831"/>
      <c r="C188" s="829"/>
      <c r="D188" s="832">
        <f>C187*B187</f>
        <v>9.35</v>
      </c>
      <c r="E188" s="833" t="s">
        <v>859</v>
      </c>
      <c r="F188" s="831"/>
      <c r="G188" s="829"/>
      <c r="H188" s="832"/>
      <c r="I188" s="833"/>
    </row>
    <row r="189" spans="1:10">
      <c r="A189" s="818"/>
      <c r="B189" s="831">
        <v>1</v>
      </c>
      <c r="C189" s="829">
        <v>13.7</v>
      </c>
      <c r="D189" s="832"/>
      <c r="E189" s="833" t="s">
        <v>840</v>
      </c>
      <c r="F189" s="831"/>
      <c r="G189" s="829"/>
      <c r="H189" s="832">
        <f>SUM(H184:H187)</f>
        <v>35</v>
      </c>
      <c r="I189" s="833"/>
    </row>
    <row r="190" spans="1:10">
      <c r="A190" s="818"/>
      <c r="B190" s="831"/>
      <c r="C190" s="829"/>
      <c r="D190" s="832">
        <f>C189*B189</f>
        <v>13.7</v>
      </c>
      <c r="E190" s="833" t="s">
        <v>861</v>
      </c>
      <c r="F190" s="831"/>
      <c r="G190" s="829"/>
      <c r="H190" s="832"/>
      <c r="I190" s="833"/>
    </row>
    <row r="191" spans="1:10">
      <c r="A191" s="818"/>
      <c r="B191" s="831">
        <v>1</v>
      </c>
      <c r="C191" s="829">
        <v>22.2</v>
      </c>
      <c r="D191" s="832"/>
      <c r="E191" s="833" t="s">
        <v>860</v>
      </c>
      <c r="F191" s="831"/>
      <c r="G191" s="829"/>
      <c r="H191" s="832"/>
      <c r="I191" s="844" t="s">
        <v>2329</v>
      </c>
    </row>
    <row r="192" spans="1:10">
      <c r="A192" s="818"/>
      <c r="B192" s="831"/>
      <c r="C192" s="829"/>
      <c r="D192" s="832">
        <f>C191*B191</f>
        <v>22.2</v>
      </c>
      <c r="E192" s="833" t="s">
        <v>862</v>
      </c>
      <c r="F192" s="831"/>
      <c r="G192" s="829"/>
      <c r="H192" s="832"/>
      <c r="I192" s="833"/>
    </row>
    <row r="193" spans="1:9">
      <c r="A193" s="818"/>
      <c r="B193" s="831">
        <v>4</v>
      </c>
      <c r="C193" s="829">
        <v>0.8</v>
      </c>
      <c r="D193" s="832"/>
      <c r="E193" s="833" t="s">
        <v>220</v>
      </c>
      <c r="F193" s="831"/>
      <c r="G193" s="829"/>
      <c r="H193" s="832">
        <f>D177</f>
        <v>193.02700000000002</v>
      </c>
      <c r="I193" s="833" t="s">
        <v>2156</v>
      </c>
    </row>
    <row r="194" spans="1:9">
      <c r="A194" s="818"/>
      <c r="B194" s="831"/>
      <c r="C194" s="829"/>
      <c r="D194" s="832">
        <f>C193*B193</f>
        <v>3.2</v>
      </c>
      <c r="E194" s="833"/>
      <c r="F194" s="831"/>
      <c r="G194" s="829"/>
      <c r="H194" s="832"/>
      <c r="I194" s="833"/>
    </row>
    <row r="195" spans="1:9">
      <c r="A195" s="818"/>
      <c r="B195" s="831"/>
      <c r="C195" s="829"/>
      <c r="D195" s="832"/>
      <c r="E195" s="833"/>
      <c r="F195" s="831"/>
      <c r="G195" s="829"/>
      <c r="H195" s="832"/>
      <c r="I195" s="844" t="s">
        <v>272</v>
      </c>
    </row>
    <row r="196" spans="1:9">
      <c r="A196" s="818"/>
      <c r="B196" s="831"/>
      <c r="C196" s="829"/>
      <c r="D196" s="832">
        <f>SUM(D184:D194)</f>
        <v>61.3</v>
      </c>
      <c r="E196" s="833"/>
      <c r="F196" s="831"/>
      <c r="G196" s="829"/>
      <c r="H196" s="832">
        <f>H145</f>
        <v>139.67250000000001</v>
      </c>
      <c r="I196" s="833" t="s">
        <v>2157</v>
      </c>
    </row>
    <row r="197" spans="1:9">
      <c r="A197" s="818"/>
      <c r="B197" s="831"/>
      <c r="C197" s="829"/>
      <c r="D197" s="832"/>
      <c r="E197" s="833"/>
      <c r="F197" s="831"/>
      <c r="G197" s="829"/>
      <c r="H197" s="832"/>
      <c r="I197" s="833"/>
    </row>
    <row r="198" spans="1:9">
      <c r="A198" s="818"/>
      <c r="B198" s="831"/>
      <c r="C198" s="829"/>
      <c r="D198" s="832"/>
      <c r="E198" s="844" t="s">
        <v>2898</v>
      </c>
      <c r="F198" s="831"/>
      <c r="G198" s="829"/>
      <c r="H198" s="832"/>
      <c r="I198" s="844" t="s">
        <v>273</v>
      </c>
    </row>
    <row r="199" spans="1:9">
      <c r="A199" s="818"/>
      <c r="B199" s="831"/>
      <c r="C199" s="829"/>
      <c r="D199" s="832"/>
      <c r="E199" s="844"/>
      <c r="F199" s="831"/>
      <c r="G199" s="829"/>
      <c r="H199" s="832">
        <f>H100</f>
        <v>49.671500000000009</v>
      </c>
      <c r="I199" s="833" t="s">
        <v>2158</v>
      </c>
    </row>
    <row r="200" spans="1:9">
      <c r="A200" s="818"/>
      <c r="B200" s="831">
        <v>1</v>
      </c>
      <c r="C200" s="829">
        <v>1.55</v>
      </c>
      <c r="D200" s="832"/>
      <c r="E200" s="833"/>
      <c r="F200" s="435"/>
      <c r="G200" s="435"/>
      <c r="H200" s="435"/>
      <c r="I200" s="435"/>
    </row>
    <row r="201" spans="1:9">
      <c r="A201" s="818"/>
      <c r="B201" s="831"/>
      <c r="C201" s="829"/>
      <c r="D201" s="832">
        <f>C200*B200</f>
        <v>1.55</v>
      </c>
      <c r="E201" s="833" t="s">
        <v>360</v>
      </c>
      <c r="F201" s="435"/>
      <c r="G201" s="435"/>
      <c r="H201" s="435"/>
      <c r="I201" s="1022" t="s">
        <v>2899</v>
      </c>
    </row>
    <row r="202" spans="1:9">
      <c r="A202" s="818"/>
      <c r="B202" s="831"/>
      <c r="C202" s="829"/>
      <c r="D202" s="832"/>
      <c r="E202" s="833"/>
      <c r="F202" s="831"/>
      <c r="G202" s="829"/>
      <c r="H202" s="832"/>
      <c r="I202" s="844" t="s">
        <v>377</v>
      </c>
    </row>
    <row r="203" spans="1:9">
      <c r="A203" s="818"/>
      <c r="B203" s="831">
        <v>1</v>
      </c>
      <c r="C203" s="829">
        <v>1.05</v>
      </c>
      <c r="D203" s="832"/>
      <c r="E203" s="833"/>
      <c r="F203" s="831"/>
      <c r="G203" s="829"/>
      <c r="H203" s="832"/>
      <c r="I203" s="844" t="s">
        <v>283</v>
      </c>
    </row>
    <row r="204" spans="1:9">
      <c r="A204" s="818"/>
      <c r="B204" s="831"/>
      <c r="C204" s="829"/>
      <c r="D204" s="832">
        <f>C203*B203</f>
        <v>1.05</v>
      </c>
      <c r="E204" s="833" t="s">
        <v>619</v>
      </c>
      <c r="F204" s="831">
        <v>23</v>
      </c>
      <c r="G204" s="829">
        <v>1</v>
      </c>
      <c r="H204" s="832"/>
      <c r="I204" s="844"/>
    </row>
    <row r="205" spans="1:9">
      <c r="A205" s="818"/>
      <c r="B205" s="831"/>
      <c r="C205" s="829"/>
      <c r="D205" s="832"/>
      <c r="E205" s="833"/>
      <c r="F205" s="831"/>
      <c r="G205" s="829"/>
      <c r="H205" s="832">
        <f>G204*F204</f>
        <v>23</v>
      </c>
      <c r="I205" s="844"/>
    </row>
    <row r="206" spans="1:9">
      <c r="A206" s="818"/>
      <c r="B206" s="831">
        <v>1</v>
      </c>
      <c r="C206" s="829">
        <v>1.2</v>
      </c>
      <c r="D206" s="832"/>
      <c r="E206" s="833"/>
      <c r="F206" s="831"/>
      <c r="G206" s="829"/>
      <c r="H206" s="832"/>
      <c r="I206" s="844"/>
    </row>
    <row r="207" spans="1:9">
      <c r="A207" s="818"/>
      <c r="B207" s="831"/>
      <c r="C207" s="829"/>
      <c r="D207" s="832">
        <f>C206*B206</f>
        <v>1.2</v>
      </c>
      <c r="E207" s="833" t="s">
        <v>865</v>
      </c>
      <c r="F207" s="831"/>
      <c r="G207" s="829"/>
      <c r="H207" s="832"/>
      <c r="I207" s="844" t="s">
        <v>381</v>
      </c>
    </row>
    <row r="208" spans="1:9">
      <c r="A208" s="818"/>
      <c r="B208" s="831"/>
      <c r="C208" s="829"/>
      <c r="D208" s="832"/>
      <c r="E208" s="833"/>
      <c r="F208" s="831"/>
      <c r="G208" s="829"/>
      <c r="H208" s="832"/>
      <c r="I208" s="844" t="s">
        <v>384</v>
      </c>
    </row>
    <row r="209" spans="1:9">
      <c r="A209" s="818"/>
      <c r="B209" s="831">
        <v>2</v>
      </c>
      <c r="C209" s="829">
        <v>1.05</v>
      </c>
      <c r="D209" s="832"/>
      <c r="E209" s="833"/>
      <c r="F209" s="831">
        <v>5</v>
      </c>
      <c r="G209" s="829">
        <v>1</v>
      </c>
      <c r="H209" s="832"/>
      <c r="I209" s="844"/>
    </row>
    <row r="210" spans="1:9">
      <c r="A210" s="818"/>
      <c r="B210" s="831"/>
      <c r="C210" s="829"/>
      <c r="D210" s="832">
        <f>C209*B209</f>
        <v>2.1</v>
      </c>
      <c r="E210" s="833" t="s">
        <v>866</v>
      </c>
      <c r="F210" s="831"/>
      <c r="G210" s="829"/>
      <c r="H210" s="832">
        <f>G209*F209</f>
        <v>5</v>
      </c>
      <c r="I210" s="844"/>
    </row>
    <row r="211" spans="1:9">
      <c r="A211" s="818"/>
      <c r="B211" s="831"/>
      <c r="C211" s="829"/>
      <c r="D211" s="832"/>
      <c r="E211" s="833"/>
      <c r="F211" s="831"/>
      <c r="G211" s="829"/>
      <c r="H211" s="832"/>
      <c r="I211" s="844"/>
    </row>
    <row r="212" spans="1:9">
      <c r="A212" s="818"/>
      <c r="B212" s="831">
        <v>1</v>
      </c>
      <c r="C212" s="829">
        <v>13.9</v>
      </c>
      <c r="D212" s="832"/>
      <c r="E212" s="833"/>
      <c r="F212" s="831"/>
      <c r="G212" s="829"/>
      <c r="H212" s="832"/>
      <c r="I212" s="844" t="s">
        <v>287</v>
      </c>
    </row>
    <row r="213" spans="1:9">
      <c r="A213" s="818"/>
      <c r="B213" s="831"/>
      <c r="C213" s="829"/>
      <c r="D213" s="832">
        <f>C212*B212</f>
        <v>13.9</v>
      </c>
      <c r="E213" s="833" t="s">
        <v>867</v>
      </c>
      <c r="F213" s="831">
        <v>8</v>
      </c>
      <c r="G213" s="829">
        <v>1</v>
      </c>
      <c r="H213" s="832"/>
      <c r="I213" s="844" t="s">
        <v>288</v>
      </c>
    </row>
    <row r="214" spans="1:9">
      <c r="A214" s="818"/>
      <c r="B214" s="831"/>
      <c r="C214" s="829"/>
      <c r="D214" s="832"/>
      <c r="E214" s="833"/>
      <c r="F214" s="831"/>
      <c r="G214" s="829"/>
      <c r="H214" s="832">
        <f>G213*F213</f>
        <v>8</v>
      </c>
      <c r="I214" s="844"/>
    </row>
    <row r="215" spans="1:9">
      <c r="A215" s="818"/>
      <c r="B215" s="831"/>
      <c r="C215" s="829"/>
      <c r="D215" s="832">
        <f>SUM(D200:D214)</f>
        <v>19.8</v>
      </c>
      <c r="E215" s="833"/>
      <c r="F215" s="831"/>
      <c r="G215" s="829"/>
      <c r="H215" s="832"/>
      <c r="I215" s="844"/>
    </row>
    <row r="216" spans="1:9">
      <c r="A216" s="818"/>
      <c r="B216" s="831"/>
      <c r="C216" s="829"/>
      <c r="D216" s="832"/>
      <c r="E216" s="833"/>
      <c r="F216" s="831"/>
      <c r="G216" s="829"/>
      <c r="H216" s="832"/>
      <c r="I216" s="844" t="s">
        <v>390</v>
      </c>
    </row>
    <row r="217" spans="1:9">
      <c r="A217" s="818"/>
      <c r="B217" s="831"/>
      <c r="C217" s="829"/>
      <c r="D217" s="832"/>
      <c r="E217" s="844" t="s">
        <v>2900</v>
      </c>
      <c r="F217" s="831"/>
      <c r="G217" s="829"/>
      <c r="H217" s="832"/>
      <c r="I217" s="844" t="s">
        <v>391</v>
      </c>
    </row>
    <row r="218" spans="1:9">
      <c r="A218" s="818"/>
      <c r="B218" s="831"/>
      <c r="C218" s="829"/>
      <c r="D218" s="832"/>
      <c r="E218" s="844"/>
      <c r="F218" s="831">
        <v>8</v>
      </c>
      <c r="G218" s="829">
        <v>1</v>
      </c>
      <c r="H218" s="832"/>
      <c r="I218" s="844"/>
    </row>
    <row r="219" spans="1:9">
      <c r="A219" s="818"/>
      <c r="B219" s="831">
        <v>2</v>
      </c>
      <c r="C219" s="829">
        <v>17.7</v>
      </c>
      <c r="D219" s="832"/>
      <c r="E219" s="833" t="s">
        <v>871</v>
      </c>
      <c r="F219" s="831"/>
      <c r="G219" s="829"/>
      <c r="H219" s="832">
        <f>G218*F218</f>
        <v>8</v>
      </c>
      <c r="I219" s="844"/>
    </row>
    <row r="220" spans="1:9">
      <c r="A220" s="818"/>
      <c r="B220" s="831"/>
      <c r="C220" s="829">
        <v>1.2</v>
      </c>
      <c r="D220" s="832">
        <f>C219*C220*B219</f>
        <v>42.48</v>
      </c>
      <c r="F220" s="831"/>
      <c r="G220" s="829"/>
      <c r="H220" s="832"/>
      <c r="I220" s="844"/>
    </row>
    <row r="221" spans="1:9">
      <c r="A221" s="818"/>
      <c r="B221" s="831"/>
      <c r="C221" s="829"/>
      <c r="D221" s="832"/>
      <c r="E221" s="833"/>
      <c r="F221" s="831"/>
      <c r="G221" s="829"/>
      <c r="H221" s="832"/>
      <c r="I221" s="844" t="s">
        <v>392</v>
      </c>
    </row>
    <row r="222" spans="1:9">
      <c r="A222" s="818"/>
      <c r="B222" s="831">
        <v>2</v>
      </c>
      <c r="C222" s="829">
        <v>2.5</v>
      </c>
      <c r="D222" s="832"/>
      <c r="E222" s="833"/>
      <c r="F222" s="831"/>
      <c r="G222" s="829"/>
      <c r="H222" s="832"/>
      <c r="I222" s="844" t="s">
        <v>393</v>
      </c>
    </row>
    <row r="223" spans="1:9">
      <c r="A223" s="818"/>
      <c r="C223" s="829">
        <v>1.2</v>
      </c>
      <c r="D223" s="832">
        <f>-C222*C223*B222</f>
        <v>-6</v>
      </c>
      <c r="E223" s="833"/>
      <c r="F223" s="831">
        <v>3</v>
      </c>
      <c r="G223" s="829">
        <v>1</v>
      </c>
      <c r="H223" s="832"/>
      <c r="I223" s="844" t="s">
        <v>394</v>
      </c>
    </row>
    <row r="224" spans="1:9">
      <c r="A224" s="818"/>
      <c r="B224" s="831"/>
      <c r="C224" s="829"/>
      <c r="D224" s="832"/>
      <c r="E224" s="833"/>
      <c r="F224" s="831"/>
      <c r="G224" s="829"/>
      <c r="H224" s="832">
        <f>G223*F223</f>
        <v>3</v>
      </c>
      <c r="I224" s="844"/>
    </row>
    <row r="225" spans="1:9">
      <c r="A225" s="818"/>
      <c r="B225" s="831"/>
      <c r="C225" s="829"/>
      <c r="D225" s="832">
        <f>SUM(D220:D224)</f>
        <v>36.479999999999997</v>
      </c>
      <c r="E225" s="833"/>
      <c r="F225" s="831"/>
      <c r="G225" s="829"/>
      <c r="H225" s="832"/>
      <c r="I225" s="844"/>
    </row>
    <row r="226" spans="1:9">
      <c r="A226" s="818"/>
      <c r="B226" s="831"/>
      <c r="C226" s="829"/>
      <c r="D226" s="103"/>
      <c r="E226" s="833"/>
      <c r="F226" s="831"/>
      <c r="G226" s="829"/>
      <c r="H226" s="832"/>
      <c r="I226" s="844" t="s">
        <v>375</v>
      </c>
    </row>
    <row r="227" spans="1:9">
      <c r="A227" s="818"/>
      <c r="B227" s="831"/>
      <c r="C227" s="829"/>
      <c r="D227" s="832"/>
      <c r="E227" s="844" t="s">
        <v>2901</v>
      </c>
      <c r="F227" s="831"/>
      <c r="G227" s="829"/>
      <c r="H227" s="832"/>
      <c r="I227" s="844" t="s">
        <v>376</v>
      </c>
    </row>
    <row r="228" spans="1:9">
      <c r="A228" s="818"/>
      <c r="B228" s="831"/>
      <c r="C228" s="829"/>
      <c r="D228" s="832"/>
      <c r="E228" s="844"/>
      <c r="F228" s="831">
        <v>3</v>
      </c>
      <c r="G228" s="829">
        <v>1</v>
      </c>
      <c r="H228" s="832"/>
      <c r="I228" s="844"/>
    </row>
    <row r="229" spans="1:9">
      <c r="A229" s="818"/>
      <c r="B229" s="831">
        <v>2</v>
      </c>
      <c r="C229" s="829">
        <v>19.5</v>
      </c>
      <c r="D229" s="832"/>
      <c r="E229" s="833" t="s">
        <v>872</v>
      </c>
      <c r="F229" s="831"/>
      <c r="G229" s="829"/>
      <c r="H229" s="832">
        <f>G228*F228</f>
        <v>3</v>
      </c>
      <c r="I229" s="844"/>
    </row>
    <row r="230" spans="1:9">
      <c r="A230" s="818"/>
      <c r="B230" s="831"/>
      <c r="C230" s="829"/>
      <c r="D230" s="832">
        <f>B229*C229</f>
        <v>39</v>
      </c>
      <c r="E230" s="833"/>
      <c r="F230" s="831"/>
      <c r="G230" s="829"/>
      <c r="H230" s="832"/>
      <c r="I230" s="844"/>
    </row>
    <row r="231" spans="1:9">
      <c r="A231" s="818"/>
      <c r="B231" s="831"/>
      <c r="C231" s="829"/>
      <c r="D231" s="832"/>
      <c r="E231" s="833"/>
      <c r="F231" s="831"/>
      <c r="G231" s="829"/>
      <c r="H231" s="832"/>
      <c r="I231" s="844" t="s">
        <v>8</v>
      </c>
    </row>
    <row r="232" spans="1:9">
      <c r="A232" s="818"/>
      <c r="B232" s="831">
        <v>2</v>
      </c>
      <c r="C232" s="829">
        <v>2.5</v>
      </c>
      <c r="D232" s="832"/>
      <c r="E232" s="833" t="s">
        <v>873</v>
      </c>
      <c r="F232" s="831"/>
      <c r="G232" s="829"/>
      <c r="H232" s="832"/>
      <c r="I232" s="844" t="s">
        <v>1240</v>
      </c>
    </row>
    <row r="233" spans="1:9">
      <c r="A233" s="818"/>
      <c r="B233" s="831"/>
      <c r="C233" s="829"/>
      <c r="D233" s="832">
        <f>-C232*B232</f>
        <v>-5</v>
      </c>
      <c r="E233" s="833"/>
      <c r="F233" s="831">
        <v>23</v>
      </c>
      <c r="G233" s="829">
        <v>1</v>
      </c>
      <c r="H233" s="832"/>
      <c r="I233" s="844"/>
    </row>
    <row r="234" spans="1:9">
      <c r="A234" s="818"/>
      <c r="B234" s="831"/>
      <c r="C234" s="829"/>
      <c r="D234" s="832"/>
      <c r="E234" s="833"/>
      <c r="F234" s="831"/>
      <c r="G234" s="829"/>
      <c r="H234" s="832">
        <f>F233*G233</f>
        <v>23</v>
      </c>
      <c r="I234" s="844"/>
    </row>
    <row r="235" spans="1:9">
      <c r="A235" s="818"/>
      <c r="B235" s="831"/>
      <c r="C235" s="829"/>
      <c r="D235" s="832">
        <f>SUM(D230:D233)</f>
        <v>34</v>
      </c>
      <c r="E235" s="833"/>
      <c r="F235" s="831"/>
      <c r="G235" s="829"/>
      <c r="H235" s="832"/>
      <c r="I235" s="844"/>
    </row>
    <row r="236" spans="1:9">
      <c r="A236" s="818"/>
      <c r="B236" s="435"/>
      <c r="C236" s="435"/>
      <c r="D236" s="435"/>
      <c r="E236" s="435"/>
      <c r="F236" s="831"/>
      <c r="G236" s="829"/>
      <c r="H236" s="832"/>
      <c r="I236" s="844" t="s">
        <v>387</v>
      </c>
    </row>
    <row r="237" spans="1:9">
      <c r="A237" s="818"/>
      <c r="B237" s="831"/>
      <c r="C237" s="829"/>
      <c r="D237" s="832"/>
      <c r="E237" s="833"/>
      <c r="F237" s="831"/>
      <c r="G237" s="829"/>
      <c r="H237" s="832"/>
      <c r="I237" s="844" t="s">
        <v>388</v>
      </c>
    </row>
    <row r="238" spans="1:9">
      <c r="A238" s="818"/>
      <c r="B238" s="831"/>
      <c r="C238" s="829"/>
      <c r="D238" s="832"/>
      <c r="E238" s="833"/>
      <c r="F238" s="831">
        <v>1</v>
      </c>
      <c r="G238" s="829">
        <v>1</v>
      </c>
      <c r="H238" s="832"/>
      <c r="I238" s="844" t="s">
        <v>389</v>
      </c>
    </row>
    <row r="239" spans="1:9">
      <c r="A239" s="818"/>
      <c r="B239" s="831"/>
      <c r="C239" s="829"/>
      <c r="D239" s="832"/>
      <c r="E239" s="833"/>
      <c r="F239" s="831"/>
      <c r="G239" s="829"/>
      <c r="H239" s="832">
        <f>F238*G238</f>
        <v>1</v>
      </c>
      <c r="I239" s="833"/>
    </row>
    <row r="240" spans="1:9">
      <c r="A240" s="818"/>
      <c r="B240" s="109"/>
      <c r="C240" s="109"/>
      <c r="D240" s="109"/>
      <c r="E240" s="109"/>
      <c r="F240" s="109"/>
      <c r="G240" s="109"/>
      <c r="H240" s="109"/>
      <c r="I240" s="109"/>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3" manualBreakCount="3">
    <brk id="63" max="9" man="1"/>
    <brk id="121" max="16383" man="1"/>
    <brk id="180"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P251"/>
  <sheetViews>
    <sheetView view="pageBreakPreview" topLeftCell="A171" zoomScale="85" zoomScaleSheetLayoutView="85" zoomScalePageLayoutView="85" workbookViewId="0">
      <selection activeCell="B155" sqref="B155:B156"/>
    </sheetView>
  </sheetViews>
  <sheetFormatPr defaultRowHeight="18.75"/>
  <cols>
    <col min="1" max="1" width="3.28515625" style="579" customWidth="1"/>
    <col min="2" max="2" width="4.42578125" style="579" customWidth="1"/>
    <col min="3" max="3" width="21.7109375" style="579" customWidth="1"/>
    <col min="4" max="4" width="23.85546875" style="579" customWidth="1"/>
    <col min="5" max="5" width="8.5703125" style="579" customWidth="1"/>
    <col min="6" max="6" width="11.85546875" style="579" customWidth="1"/>
    <col min="7" max="7" width="6.140625" style="579" customWidth="1"/>
    <col min="8" max="8" width="9.28515625" style="579" customWidth="1"/>
    <col min="9" max="9" width="9" style="579" customWidth="1"/>
    <col min="10" max="10" width="8.7109375" style="579" customWidth="1"/>
    <col min="11" max="11" width="14.140625" style="579" customWidth="1"/>
    <col min="12" max="12" width="11.140625" style="579" customWidth="1"/>
    <col min="13" max="13" width="11" style="579" customWidth="1"/>
    <col min="14" max="14" width="13.140625" style="579" customWidth="1"/>
    <col min="15" max="15" width="3.5703125" style="579" customWidth="1"/>
    <col min="16" max="16384" width="9.140625" style="579"/>
  </cols>
  <sheetData>
    <row r="1" spans="2:14">
      <c r="B1" s="2184" t="s">
        <v>1257</v>
      </c>
      <c r="C1" s="2184"/>
      <c r="D1" s="2184"/>
      <c r="E1" s="2184"/>
      <c r="F1" s="2184"/>
      <c r="G1" s="2184"/>
      <c r="H1" s="105"/>
      <c r="I1" s="577"/>
      <c r="L1" s="2178" t="s">
        <v>1206</v>
      </c>
      <c r="M1" s="2178"/>
      <c r="N1" s="2178"/>
    </row>
    <row r="2" spans="2:14">
      <c r="B2" s="2184" t="s">
        <v>1208</v>
      </c>
      <c r="C2" s="2184"/>
      <c r="D2" s="2184"/>
      <c r="E2" s="2184"/>
      <c r="F2" s="2184"/>
      <c r="G2" s="2184"/>
      <c r="H2" s="105"/>
      <c r="I2" s="577"/>
      <c r="L2" s="2178" t="s">
        <v>1265</v>
      </c>
      <c r="M2" s="2178"/>
      <c r="N2" s="2178"/>
    </row>
    <row r="3" spans="2:14">
      <c r="B3" s="2184" t="s">
        <v>1258</v>
      </c>
      <c r="C3" s="2184"/>
      <c r="D3" s="2184"/>
      <c r="E3" s="2184"/>
      <c r="F3" s="2184"/>
      <c r="G3" s="2184"/>
      <c r="H3" s="105"/>
      <c r="I3" s="577"/>
      <c r="L3" s="2178" t="s">
        <v>1237</v>
      </c>
      <c r="M3" s="2178"/>
      <c r="N3" s="2178"/>
    </row>
    <row r="4" spans="2:14" ht="19.5" thickBot="1">
      <c r="B4" s="2184" t="s">
        <v>1209</v>
      </c>
      <c r="C4" s="2184"/>
      <c r="D4" s="2184"/>
      <c r="E4" s="2184"/>
      <c r="F4" s="2184"/>
      <c r="G4" s="2184"/>
      <c r="H4" s="105"/>
      <c r="I4" s="105"/>
      <c r="J4" s="580"/>
      <c r="K4" s="580"/>
      <c r="L4" s="580"/>
      <c r="M4" s="580"/>
      <c r="N4" s="581"/>
    </row>
    <row r="5" spans="2:14" ht="19.5" thickTop="1">
      <c r="B5" s="2187" t="s">
        <v>4</v>
      </c>
      <c r="C5" s="2189" t="s">
        <v>293</v>
      </c>
      <c r="D5" s="2189" t="s">
        <v>309</v>
      </c>
      <c r="E5" s="2189" t="s">
        <v>310</v>
      </c>
      <c r="F5" s="582" t="s">
        <v>295</v>
      </c>
      <c r="G5" s="2191" t="s">
        <v>311</v>
      </c>
      <c r="H5" s="2192"/>
      <c r="I5" s="2193"/>
      <c r="J5" s="583"/>
      <c r="K5" s="584" t="s">
        <v>312</v>
      </c>
      <c r="L5" s="584"/>
      <c r="M5" s="584"/>
      <c r="N5" s="585"/>
    </row>
    <row r="6" spans="2:14" ht="19.5" thickBot="1">
      <c r="B6" s="2188"/>
      <c r="C6" s="2190"/>
      <c r="D6" s="2190"/>
      <c r="E6" s="2190"/>
      <c r="F6" s="586" t="s">
        <v>313</v>
      </c>
      <c r="G6" s="587" t="s">
        <v>1278</v>
      </c>
      <c r="H6" s="587" t="s">
        <v>1279</v>
      </c>
      <c r="I6" s="588" t="s">
        <v>316</v>
      </c>
      <c r="J6" s="589" t="s">
        <v>317</v>
      </c>
      <c r="K6" s="590" t="s">
        <v>318</v>
      </c>
      <c r="L6" s="588" t="s">
        <v>319</v>
      </c>
      <c r="M6" s="588" t="s">
        <v>320</v>
      </c>
      <c r="N6" s="591" t="s">
        <v>321</v>
      </c>
    </row>
    <row r="7" spans="2:14" ht="19.5" thickTop="1">
      <c r="B7" s="592"/>
      <c r="C7" s="593"/>
      <c r="D7" s="594"/>
      <c r="E7" s="594"/>
      <c r="F7" s="595"/>
      <c r="G7" s="596"/>
      <c r="H7" s="596"/>
      <c r="I7" s="596"/>
      <c r="J7" s="597"/>
      <c r="K7" s="597"/>
      <c r="L7" s="597"/>
      <c r="M7" s="597"/>
      <c r="N7" s="598"/>
    </row>
    <row r="8" spans="2:14">
      <c r="B8" s="599"/>
      <c r="C8" s="231" t="s">
        <v>1910</v>
      </c>
      <c r="D8" s="600" t="s">
        <v>874</v>
      </c>
      <c r="E8" s="600">
        <v>14</v>
      </c>
      <c r="F8" s="601">
        <v>11.95</v>
      </c>
      <c r="G8" s="600">
        <v>4</v>
      </c>
      <c r="H8" s="600">
        <v>3</v>
      </c>
      <c r="I8" s="600">
        <f t="shared" ref="I8:I14" si="0">H8*G8</f>
        <v>12</v>
      </c>
      <c r="J8" s="602" t="str">
        <f t="shared" ref="J8:J14" si="1">IF(E8=6,I8*F8,"-")</f>
        <v>-</v>
      </c>
      <c r="K8" s="602" t="str">
        <f t="shared" ref="K8:K14" si="2">IF(E8=8,I8*F8,"-")</f>
        <v>-</v>
      </c>
      <c r="L8" s="602" t="str">
        <f t="shared" ref="L8:L14" si="3">IF(E8=10,I8*F8,"-")</f>
        <v>-</v>
      </c>
      <c r="M8" s="602" t="str">
        <f t="shared" ref="M8:M14" si="4">IF(E8=12,I8*F8,"-")</f>
        <v>-</v>
      </c>
      <c r="N8" s="603">
        <f t="shared" ref="N8:N18" si="5">IF(E8=14,I8*F8,"-")</f>
        <v>143.39999999999998</v>
      </c>
    </row>
    <row r="9" spans="2:14">
      <c r="B9" s="599"/>
      <c r="C9" s="236"/>
      <c r="D9" s="600" t="s">
        <v>121</v>
      </c>
      <c r="E9" s="600">
        <v>14</v>
      </c>
      <c r="F9" s="601">
        <v>8.4</v>
      </c>
      <c r="G9" s="600">
        <v>4</v>
      </c>
      <c r="H9" s="600">
        <v>3</v>
      </c>
      <c r="I9" s="600">
        <f t="shared" si="0"/>
        <v>12</v>
      </c>
      <c r="J9" s="602" t="str">
        <f t="shared" si="1"/>
        <v>-</v>
      </c>
      <c r="K9" s="602" t="str">
        <f t="shared" si="2"/>
        <v>-</v>
      </c>
      <c r="L9" s="602" t="str">
        <f t="shared" si="3"/>
        <v>-</v>
      </c>
      <c r="M9" s="602" t="str">
        <f t="shared" si="4"/>
        <v>-</v>
      </c>
      <c r="N9" s="603">
        <f t="shared" si="5"/>
        <v>100.80000000000001</v>
      </c>
    </row>
    <row r="10" spans="2:14">
      <c r="B10" s="599"/>
      <c r="C10" s="236"/>
      <c r="D10" s="600" t="s">
        <v>121</v>
      </c>
      <c r="E10" s="600">
        <v>14</v>
      </c>
      <c r="F10" s="601">
        <v>4.95</v>
      </c>
      <c r="G10" s="600">
        <v>4</v>
      </c>
      <c r="H10" s="600">
        <v>3</v>
      </c>
      <c r="I10" s="600">
        <f t="shared" si="0"/>
        <v>12</v>
      </c>
      <c r="J10" s="602" t="str">
        <f t="shared" si="1"/>
        <v>-</v>
      </c>
      <c r="K10" s="602" t="str">
        <f t="shared" si="2"/>
        <v>-</v>
      </c>
      <c r="L10" s="602" t="str">
        <f t="shared" si="3"/>
        <v>-</v>
      </c>
      <c r="M10" s="602" t="str">
        <f t="shared" si="4"/>
        <v>-</v>
      </c>
      <c r="N10" s="603">
        <f t="shared" si="5"/>
        <v>59.400000000000006</v>
      </c>
    </row>
    <row r="11" spans="2:14">
      <c r="B11" s="599"/>
      <c r="C11" s="236"/>
      <c r="D11" s="600" t="s">
        <v>121</v>
      </c>
      <c r="E11" s="600">
        <v>14</v>
      </c>
      <c r="F11" s="601">
        <v>11.35</v>
      </c>
      <c r="G11" s="600">
        <v>4</v>
      </c>
      <c r="H11" s="600">
        <v>3</v>
      </c>
      <c r="I11" s="600">
        <f t="shared" si="0"/>
        <v>12</v>
      </c>
      <c r="J11" s="602" t="str">
        <f t="shared" si="1"/>
        <v>-</v>
      </c>
      <c r="K11" s="602" t="str">
        <f t="shared" si="2"/>
        <v>-</v>
      </c>
      <c r="L11" s="602" t="str">
        <f t="shared" si="3"/>
        <v>-</v>
      </c>
      <c r="M11" s="602" t="str">
        <f t="shared" si="4"/>
        <v>-</v>
      </c>
      <c r="N11" s="603">
        <f t="shared" si="5"/>
        <v>136.19999999999999</v>
      </c>
    </row>
    <row r="12" spans="2:14">
      <c r="B12" s="599"/>
      <c r="C12" s="236"/>
      <c r="D12" s="600" t="s">
        <v>121</v>
      </c>
      <c r="E12" s="600">
        <v>14</v>
      </c>
      <c r="F12" s="601">
        <v>7.5</v>
      </c>
      <c r="G12" s="600">
        <v>4</v>
      </c>
      <c r="H12" s="600">
        <v>3</v>
      </c>
      <c r="I12" s="600">
        <f t="shared" si="0"/>
        <v>12</v>
      </c>
      <c r="J12" s="602" t="str">
        <f t="shared" si="1"/>
        <v>-</v>
      </c>
      <c r="K12" s="602" t="str">
        <f t="shared" si="2"/>
        <v>-</v>
      </c>
      <c r="L12" s="602" t="str">
        <f t="shared" si="3"/>
        <v>-</v>
      </c>
      <c r="M12" s="602" t="str">
        <f t="shared" si="4"/>
        <v>-</v>
      </c>
      <c r="N12" s="603">
        <f t="shared" si="5"/>
        <v>90</v>
      </c>
    </row>
    <row r="13" spans="2:14">
      <c r="B13" s="599"/>
      <c r="C13" s="236"/>
      <c r="D13" s="600" t="s">
        <v>121</v>
      </c>
      <c r="E13" s="600">
        <v>14</v>
      </c>
      <c r="F13" s="601">
        <v>6.7</v>
      </c>
      <c r="G13" s="600">
        <v>4</v>
      </c>
      <c r="H13" s="600">
        <v>3</v>
      </c>
      <c r="I13" s="600">
        <f t="shared" si="0"/>
        <v>12</v>
      </c>
      <c r="J13" s="602" t="str">
        <f t="shared" si="1"/>
        <v>-</v>
      </c>
      <c r="K13" s="602" t="str">
        <f t="shared" si="2"/>
        <v>-</v>
      </c>
      <c r="L13" s="602" t="str">
        <f t="shared" si="3"/>
        <v>-</v>
      </c>
      <c r="M13" s="602" t="str">
        <f t="shared" si="4"/>
        <v>-</v>
      </c>
      <c r="N13" s="603">
        <f t="shared" si="5"/>
        <v>80.400000000000006</v>
      </c>
    </row>
    <row r="14" spans="2:14">
      <c r="B14" s="599"/>
      <c r="C14" s="236"/>
      <c r="D14" s="600" t="s">
        <v>395</v>
      </c>
      <c r="E14" s="600">
        <v>8</v>
      </c>
      <c r="F14" s="601">
        <v>1.2</v>
      </c>
      <c r="G14" s="600">
        <v>4</v>
      </c>
      <c r="H14" s="600">
        <v>119</v>
      </c>
      <c r="I14" s="600">
        <f t="shared" si="0"/>
        <v>476</v>
      </c>
      <c r="J14" s="602" t="str">
        <f t="shared" si="1"/>
        <v>-</v>
      </c>
      <c r="K14" s="602">
        <f t="shared" si="2"/>
        <v>571.19999999999993</v>
      </c>
      <c r="L14" s="602" t="str">
        <f t="shared" si="3"/>
        <v>-</v>
      </c>
      <c r="M14" s="602" t="str">
        <f t="shared" si="4"/>
        <v>-</v>
      </c>
      <c r="N14" s="603" t="str">
        <f t="shared" si="5"/>
        <v>-</v>
      </c>
    </row>
    <row r="15" spans="2:14">
      <c r="B15" s="599"/>
      <c r="C15" s="236"/>
      <c r="D15" s="231" t="s">
        <v>875</v>
      </c>
      <c r="E15" s="600">
        <v>14</v>
      </c>
      <c r="F15" s="601">
        <v>6.13</v>
      </c>
      <c r="G15" s="600">
        <v>6</v>
      </c>
      <c r="H15" s="600">
        <v>3</v>
      </c>
      <c r="I15" s="600">
        <f>H15*G15</f>
        <v>18</v>
      </c>
      <c r="J15" s="602" t="str">
        <f>IF(E15=6,I15*F15,"-")</f>
        <v>-</v>
      </c>
      <c r="K15" s="602" t="str">
        <f>IF(E15=8,I15*F15,"-")</f>
        <v>-</v>
      </c>
      <c r="L15" s="602" t="str">
        <f>IF(E15=10,I15*F15,"-")</f>
        <v>-</v>
      </c>
      <c r="M15" s="602" t="str">
        <f>IF(E15=12,I15*F15,"-")</f>
        <v>-</v>
      </c>
      <c r="N15" s="603">
        <f t="shared" si="5"/>
        <v>110.34</v>
      </c>
    </row>
    <row r="16" spans="2:14">
      <c r="B16" s="599"/>
      <c r="C16" s="236"/>
      <c r="D16" s="600"/>
      <c r="E16" s="600">
        <v>14</v>
      </c>
      <c r="F16" s="601">
        <v>6.58</v>
      </c>
      <c r="G16" s="600">
        <v>6</v>
      </c>
      <c r="H16" s="600">
        <v>3</v>
      </c>
      <c r="I16" s="600">
        <f>H16*G16</f>
        <v>18</v>
      </c>
      <c r="J16" s="602" t="str">
        <f>IF(E16=6,I16*F16,"-")</f>
        <v>-</v>
      </c>
      <c r="K16" s="602" t="str">
        <f>IF(E16=8,I16*F16,"-")</f>
        <v>-</v>
      </c>
      <c r="L16" s="602" t="str">
        <f>IF(E16=10,I16*F16,"-")</f>
        <v>-</v>
      </c>
      <c r="M16" s="602" t="str">
        <f>IF(E16=12,I16*F16,"-")</f>
        <v>-</v>
      </c>
      <c r="N16" s="603">
        <f t="shared" si="5"/>
        <v>118.44</v>
      </c>
    </row>
    <row r="17" spans="2:14">
      <c r="B17" s="599"/>
      <c r="C17" s="236"/>
      <c r="D17" s="600"/>
      <c r="E17" s="600">
        <v>14</v>
      </c>
      <c r="F17" s="601">
        <v>11.4</v>
      </c>
      <c r="G17" s="600">
        <v>6</v>
      </c>
      <c r="H17" s="600">
        <v>3</v>
      </c>
      <c r="I17" s="600">
        <f>H17*G17</f>
        <v>18</v>
      </c>
      <c r="J17" s="602" t="str">
        <f>IF(E17=6,I17*F17,"-")</f>
        <v>-</v>
      </c>
      <c r="K17" s="602" t="str">
        <f>IF(E17=8,I17*F17,"-")</f>
        <v>-</v>
      </c>
      <c r="L17" s="602" t="str">
        <f>IF(E17=10,I17*F17,"-")</f>
        <v>-</v>
      </c>
      <c r="M17" s="602" t="str">
        <f>IF(E17=12,I17*F17,"-")</f>
        <v>-</v>
      </c>
      <c r="N17" s="603">
        <f t="shared" si="5"/>
        <v>205.20000000000002</v>
      </c>
    </row>
    <row r="18" spans="2:14">
      <c r="B18" s="599"/>
      <c r="C18" s="236"/>
      <c r="D18" s="600" t="s">
        <v>395</v>
      </c>
      <c r="E18" s="600">
        <v>8</v>
      </c>
      <c r="F18" s="601">
        <v>1.2</v>
      </c>
      <c r="G18" s="600">
        <v>58</v>
      </c>
      <c r="H18" s="600">
        <v>6</v>
      </c>
      <c r="I18" s="600">
        <f>H18*G18</f>
        <v>348</v>
      </c>
      <c r="J18" s="602" t="str">
        <f>IF(E18=6,I18*F18,"-")</f>
        <v>-</v>
      </c>
      <c r="K18" s="602">
        <f>IF(E18=8,I18*F18,"-")</f>
        <v>417.59999999999997</v>
      </c>
      <c r="L18" s="602" t="str">
        <f>IF(E18=10,I18*F18,"-")</f>
        <v>-</v>
      </c>
      <c r="M18" s="602" t="str">
        <f>IF(E18=12,I18*F18,"-")</f>
        <v>-</v>
      </c>
      <c r="N18" s="603" t="str">
        <f t="shared" si="5"/>
        <v>-</v>
      </c>
    </row>
    <row r="19" spans="2:14">
      <c r="B19" s="599"/>
      <c r="C19" s="236"/>
      <c r="D19" s="231"/>
      <c r="E19" s="600"/>
      <c r="F19" s="601"/>
      <c r="G19" s="600"/>
      <c r="H19" s="600"/>
      <c r="I19" s="600"/>
      <c r="J19" s="602"/>
      <c r="K19" s="602"/>
      <c r="L19" s="602"/>
      <c r="M19" s="602"/>
      <c r="N19" s="603"/>
    </row>
    <row r="20" spans="2:14">
      <c r="B20" s="599"/>
      <c r="C20" s="236"/>
      <c r="D20" s="600"/>
      <c r="E20" s="600"/>
      <c r="F20" s="601"/>
      <c r="G20" s="600"/>
      <c r="H20" s="600"/>
      <c r="I20" s="600"/>
      <c r="J20" s="602"/>
      <c r="K20" s="602"/>
      <c r="L20" s="602"/>
      <c r="M20" s="602"/>
      <c r="N20" s="603"/>
    </row>
    <row r="21" spans="2:14">
      <c r="B21" s="599"/>
      <c r="C21" s="238"/>
      <c r="D21" s="238"/>
      <c r="E21" s="238"/>
      <c r="F21" s="238"/>
      <c r="G21" s="238"/>
      <c r="H21" s="238"/>
      <c r="I21" s="238"/>
      <c r="J21" s="238"/>
      <c r="K21" s="238"/>
      <c r="L21" s="238"/>
      <c r="M21" s="238"/>
      <c r="N21" s="238"/>
    </row>
    <row r="22" spans="2:14">
      <c r="B22" s="599"/>
      <c r="C22" s="238"/>
      <c r="D22" s="238"/>
      <c r="E22" s="238"/>
      <c r="F22" s="238"/>
      <c r="G22" s="238"/>
      <c r="H22" s="238"/>
      <c r="I22" s="238"/>
      <c r="J22" s="238"/>
      <c r="K22" s="238"/>
      <c r="L22" s="238"/>
      <c r="M22" s="238"/>
      <c r="N22" s="238"/>
    </row>
    <row r="23" spans="2:14">
      <c r="B23" s="599"/>
      <c r="C23" s="238"/>
      <c r="D23" s="238"/>
      <c r="E23" s="238"/>
      <c r="F23" s="238"/>
      <c r="G23" s="238"/>
      <c r="H23" s="238"/>
      <c r="I23" s="238"/>
      <c r="J23" s="238"/>
      <c r="K23" s="238"/>
      <c r="L23" s="238"/>
      <c r="M23" s="238"/>
      <c r="N23" s="238"/>
    </row>
    <row r="24" spans="2:14">
      <c r="B24" s="599"/>
      <c r="C24" s="238"/>
      <c r="D24" s="238"/>
      <c r="E24" s="238"/>
      <c r="F24" s="238"/>
      <c r="G24" s="238"/>
      <c r="H24" s="238"/>
      <c r="I24" s="238"/>
      <c r="J24" s="238"/>
      <c r="K24" s="238"/>
      <c r="L24" s="238"/>
      <c r="M24" s="238"/>
      <c r="N24" s="238"/>
    </row>
    <row r="25" spans="2:14">
      <c r="B25" s="599"/>
      <c r="C25" s="604"/>
      <c r="D25" s="605"/>
      <c r="E25" s="606"/>
      <c r="F25" s="607"/>
      <c r="G25" s="606"/>
      <c r="H25" s="606"/>
      <c r="I25" s="606"/>
      <c r="J25" s="233"/>
      <c r="K25" s="233"/>
      <c r="L25" s="608"/>
      <c r="M25" s="233"/>
      <c r="N25" s="609"/>
    </row>
    <row r="26" spans="2:14">
      <c r="B26" s="599"/>
      <c r="C26" s="604"/>
      <c r="D26" s="605"/>
      <c r="E26" s="606"/>
      <c r="F26" s="607"/>
      <c r="G26" s="606"/>
      <c r="H26" s="606"/>
      <c r="I26" s="606"/>
      <c r="J26" s="233"/>
      <c r="K26" s="233"/>
      <c r="L26" s="608"/>
      <c r="M26" s="233"/>
      <c r="N26" s="609"/>
    </row>
    <row r="27" spans="2:14" ht="19.5" thickBot="1">
      <c r="B27" s="610"/>
      <c r="C27" s="611"/>
      <c r="D27" s="588"/>
      <c r="E27" s="612"/>
      <c r="F27" s="613"/>
      <c r="G27" s="612"/>
      <c r="H27" s="612"/>
      <c r="I27" s="612"/>
      <c r="J27" s="614"/>
      <c r="K27" s="615"/>
      <c r="L27" s="615"/>
      <c r="M27" s="615"/>
      <c r="N27" s="616"/>
    </row>
    <row r="28" spans="2:14" ht="19.5" thickTop="1">
      <c r="B28" s="617"/>
      <c r="C28" s="584"/>
      <c r="D28" s="584"/>
      <c r="E28" s="584"/>
      <c r="F28" s="2185" t="s">
        <v>301</v>
      </c>
      <c r="G28" s="2185"/>
      <c r="H28" s="2185"/>
      <c r="I28" s="2186"/>
      <c r="J28" s="618"/>
      <c r="K28" s="597">
        <f>SUM(K7:K27)</f>
        <v>988.8</v>
      </c>
      <c r="L28" s="597">
        <f>SUM(L7:L27)</f>
        <v>0</v>
      </c>
      <c r="M28" s="597">
        <f>SUM(M7:M27)</f>
        <v>0</v>
      </c>
      <c r="N28" s="598">
        <f>SUM(N7:N27)</f>
        <v>1044.18</v>
      </c>
    </row>
    <row r="29" spans="2:14">
      <c r="B29" s="619"/>
      <c r="C29" s="620"/>
      <c r="D29" s="620"/>
      <c r="E29" s="620"/>
      <c r="F29" s="2201" t="s">
        <v>302</v>
      </c>
      <c r="G29" s="2201"/>
      <c r="H29" s="2201"/>
      <c r="I29" s="2202"/>
      <c r="J29" s="621"/>
      <c r="K29" s="622" t="s">
        <v>303</v>
      </c>
      <c r="L29" s="623" t="s">
        <v>304</v>
      </c>
      <c r="M29" s="624">
        <v>0.88800000000000001</v>
      </c>
      <c r="N29" s="625" t="s">
        <v>306</v>
      </c>
    </row>
    <row r="30" spans="2:14" ht="19.5" thickBot="1">
      <c r="B30" s="626"/>
      <c r="C30" s="627"/>
      <c r="D30" s="627"/>
      <c r="E30" s="627"/>
      <c r="F30" s="2203" t="s">
        <v>307</v>
      </c>
      <c r="G30" s="2203"/>
      <c r="H30" s="2203"/>
      <c r="I30" s="2204"/>
      <c r="J30" s="628"/>
      <c r="K30" s="629">
        <f>K28*K29</f>
        <v>390.57600000000002</v>
      </c>
      <c r="L30" s="629">
        <f>L28*L29</f>
        <v>0</v>
      </c>
      <c r="M30" s="629">
        <f>M28*M29</f>
        <v>0</v>
      </c>
      <c r="N30" s="630">
        <f>N28*N29</f>
        <v>1263.4578000000001</v>
      </c>
    </row>
    <row r="31" spans="2:14" ht="19.5" thickTop="1">
      <c r="B31" s="631"/>
      <c r="C31" s="631"/>
      <c r="D31" s="631"/>
      <c r="E31" s="631"/>
      <c r="F31" s="631"/>
      <c r="G31" s="631"/>
      <c r="H31" s="631"/>
      <c r="I31" s="631"/>
      <c r="J31" s="632"/>
      <c r="K31" s="633"/>
      <c r="L31" s="633"/>
      <c r="M31" s="633"/>
      <c r="N31" s="633"/>
    </row>
    <row r="32" spans="2:14">
      <c r="B32" s="2176" t="s">
        <v>1257</v>
      </c>
      <c r="C32" s="2176"/>
      <c r="D32" s="2176"/>
      <c r="E32" s="2176"/>
      <c r="F32" s="2176"/>
      <c r="G32" s="2176"/>
      <c r="H32" s="634"/>
      <c r="I32" s="576"/>
      <c r="J32" s="635"/>
      <c r="K32" s="635"/>
      <c r="L32" s="2177" t="s">
        <v>1206</v>
      </c>
      <c r="M32" s="2177"/>
      <c r="N32" s="2177"/>
    </row>
    <row r="33" spans="2:14">
      <c r="B33" s="2176" t="s">
        <v>1208</v>
      </c>
      <c r="C33" s="2176"/>
      <c r="D33" s="2176"/>
      <c r="E33" s="2176"/>
      <c r="F33" s="2176"/>
      <c r="G33" s="2176"/>
      <c r="H33" s="634"/>
      <c r="I33" s="576"/>
      <c r="J33" s="635"/>
      <c r="K33" s="635"/>
      <c r="L33" s="2177" t="s">
        <v>1265</v>
      </c>
      <c r="M33" s="2177"/>
      <c r="N33" s="2177"/>
    </row>
    <row r="34" spans="2:14">
      <c r="B34" s="2176" t="s">
        <v>1258</v>
      </c>
      <c r="C34" s="2176"/>
      <c r="D34" s="2176"/>
      <c r="E34" s="2176"/>
      <c r="F34" s="2176"/>
      <c r="G34" s="2176"/>
      <c r="H34" s="634"/>
      <c r="I34" s="576"/>
      <c r="J34" s="635"/>
      <c r="K34" s="635"/>
      <c r="L34" s="2177" t="s">
        <v>1237</v>
      </c>
      <c r="M34" s="2177"/>
      <c r="N34" s="2177"/>
    </row>
    <row r="35" spans="2:14" ht="19.5" thickBot="1">
      <c r="B35" s="2176" t="s">
        <v>1209</v>
      </c>
      <c r="C35" s="2176"/>
      <c r="D35" s="2176"/>
      <c r="E35" s="2176"/>
      <c r="F35" s="2176"/>
      <c r="G35" s="2176"/>
      <c r="H35" s="634"/>
      <c r="I35" s="634"/>
      <c r="J35" s="636"/>
      <c r="K35" s="636"/>
      <c r="L35" s="636"/>
      <c r="M35" s="636"/>
      <c r="N35" s="163"/>
    </row>
    <row r="36" spans="2:14" ht="19.5" thickTop="1">
      <c r="B36" s="2161" t="s">
        <v>4</v>
      </c>
      <c r="C36" s="2163" t="s">
        <v>293</v>
      </c>
      <c r="D36" s="2163" t="s">
        <v>309</v>
      </c>
      <c r="E36" s="2163" t="s">
        <v>310</v>
      </c>
      <c r="F36" s="637" t="s">
        <v>295</v>
      </c>
      <c r="G36" s="2179" t="s">
        <v>311</v>
      </c>
      <c r="H36" s="2180"/>
      <c r="I36" s="2181"/>
      <c r="J36" s="574"/>
      <c r="K36" s="638" t="s">
        <v>312</v>
      </c>
      <c r="L36" s="638"/>
      <c r="M36" s="638"/>
      <c r="N36" s="639"/>
    </row>
    <row r="37" spans="2:14" ht="19.5" thickBot="1">
      <c r="B37" s="2162"/>
      <c r="C37" s="2164"/>
      <c r="D37" s="2164"/>
      <c r="E37" s="2164"/>
      <c r="F37" s="206" t="s">
        <v>313</v>
      </c>
      <c r="G37" s="640" t="s">
        <v>314</v>
      </c>
      <c r="H37" s="640" t="s">
        <v>315</v>
      </c>
      <c r="I37" s="641" t="s">
        <v>316</v>
      </c>
      <c r="J37" s="642" t="s">
        <v>317</v>
      </c>
      <c r="K37" s="643" t="s">
        <v>318</v>
      </c>
      <c r="L37" s="641" t="s">
        <v>319</v>
      </c>
      <c r="M37" s="641" t="s">
        <v>320</v>
      </c>
      <c r="N37" s="644" t="s">
        <v>321</v>
      </c>
    </row>
    <row r="38" spans="2:14" ht="19.5" thickTop="1">
      <c r="B38" s="645">
        <v>1</v>
      </c>
      <c r="C38" s="403" t="s">
        <v>322</v>
      </c>
      <c r="D38" s="575"/>
      <c r="E38" s="575">
        <v>8</v>
      </c>
      <c r="F38" s="646">
        <v>5.67</v>
      </c>
      <c r="G38" s="403">
        <v>1</v>
      </c>
      <c r="H38" s="647">
        <v>21</v>
      </c>
      <c r="I38" s="648">
        <f t="shared" ref="I38:I67" si="6">G38*H38</f>
        <v>21</v>
      </c>
      <c r="J38" s="403"/>
      <c r="K38" s="646">
        <f t="shared" ref="K38:K67" si="7">F38*I38</f>
        <v>119.07</v>
      </c>
      <c r="L38" s="646"/>
      <c r="M38" s="646"/>
      <c r="N38" s="649"/>
    </row>
    <row r="39" spans="2:14">
      <c r="B39" s="650"/>
      <c r="C39" s="404"/>
      <c r="D39" s="208"/>
      <c r="E39" s="208">
        <v>8</v>
      </c>
      <c r="F39" s="651">
        <v>4.0199999999999996</v>
      </c>
      <c r="G39" s="404">
        <v>1</v>
      </c>
      <c r="H39" s="652">
        <v>29</v>
      </c>
      <c r="I39" s="653">
        <f t="shared" si="6"/>
        <v>29</v>
      </c>
      <c r="J39" s="404"/>
      <c r="K39" s="651">
        <f t="shared" si="7"/>
        <v>116.57999999999998</v>
      </c>
      <c r="L39" s="651"/>
      <c r="M39" s="651"/>
      <c r="N39" s="654"/>
    </row>
    <row r="40" spans="2:14">
      <c r="B40" s="650"/>
      <c r="C40" s="404" t="s">
        <v>323</v>
      </c>
      <c r="D40" s="208"/>
      <c r="E40" s="208">
        <v>8</v>
      </c>
      <c r="F40" s="651">
        <v>4.42</v>
      </c>
      <c r="G40" s="404">
        <v>1</v>
      </c>
      <c r="H40" s="652">
        <v>21</v>
      </c>
      <c r="I40" s="653">
        <f t="shared" si="6"/>
        <v>21</v>
      </c>
      <c r="J40" s="404"/>
      <c r="K40" s="651">
        <f t="shared" si="7"/>
        <v>92.82</v>
      </c>
      <c r="L40" s="651"/>
      <c r="M40" s="651"/>
      <c r="N40" s="654"/>
    </row>
    <row r="41" spans="2:14">
      <c r="B41" s="650"/>
      <c r="C41" s="404"/>
      <c r="D41" s="208"/>
      <c r="E41" s="208">
        <v>8</v>
      </c>
      <c r="F41" s="651">
        <v>4.0199999999999996</v>
      </c>
      <c r="G41" s="404">
        <v>1</v>
      </c>
      <c r="H41" s="652">
        <v>23</v>
      </c>
      <c r="I41" s="653">
        <f t="shared" si="6"/>
        <v>23</v>
      </c>
      <c r="J41" s="404"/>
      <c r="K41" s="651">
        <f t="shared" si="7"/>
        <v>92.46</v>
      </c>
      <c r="L41" s="651"/>
      <c r="M41" s="651"/>
      <c r="N41" s="654"/>
    </row>
    <row r="42" spans="2:14">
      <c r="B42" s="650"/>
      <c r="C42" s="404" t="s">
        <v>324</v>
      </c>
      <c r="D42" s="208"/>
      <c r="E42" s="208">
        <v>8</v>
      </c>
      <c r="F42" s="651">
        <v>3.82</v>
      </c>
      <c r="G42" s="404">
        <v>1</v>
      </c>
      <c r="H42" s="652">
        <v>21</v>
      </c>
      <c r="I42" s="653">
        <f t="shared" si="6"/>
        <v>21</v>
      </c>
      <c r="J42" s="404"/>
      <c r="K42" s="651">
        <f t="shared" si="7"/>
        <v>80.22</v>
      </c>
      <c r="L42" s="651"/>
      <c r="M42" s="651"/>
      <c r="N42" s="654"/>
    </row>
    <row r="43" spans="2:14">
      <c r="B43" s="650"/>
      <c r="C43" s="404"/>
      <c r="D43" s="208"/>
      <c r="E43" s="208">
        <v>8</v>
      </c>
      <c r="F43" s="651">
        <v>4.0199999999999996</v>
      </c>
      <c r="G43" s="404">
        <v>1</v>
      </c>
      <c r="H43" s="652">
        <v>20</v>
      </c>
      <c r="I43" s="653">
        <f t="shared" si="6"/>
        <v>20</v>
      </c>
      <c r="J43" s="404"/>
      <c r="K43" s="651">
        <f t="shared" si="7"/>
        <v>80.399999999999991</v>
      </c>
      <c r="L43" s="651"/>
      <c r="M43" s="651"/>
      <c r="N43" s="179"/>
    </row>
    <row r="44" spans="2:14">
      <c r="B44" s="650"/>
      <c r="C44" s="404" t="s">
        <v>325</v>
      </c>
      <c r="D44" s="655"/>
      <c r="E44" s="208">
        <v>8</v>
      </c>
      <c r="F44" s="656">
        <v>4.12</v>
      </c>
      <c r="G44" s="404">
        <v>1</v>
      </c>
      <c r="H44" s="657">
        <v>21</v>
      </c>
      <c r="I44" s="653">
        <f t="shared" si="6"/>
        <v>21</v>
      </c>
      <c r="J44" s="658"/>
      <c r="K44" s="651">
        <f t="shared" si="7"/>
        <v>86.52</v>
      </c>
      <c r="L44" s="651"/>
      <c r="M44" s="651"/>
      <c r="N44" s="179"/>
    </row>
    <row r="45" spans="2:14">
      <c r="B45" s="650"/>
      <c r="C45" s="404"/>
      <c r="D45" s="655"/>
      <c r="E45" s="208">
        <v>8</v>
      </c>
      <c r="F45" s="651">
        <v>4.0199999999999996</v>
      </c>
      <c r="G45" s="404">
        <v>1</v>
      </c>
      <c r="H45" s="657">
        <v>22</v>
      </c>
      <c r="I45" s="653">
        <f t="shared" si="6"/>
        <v>22</v>
      </c>
      <c r="J45" s="658"/>
      <c r="K45" s="659">
        <f t="shared" si="7"/>
        <v>88.44</v>
      </c>
      <c r="L45" s="210"/>
      <c r="M45" s="651"/>
      <c r="N45" s="179"/>
    </row>
    <row r="46" spans="2:14">
      <c r="B46" s="660"/>
      <c r="C46" s="404" t="s">
        <v>326</v>
      </c>
      <c r="D46" s="661"/>
      <c r="E46" s="208">
        <v>8</v>
      </c>
      <c r="F46" s="662">
        <v>3.42</v>
      </c>
      <c r="G46" s="663">
        <v>1</v>
      </c>
      <c r="H46" s="664">
        <v>21</v>
      </c>
      <c r="I46" s="665">
        <f t="shared" si="6"/>
        <v>21</v>
      </c>
      <c r="J46" s="661"/>
      <c r="K46" s="210">
        <f t="shared" si="7"/>
        <v>71.819999999999993</v>
      </c>
      <c r="L46" s="666"/>
      <c r="M46" s="666"/>
      <c r="N46" s="667"/>
    </row>
    <row r="47" spans="2:14">
      <c r="B47" s="650"/>
      <c r="C47" s="405"/>
      <c r="D47" s="661"/>
      <c r="E47" s="208">
        <v>8</v>
      </c>
      <c r="F47" s="651">
        <v>4.0199999999999996</v>
      </c>
      <c r="G47" s="404">
        <v>1</v>
      </c>
      <c r="H47" s="652">
        <v>18</v>
      </c>
      <c r="I47" s="653">
        <f t="shared" si="6"/>
        <v>18</v>
      </c>
      <c r="J47" s="661"/>
      <c r="K47" s="210">
        <f t="shared" si="7"/>
        <v>72.359999999999985</v>
      </c>
      <c r="L47" s="666"/>
      <c r="M47" s="666"/>
      <c r="N47" s="667"/>
    </row>
    <row r="48" spans="2:14">
      <c r="B48" s="660">
        <v>2</v>
      </c>
      <c r="C48" s="404" t="s">
        <v>327</v>
      </c>
      <c r="D48" s="661"/>
      <c r="E48" s="668">
        <v>8</v>
      </c>
      <c r="F48" s="662">
        <v>5.67</v>
      </c>
      <c r="G48" s="663">
        <v>1</v>
      </c>
      <c r="H48" s="664">
        <v>12</v>
      </c>
      <c r="I48" s="665">
        <f t="shared" si="6"/>
        <v>12</v>
      </c>
      <c r="J48" s="661"/>
      <c r="K48" s="210">
        <f t="shared" si="7"/>
        <v>68.039999999999992</v>
      </c>
      <c r="L48" s="666"/>
      <c r="M48" s="666"/>
      <c r="N48" s="667"/>
    </row>
    <row r="49" spans="2:14">
      <c r="B49" s="660"/>
      <c r="C49" s="404"/>
      <c r="D49" s="661"/>
      <c r="E49" s="208">
        <v>8</v>
      </c>
      <c r="F49" s="651">
        <v>2.27</v>
      </c>
      <c r="G49" s="404">
        <v>1</v>
      </c>
      <c r="H49" s="652">
        <v>29</v>
      </c>
      <c r="I49" s="653">
        <f t="shared" si="6"/>
        <v>29</v>
      </c>
      <c r="J49" s="661"/>
      <c r="K49" s="210">
        <f t="shared" si="7"/>
        <v>65.83</v>
      </c>
      <c r="L49" s="666"/>
      <c r="M49" s="666"/>
      <c r="N49" s="667"/>
    </row>
    <row r="50" spans="2:14">
      <c r="B50" s="660"/>
      <c r="C50" s="404" t="s">
        <v>328</v>
      </c>
      <c r="D50" s="661"/>
      <c r="E50" s="208">
        <v>8</v>
      </c>
      <c r="F50" s="651">
        <v>4.42</v>
      </c>
      <c r="G50" s="404">
        <v>1</v>
      </c>
      <c r="H50" s="652">
        <v>12</v>
      </c>
      <c r="I50" s="653">
        <f t="shared" si="6"/>
        <v>12</v>
      </c>
      <c r="J50" s="661"/>
      <c r="K50" s="210">
        <f t="shared" si="7"/>
        <v>53.04</v>
      </c>
      <c r="L50" s="666"/>
      <c r="M50" s="666"/>
      <c r="N50" s="667"/>
    </row>
    <row r="51" spans="2:14">
      <c r="B51" s="660"/>
      <c r="C51" s="404"/>
      <c r="D51" s="661"/>
      <c r="E51" s="208">
        <v>8</v>
      </c>
      <c r="F51" s="651">
        <v>2.27</v>
      </c>
      <c r="G51" s="404">
        <v>1</v>
      </c>
      <c r="H51" s="652">
        <v>23</v>
      </c>
      <c r="I51" s="653">
        <f t="shared" si="6"/>
        <v>23</v>
      </c>
      <c r="J51" s="661"/>
      <c r="K51" s="210">
        <f t="shared" si="7"/>
        <v>52.21</v>
      </c>
      <c r="L51" s="666"/>
      <c r="M51" s="666"/>
      <c r="N51" s="667"/>
    </row>
    <row r="52" spans="2:14">
      <c r="B52" s="660"/>
      <c r="C52" s="404" t="s">
        <v>329</v>
      </c>
      <c r="D52" s="661"/>
      <c r="E52" s="208">
        <v>8</v>
      </c>
      <c r="F52" s="651">
        <v>3.82</v>
      </c>
      <c r="G52" s="404">
        <v>1</v>
      </c>
      <c r="H52" s="652">
        <v>12</v>
      </c>
      <c r="I52" s="653">
        <f t="shared" si="6"/>
        <v>12</v>
      </c>
      <c r="J52" s="661"/>
      <c r="K52" s="210">
        <f t="shared" si="7"/>
        <v>45.839999999999996</v>
      </c>
      <c r="L52" s="666"/>
      <c r="M52" s="666"/>
      <c r="N52" s="667"/>
    </row>
    <row r="53" spans="2:14">
      <c r="B53" s="660"/>
      <c r="C53" s="404"/>
      <c r="D53" s="661"/>
      <c r="E53" s="208">
        <v>8</v>
      </c>
      <c r="F53" s="651">
        <v>2.27</v>
      </c>
      <c r="G53" s="404">
        <v>1</v>
      </c>
      <c r="H53" s="652">
        <v>20</v>
      </c>
      <c r="I53" s="653">
        <f t="shared" si="6"/>
        <v>20</v>
      </c>
      <c r="J53" s="661"/>
      <c r="K53" s="210">
        <f t="shared" si="7"/>
        <v>45.4</v>
      </c>
      <c r="L53" s="666"/>
      <c r="M53" s="666"/>
      <c r="N53" s="667"/>
    </row>
    <row r="54" spans="2:14">
      <c r="B54" s="660"/>
      <c r="C54" s="404" t="s">
        <v>330</v>
      </c>
      <c r="D54" s="661"/>
      <c r="E54" s="208">
        <v>8</v>
      </c>
      <c r="F54" s="656">
        <v>4.12</v>
      </c>
      <c r="G54" s="404">
        <v>1</v>
      </c>
      <c r="H54" s="657">
        <v>12</v>
      </c>
      <c r="I54" s="653">
        <f t="shared" si="6"/>
        <v>12</v>
      </c>
      <c r="J54" s="661"/>
      <c r="K54" s="210">
        <f t="shared" si="7"/>
        <v>49.44</v>
      </c>
      <c r="L54" s="666"/>
      <c r="M54" s="666"/>
      <c r="N54" s="667"/>
    </row>
    <row r="55" spans="2:14">
      <c r="B55" s="660"/>
      <c r="C55" s="404"/>
      <c r="D55" s="661"/>
      <c r="E55" s="208">
        <v>8</v>
      </c>
      <c r="F55" s="651">
        <v>2.27</v>
      </c>
      <c r="G55" s="404">
        <v>1</v>
      </c>
      <c r="H55" s="657">
        <v>22</v>
      </c>
      <c r="I55" s="653">
        <f t="shared" si="6"/>
        <v>22</v>
      </c>
      <c r="J55" s="661"/>
      <c r="K55" s="210">
        <f t="shared" si="7"/>
        <v>49.94</v>
      </c>
      <c r="L55" s="666"/>
      <c r="M55" s="666"/>
      <c r="N55" s="667"/>
    </row>
    <row r="56" spans="2:14">
      <c r="B56" s="660"/>
      <c r="C56" s="404" t="s">
        <v>331</v>
      </c>
      <c r="D56" s="406"/>
      <c r="E56" s="208">
        <v>8</v>
      </c>
      <c r="F56" s="662">
        <v>3.42</v>
      </c>
      <c r="G56" s="663">
        <v>1</v>
      </c>
      <c r="H56" s="664">
        <v>12</v>
      </c>
      <c r="I56" s="665">
        <f t="shared" si="6"/>
        <v>12</v>
      </c>
      <c r="J56" s="661"/>
      <c r="K56" s="210">
        <f t="shared" si="7"/>
        <v>41.04</v>
      </c>
      <c r="L56" s="666"/>
      <c r="M56" s="666"/>
      <c r="N56" s="667"/>
    </row>
    <row r="57" spans="2:14">
      <c r="B57" s="650"/>
      <c r="C57" s="405"/>
      <c r="D57" s="661"/>
      <c r="E57" s="208">
        <v>8</v>
      </c>
      <c r="F57" s="651">
        <v>2.27</v>
      </c>
      <c r="G57" s="404">
        <v>1</v>
      </c>
      <c r="H57" s="652">
        <v>18</v>
      </c>
      <c r="I57" s="653">
        <f t="shared" si="6"/>
        <v>18</v>
      </c>
      <c r="J57" s="661"/>
      <c r="K57" s="210">
        <f t="shared" si="7"/>
        <v>40.86</v>
      </c>
      <c r="L57" s="666"/>
      <c r="M57" s="666"/>
      <c r="N57" s="667"/>
    </row>
    <row r="58" spans="2:14">
      <c r="B58" s="650">
        <v>3</v>
      </c>
      <c r="C58" s="404" t="s">
        <v>332</v>
      </c>
      <c r="D58" s="661"/>
      <c r="E58" s="208">
        <v>8</v>
      </c>
      <c r="F58" s="662">
        <v>5.67</v>
      </c>
      <c r="G58" s="663">
        <v>1</v>
      </c>
      <c r="H58" s="664">
        <v>20</v>
      </c>
      <c r="I58" s="665">
        <f t="shared" si="6"/>
        <v>20</v>
      </c>
      <c r="J58" s="661"/>
      <c r="K58" s="210">
        <f t="shared" si="7"/>
        <v>113.4</v>
      </c>
      <c r="L58" s="666"/>
      <c r="M58" s="666"/>
      <c r="N58" s="667"/>
    </row>
    <row r="59" spans="2:14">
      <c r="B59" s="650"/>
      <c r="C59" s="404"/>
      <c r="D59" s="661"/>
      <c r="E59" s="208">
        <v>8</v>
      </c>
      <c r="F59" s="651">
        <v>3.87</v>
      </c>
      <c r="G59" s="404">
        <v>1</v>
      </c>
      <c r="H59" s="652">
        <v>29</v>
      </c>
      <c r="I59" s="653">
        <f t="shared" si="6"/>
        <v>29</v>
      </c>
      <c r="J59" s="661"/>
      <c r="K59" s="210">
        <f t="shared" si="7"/>
        <v>112.23</v>
      </c>
      <c r="L59" s="666"/>
      <c r="M59" s="666"/>
      <c r="N59" s="667"/>
    </row>
    <row r="60" spans="2:14">
      <c r="B60" s="650"/>
      <c r="C60" s="404" t="s">
        <v>333</v>
      </c>
      <c r="D60" s="661"/>
      <c r="E60" s="208">
        <v>8</v>
      </c>
      <c r="F60" s="651">
        <v>4.42</v>
      </c>
      <c r="G60" s="404">
        <v>1</v>
      </c>
      <c r="H60" s="652">
        <v>20</v>
      </c>
      <c r="I60" s="653">
        <f t="shared" si="6"/>
        <v>20</v>
      </c>
      <c r="J60" s="661"/>
      <c r="K60" s="210">
        <f t="shared" si="7"/>
        <v>88.4</v>
      </c>
      <c r="L60" s="666"/>
      <c r="M60" s="666"/>
      <c r="N60" s="667"/>
    </row>
    <row r="61" spans="2:14">
      <c r="B61" s="650"/>
      <c r="C61" s="404"/>
      <c r="D61" s="661"/>
      <c r="E61" s="208">
        <v>8</v>
      </c>
      <c r="F61" s="651">
        <v>3.87</v>
      </c>
      <c r="G61" s="404">
        <v>1</v>
      </c>
      <c r="H61" s="652">
        <v>23</v>
      </c>
      <c r="I61" s="653">
        <f t="shared" si="6"/>
        <v>23</v>
      </c>
      <c r="J61" s="661"/>
      <c r="K61" s="210">
        <f t="shared" si="7"/>
        <v>89.01</v>
      </c>
      <c r="L61" s="666"/>
      <c r="M61" s="666"/>
      <c r="N61" s="667"/>
    </row>
    <row r="62" spans="2:14">
      <c r="B62" s="650"/>
      <c r="C62" s="404" t="s">
        <v>334</v>
      </c>
      <c r="D62" s="661"/>
      <c r="E62" s="208">
        <v>8</v>
      </c>
      <c r="F62" s="651">
        <v>3.82</v>
      </c>
      <c r="G62" s="404">
        <v>1</v>
      </c>
      <c r="H62" s="652">
        <v>20</v>
      </c>
      <c r="I62" s="653">
        <f t="shared" si="6"/>
        <v>20</v>
      </c>
      <c r="J62" s="661"/>
      <c r="K62" s="210">
        <f t="shared" si="7"/>
        <v>76.399999999999991</v>
      </c>
      <c r="L62" s="666"/>
      <c r="M62" s="666"/>
      <c r="N62" s="667"/>
    </row>
    <row r="63" spans="2:14">
      <c r="B63" s="650"/>
      <c r="C63" s="404"/>
      <c r="D63" s="661"/>
      <c r="E63" s="208">
        <v>8</v>
      </c>
      <c r="F63" s="651">
        <v>3.87</v>
      </c>
      <c r="G63" s="404">
        <v>1</v>
      </c>
      <c r="H63" s="652">
        <v>20</v>
      </c>
      <c r="I63" s="653">
        <f t="shared" si="6"/>
        <v>20</v>
      </c>
      <c r="J63" s="661"/>
      <c r="K63" s="210">
        <f t="shared" si="7"/>
        <v>77.400000000000006</v>
      </c>
      <c r="L63" s="666"/>
      <c r="M63" s="666"/>
      <c r="N63" s="667"/>
    </row>
    <row r="64" spans="2:14">
      <c r="B64" s="650"/>
      <c r="C64" s="404" t="s">
        <v>335</v>
      </c>
      <c r="D64" s="661"/>
      <c r="E64" s="208">
        <v>8</v>
      </c>
      <c r="F64" s="656">
        <v>4.12</v>
      </c>
      <c r="G64" s="404">
        <v>1</v>
      </c>
      <c r="H64" s="657">
        <v>20</v>
      </c>
      <c r="I64" s="653">
        <f t="shared" si="6"/>
        <v>20</v>
      </c>
      <c r="J64" s="661"/>
      <c r="K64" s="210">
        <f t="shared" si="7"/>
        <v>82.4</v>
      </c>
      <c r="L64" s="666"/>
      <c r="M64" s="666"/>
      <c r="N64" s="667"/>
    </row>
    <row r="65" spans="2:14">
      <c r="B65" s="650"/>
      <c r="C65" s="404"/>
      <c r="D65" s="661"/>
      <c r="E65" s="208">
        <v>8</v>
      </c>
      <c r="F65" s="651">
        <v>3.87</v>
      </c>
      <c r="G65" s="404">
        <v>1</v>
      </c>
      <c r="H65" s="657">
        <v>22</v>
      </c>
      <c r="I65" s="653">
        <f t="shared" si="6"/>
        <v>22</v>
      </c>
      <c r="J65" s="669"/>
      <c r="K65" s="651">
        <f t="shared" si="7"/>
        <v>85.14</v>
      </c>
      <c r="L65" s="651"/>
      <c r="M65" s="651"/>
      <c r="N65" s="654"/>
    </row>
    <row r="66" spans="2:14">
      <c r="B66" s="660"/>
      <c r="C66" s="404" t="s">
        <v>336</v>
      </c>
      <c r="D66" s="655"/>
      <c r="E66" s="208">
        <v>8</v>
      </c>
      <c r="F66" s="662">
        <v>3.42</v>
      </c>
      <c r="G66" s="663">
        <v>1</v>
      </c>
      <c r="H66" s="664">
        <v>20</v>
      </c>
      <c r="I66" s="665">
        <f t="shared" si="6"/>
        <v>20</v>
      </c>
      <c r="J66" s="670"/>
      <c r="K66" s="210">
        <f t="shared" si="7"/>
        <v>68.400000000000006</v>
      </c>
      <c r="L66" s="671"/>
      <c r="M66" s="199"/>
      <c r="N66" s="180"/>
    </row>
    <row r="67" spans="2:14" ht="19.5" thickBot="1">
      <c r="B67" s="672"/>
      <c r="C67" s="673"/>
      <c r="D67" s="641"/>
      <c r="E67" s="166">
        <v>8</v>
      </c>
      <c r="F67" s="674">
        <v>3.87</v>
      </c>
      <c r="G67" s="673">
        <v>1</v>
      </c>
      <c r="H67" s="675">
        <v>18</v>
      </c>
      <c r="I67" s="676">
        <f t="shared" si="6"/>
        <v>18</v>
      </c>
      <c r="J67" s="677"/>
      <c r="K67" s="212">
        <f t="shared" si="7"/>
        <v>69.66</v>
      </c>
      <c r="L67" s="205"/>
      <c r="M67" s="205"/>
      <c r="N67" s="186"/>
    </row>
    <row r="68" spans="2:14" ht="19.5" thickTop="1">
      <c r="B68" s="678"/>
      <c r="C68" s="679"/>
      <c r="D68" s="638"/>
      <c r="E68" s="638"/>
      <c r="F68" s="2182" t="s">
        <v>301</v>
      </c>
      <c r="G68" s="2182"/>
      <c r="H68" s="2182"/>
      <c r="I68" s="2183"/>
      <c r="J68" s="680"/>
      <c r="K68" s="646">
        <f>SUM(K38:K67)</f>
        <v>2274.77</v>
      </c>
      <c r="L68" s="646">
        <f>SUM(L41:L67)</f>
        <v>0</v>
      </c>
      <c r="M68" s="646">
        <f>SUM(M41:M67)</f>
        <v>0</v>
      </c>
      <c r="N68" s="649">
        <f>SUM(N41:N67)</f>
        <v>0</v>
      </c>
    </row>
    <row r="69" spans="2:14">
      <c r="B69" s="681"/>
      <c r="C69" s="682"/>
      <c r="D69" s="683"/>
      <c r="E69" s="683"/>
      <c r="F69" s="683" t="s">
        <v>302</v>
      </c>
      <c r="G69" s="683"/>
      <c r="H69" s="683"/>
      <c r="I69" s="684"/>
      <c r="J69" s="685"/>
      <c r="K69" s="199" t="s">
        <v>303</v>
      </c>
      <c r="L69" s="671"/>
      <c r="M69" s="686">
        <v>0.88800000000000001</v>
      </c>
      <c r="N69" s="180" t="s">
        <v>306</v>
      </c>
    </row>
    <row r="70" spans="2:14" ht="19.5" thickBot="1">
      <c r="B70" s="687"/>
      <c r="C70" s="688"/>
      <c r="D70" s="689"/>
      <c r="E70" s="689"/>
      <c r="F70" s="689" t="s">
        <v>307</v>
      </c>
      <c r="G70" s="689"/>
      <c r="H70" s="689"/>
      <c r="I70" s="690"/>
      <c r="J70" s="691"/>
      <c r="K70" s="205">
        <f>K68*K69</f>
        <v>898.53415000000007</v>
      </c>
      <c r="L70" s="205">
        <f>L68*L69</f>
        <v>0</v>
      </c>
      <c r="M70" s="205">
        <f>M68*M69</f>
        <v>0</v>
      </c>
      <c r="N70" s="186">
        <f>N68*N69</f>
        <v>0</v>
      </c>
    </row>
    <row r="71" spans="2:14" ht="20.25" thickTop="1" thickBot="1">
      <c r="B71" s="692"/>
      <c r="C71" s="692"/>
      <c r="D71" s="692"/>
      <c r="E71" s="692"/>
      <c r="F71" s="692"/>
      <c r="G71" s="692"/>
      <c r="H71" s="692"/>
      <c r="I71" s="692"/>
      <c r="J71" s="692"/>
      <c r="K71" s="692"/>
      <c r="L71" s="692"/>
      <c r="M71" s="692"/>
      <c r="N71" s="692"/>
    </row>
    <row r="72" spans="2:14" ht="19.5" thickTop="1">
      <c r="B72" s="2184" t="s">
        <v>1257</v>
      </c>
      <c r="C72" s="2184"/>
      <c r="D72" s="2184"/>
      <c r="E72" s="2184"/>
      <c r="F72" s="2184"/>
      <c r="G72" s="2184"/>
      <c r="H72" s="105"/>
      <c r="I72" s="577"/>
      <c r="L72" s="2178" t="s">
        <v>1206</v>
      </c>
      <c r="M72" s="2178"/>
      <c r="N72" s="2178"/>
    </row>
    <row r="73" spans="2:14">
      <c r="B73" s="2184" t="s">
        <v>1208</v>
      </c>
      <c r="C73" s="2184"/>
      <c r="D73" s="2184"/>
      <c r="E73" s="2184"/>
      <c r="F73" s="2184"/>
      <c r="G73" s="2184"/>
      <c r="H73" s="105"/>
      <c r="I73" s="577"/>
      <c r="L73" s="2178" t="s">
        <v>1265</v>
      </c>
      <c r="M73" s="2178"/>
      <c r="N73" s="2178"/>
    </row>
    <row r="74" spans="2:14">
      <c r="B74" s="2184" t="s">
        <v>1258</v>
      </c>
      <c r="C74" s="2184"/>
      <c r="D74" s="2184"/>
      <c r="E74" s="2184"/>
      <c r="F74" s="2184"/>
      <c r="G74" s="2184"/>
      <c r="H74" s="105"/>
      <c r="I74" s="577"/>
      <c r="L74" s="2178" t="s">
        <v>1237</v>
      </c>
      <c r="M74" s="2178"/>
      <c r="N74" s="2178"/>
    </row>
    <row r="75" spans="2:14" ht="19.5" thickBot="1">
      <c r="B75" s="2184" t="s">
        <v>1209</v>
      </c>
      <c r="C75" s="2184"/>
      <c r="D75" s="2184"/>
      <c r="E75" s="2184"/>
      <c r="F75" s="2184"/>
      <c r="G75" s="2184"/>
      <c r="H75" s="105"/>
      <c r="I75" s="105"/>
      <c r="J75" s="580"/>
      <c r="K75" s="580"/>
      <c r="L75" s="580"/>
      <c r="M75" s="580"/>
      <c r="N75" s="581"/>
    </row>
    <row r="76" spans="2:14" ht="19.5" thickTop="1">
      <c r="B76" s="2198" t="s">
        <v>4</v>
      </c>
      <c r="C76" s="2189" t="s">
        <v>293</v>
      </c>
      <c r="D76" s="2189" t="s">
        <v>309</v>
      </c>
      <c r="E76" s="2189" t="s">
        <v>310</v>
      </c>
      <c r="F76" s="582" t="s">
        <v>295</v>
      </c>
      <c r="G76" s="2191" t="s">
        <v>311</v>
      </c>
      <c r="H76" s="2192"/>
      <c r="I76" s="2193"/>
      <c r="J76" s="583"/>
      <c r="K76" s="584" t="s">
        <v>312</v>
      </c>
      <c r="L76" s="584"/>
      <c r="M76" s="584"/>
      <c r="N76" s="583"/>
    </row>
    <row r="77" spans="2:14" ht="19.5" thickBot="1">
      <c r="B77" s="2199"/>
      <c r="C77" s="2190"/>
      <c r="D77" s="2190"/>
      <c r="E77" s="2190"/>
      <c r="F77" s="586" t="s">
        <v>313</v>
      </c>
      <c r="G77" s="587" t="s">
        <v>314</v>
      </c>
      <c r="H77" s="587" t="s">
        <v>315</v>
      </c>
      <c r="I77" s="588" t="s">
        <v>316</v>
      </c>
      <c r="J77" s="589" t="s">
        <v>317</v>
      </c>
      <c r="K77" s="590" t="s">
        <v>318</v>
      </c>
      <c r="L77" s="588" t="s">
        <v>319</v>
      </c>
      <c r="M77" s="588" t="s">
        <v>320</v>
      </c>
      <c r="N77" s="587" t="s">
        <v>321</v>
      </c>
    </row>
    <row r="78" spans="2:14" ht="19.5" thickTop="1">
      <c r="B78" s="693"/>
      <c r="C78" s="239" t="s">
        <v>22</v>
      </c>
      <c r="D78" s="594"/>
      <c r="E78" s="239"/>
      <c r="F78" s="694"/>
      <c r="G78" s="239"/>
      <c r="H78" s="239"/>
      <c r="I78" s="239"/>
      <c r="J78" s="695"/>
      <c r="K78" s="597"/>
      <c r="L78" s="695"/>
      <c r="M78" s="695"/>
      <c r="N78" s="696"/>
    </row>
    <row r="79" spans="2:14">
      <c r="B79" s="599"/>
      <c r="C79" s="604" t="s">
        <v>1224</v>
      </c>
      <c r="D79" s="605"/>
      <c r="E79" s="606"/>
      <c r="F79" s="233"/>
      <c r="G79" s="606"/>
      <c r="H79" s="606"/>
      <c r="I79" s="606"/>
      <c r="J79" s="604"/>
      <c r="K79" s="697"/>
      <c r="L79" s="238"/>
      <c r="M79" s="697"/>
      <c r="N79" s="698"/>
    </row>
    <row r="80" spans="2:14">
      <c r="B80" s="599"/>
      <c r="C80" s="604"/>
      <c r="D80" s="605"/>
      <c r="E80" s="606">
        <v>6</v>
      </c>
      <c r="F80" s="233"/>
      <c r="G80" s="606"/>
      <c r="H80" s="606"/>
      <c r="I80" s="606"/>
      <c r="J80" s="604"/>
      <c r="K80" s="604"/>
      <c r="L80" s="604"/>
      <c r="M80" s="604"/>
      <c r="N80" s="604"/>
    </row>
    <row r="81" spans="2:14">
      <c r="B81" s="599"/>
      <c r="C81" s="604"/>
      <c r="D81" s="605"/>
      <c r="E81" s="606">
        <v>8</v>
      </c>
      <c r="F81" s="233"/>
      <c r="G81" s="606"/>
      <c r="H81" s="606"/>
      <c r="I81" s="606"/>
      <c r="J81" s="604"/>
      <c r="K81" s="697" t="e">
        <f>K28+K68+#REF!</f>
        <v>#REF!</v>
      </c>
      <c r="L81" s="238"/>
      <c r="M81" s="697"/>
      <c r="N81" s="698"/>
    </row>
    <row r="82" spans="2:14">
      <c r="B82" s="599"/>
      <c r="C82" s="604"/>
      <c r="D82" s="605"/>
      <c r="E82" s="606">
        <v>10</v>
      </c>
      <c r="F82" s="233"/>
      <c r="G82" s="606"/>
      <c r="H82" s="606"/>
      <c r="I82" s="606"/>
      <c r="J82" s="604"/>
      <c r="K82" s="697"/>
      <c r="L82" s="699">
        <f>L68</f>
        <v>0</v>
      </c>
      <c r="M82" s="697"/>
      <c r="N82" s="698"/>
    </row>
    <row r="83" spans="2:14">
      <c r="B83" s="599"/>
      <c r="C83" s="604"/>
      <c r="D83" s="605"/>
      <c r="E83" s="606">
        <v>12</v>
      </c>
      <c r="F83" s="233"/>
      <c r="G83" s="606"/>
      <c r="H83" s="606"/>
      <c r="I83" s="606"/>
      <c r="J83" s="604"/>
      <c r="K83" s="697"/>
      <c r="L83" s="238"/>
      <c r="M83" s="697">
        <f>M28+M68</f>
        <v>0</v>
      </c>
      <c r="N83" s="698"/>
    </row>
    <row r="84" spans="2:14">
      <c r="B84" s="599"/>
      <c r="C84" s="604"/>
      <c r="D84" s="605"/>
      <c r="E84" s="606">
        <v>14</v>
      </c>
      <c r="F84" s="233"/>
      <c r="G84" s="606"/>
      <c r="H84" s="606"/>
      <c r="I84" s="606"/>
      <c r="J84" s="604"/>
      <c r="K84" s="697"/>
      <c r="L84" s="238"/>
      <c r="M84" s="697"/>
      <c r="N84" s="700">
        <f>N28+N68</f>
        <v>1044.18</v>
      </c>
    </row>
    <row r="85" spans="2:14">
      <c r="B85" s="599"/>
      <c r="C85" s="604"/>
      <c r="D85" s="605"/>
      <c r="E85" s="606"/>
      <c r="F85" s="233"/>
      <c r="G85" s="606"/>
      <c r="H85" s="606"/>
      <c r="I85" s="606"/>
      <c r="J85" s="604"/>
      <c r="K85" s="697"/>
      <c r="L85" s="238"/>
      <c r="M85" s="697"/>
      <c r="N85" s="698"/>
    </row>
    <row r="86" spans="2:14">
      <c r="B86" s="599"/>
      <c r="C86" s="604"/>
      <c r="D86" s="605"/>
      <c r="E86" s="606"/>
      <c r="F86" s="233"/>
      <c r="G86" s="606"/>
      <c r="H86" s="606"/>
      <c r="I86" s="606"/>
      <c r="J86" s="604"/>
      <c r="K86" s="697"/>
      <c r="L86" s="238"/>
      <c r="M86" s="697"/>
      <c r="N86" s="698"/>
    </row>
    <row r="87" spans="2:14">
      <c r="B87" s="599"/>
      <c r="C87" s="604"/>
      <c r="D87" s="605"/>
      <c r="E87" s="606"/>
      <c r="F87" s="233"/>
      <c r="G87" s="606"/>
      <c r="H87" s="606"/>
      <c r="I87" s="606"/>
      <c r="J87" s="604"/>
      <c r="K87" s="697"/>
      <c r="L87" s="238"/>
      <c r="M87" s="697"/>
      <c r="N87" s="698"/>
    </row>
    <row r="88" spans="2:14">
      <c r="B88" s="599"/>
      <c r="C88" s="604"/>
      <c r="D88" s="605"/>
      <c r="E88" s="606"/>
      <c r="F88" s="233"/>
      <c r="G88" s="606"/>
      <c r="H88" s="606"/>
      <c r="I88" s="606"/>
      <c r="J88" s="605"/>
      <c r="K88" s="697"/>
      <c r="L88" s="238"/>
      <c r="M88" s="697"/>
      <c r="N88" s="701"/>
    </row>
    <row r="89" spans="2:14">
      <c r="B89" s="599"/>
      <c r="C89" s="604"/>
      <c r="D89" s="605"/>
      <c r="E89" s="606"/>
      <c r="F89" s="233"/>
      <c r="G89" s="606"/>
      <c r="H89" s="606"/>
      <c r="I89" s="606"/>
      <c r="J89" s="605"/>
      <c r="K89" s="697"/>
      <c r="L89" s="238"/>
      <c r="M89" s="697"/>
      <c r="N89" s="701"/>
    </row>
    <row r="90" spans="2:14">
      <c r="B90" s="599"/>
      <c r="C90" s="604"/>
      <c r="D90" s="605"/>
      <c r="E90" s="606"/>
      <c r="F90" s="233"/>
      <c r="G90" s="606"/>
      <c r="H90" s="606"/>
      <c r="I90" s="606"/>
      <c r="J90" s="604"/>
      <c r="K90" s="697"/>
      <c r="L90" s="238"/>
      <c r="M90" s="697"/>
      <c r="N90" s="701"/>
    </row>
    <row r="91" spans="2:14">
      <c r="B91" s="599"/>
      <c r="C91" s="604"/>
      <c r="D91" s="605"/>
      <c r="E91" s="606"/>
      <c r="F91" s="233"/>
      <c r="G91" s="606"/>
      <c r="H91" s="606"/>
      <c r="I91" s="606"/>
      <c r="J91" s="605"/>
      <c r="K91" s="697"/>
      <c r="L91" s="238"/>
      <c r="M91" s="697"/>
      <c r="N91" s="701"/>
    </row>
    <row r="92" spans="2:14">
      <c r="B92" s="599"/>
      <c r="C92" s="604"/>
      <c r="D92" s="605"/>
      <c r="E92" s="606"/>
      <c r="F92" s="233"/>
      <c r="G92" s="606"/>
      <c r="H92" s="606"/>
      <c r="I92" s="606"/>
      <c r="J92" s="605"/>
      <c r="K92" s="697"/>
      <c r="L92" s="238"/>
      <c r="M92" s="697"/>
      <c r="N92" s="701"/>
    </row>
    <row r="93" spans="2:14">
      <c r="B93" s="599"/>
      <c r="C93" s="604"/>
      <c r="D93" s="605"/>
      <c r="E93" s="606"/>
      <c r="F93" s="233"/>
      <c r="G93" s="606"/>
      <c r="H93" s="606"/>
      <c r="I93" s="606"/>
      <c r="J93" s="604"/>
      <c r="K93" s="697"/>
      <c r="L93" s="238"/>
      <c r="M93" s="697"/>
      <c r="N93" s="701"/>
    </row>
    <row r="94" spans="2:14">
      <c r="B94" s="599"/>
      <c r="C94" s="604"/>
      <c r="D94" s="605"/>
      <c r="E94" s="606"/>
      <c r="F94" s="233"/>
      <c r="G94" s="606"/>
      <c r="H94" s="606"/>
      <c r="I94" s="606"/>
      <c r="J94" s="605"/>
      <c r="K94" s="697"/>
      <c r="L94" s="238"/>
      <c r="M94" s="697"/>
      <c r="N94" s="701"/>
    </row>
    <row r="95" spans="2:14">
      <c r="B95" s="599"/>
      <c r="C95" s="604"/>
      <c r="D95" s="605"/>
      <c r="E95" s="606"/>
      <c r="F95" s="233"/>
      <c r="G95" s="606"/>
      <c r="H95" s="606"/>
      <c r="I95" s="606"/>
      <c r="J95" s="605"/>
      <c r="K95" s="697"/>
      <c r="L95" s="238"/>
      <c r="M95" s="697"/>
      <c r="N95" s="701"/>
    </row>
    <row r="96" spans="2:14">
      <c r="B96" s="599"/>
      <c r="C96" s="604"/>
      <c r="D96" s="605"/>
      <c r="E96" s="606"/>
      <c r="F96" s="233"/>
      <c r="G96" s="606"/>
      <c r="H96" s="606"/>
      <c r="I96" s="606"/>
      <c r="J96" s="604"/>
      <c r="K96" s="697"/>
      <c r="L96" s="238"/>
      <c r="M96" s="697"/>
      <c r="N96" s="701"/>
    </row>
    <row r="97" spans="2:14">
      <c r="B97" s="702"/>
      <c r="C97" s="238"/>
      <c r="D97" s="238"/>
      <c r="E97" s="606"/>
      <c r="F97" s="233"/>
      <c r="G97" s="606"/>
      <c r="H97" s="606"/>
      <c r="I97" s="606"/>
      <c r="J97" s="604"/>
      <c r="K97" s="697"/>
      <c r="L97" s="697"/>
      <c r="M97" s="697"/>
      <c r="N97" s="701"/>
    </row>
    <row r="98" spans="2:14">
      <c r="B98" s="702"/>
      <c r="C98" s="238"/>
      <c r="D98" s="238"/>
      <c r="E98" s="606"/>
      <c r="F98" s="234"/>
      <c r="G98" s="606"/>
      <c r="H98" s="99"/>
      <c r="I98" s="99"/>
      <c r="J98" s="608"/>
      <c r="K98" s="697"/>
      <c r="L98" s="608"/>
      <c r="M98" s="697"/>
      <c r="N98" s="701"/>
    </row>
    <row r="99" spans="2:14">
      <c r="B99" s="702"/>
      <c r="C99" s="238"/>
      <c r="D99" s="238"/>
      <c r="E99" s="606"/>
      <c r="F99" s="234"/>
      <c r="G99" s="606"/>
      <c r="H99" s="99"/>
      <c r="I99" s="99"/>
      <c r="J99" s="608"/>
      <c r="K99" s="697"/>
      <c r="L99" s="608"/>
      <c r="M99" s="697"/>
      <c r="N99" s="701"/>
    </row>
    <row r="100" spans="2:14" ht="19.5" thickBot="1">
      <c r="B100" s="703"/>
      <c r="C100" s="704"/>
      <c r="D100" s="704"/>
      <c r="E100" s="612"/>
      <c r="F100" s="235"/>
      <c r="G100" s="612"/>
      <c r="H100" s="705"/>
      <c r="I100" s="705"/>
      <c r="J100" s="706"/>
      <c r="K100" s="707"/>
      <c r="L100" s="706"/>
      <c r="M100" s="706"/>
      <c r="N100" s="708"/>
    </row>
    <row r="101" spans="2:14" ht="19.5" thickTop="1">
      <c r="B101" s="709"/>
      <c r="C101" s="710"/>
      <c r="D101" s="710"/>
      <c r="E101" s="710"/>
      <c r="F101" s="2194" t="s">
        <v>301</v>
      </c>
      <c r="G101" s="2194"/>
      <c r="H101" s="2194"/>
      <c r="I101" s="2194"/>
      <c r="J101" s="711"/>
      <c r="K101" s="712" t="e">
        <f>SUM(K78:K100)</f>
        <v>#REF!</v>
      </c>
      <c r="L101" s="712">
        <f>SUM(L78:L100)</f>
        <v>0</v>
      </c>
      <c r="M101" s="712">
        <f>SUM(M78:M100)</f>
        <v>0</v>
      </c>
      <c r="N101" s="713">
        <f>SUM(N76:N100)</f>
        <v>1044.18</v>
      </c>
    </row>
    <row r="102" spans="2:14">
      <c r="B102" s="714"/>
      <c r="C102" s="715"/>
      <c r="D102" s="716"/>
      <c r="E102" s="716"/>
      <c r="F102" s="620" t="s">
        <v>302</v>
      </c>
      <c r="G102" s="620"/>
      <c r="H102" s="620"/>
      <c r="I102" s="620"/>
      <c r="J102" s="621"/>
      <c r="K102" s="717" t="s">
        <v>303</v>
      </c>
      <c r="L102" s="718" t="s">
        <v>304</v>
      </c>
      <c r="M102" s="717" t="s">
        <v>305</v>
      </c>
      <c r="N102" s="719" t="s">
        <v>306</v>
      </c>
    </row>
    <row r="103" spans="2:14" ht="19.5" thickBot="1">
      <c r="B103" s="720"/>
      <c r="C103" s="721"/>
      <c r="D103" s="722"/>
      <c r="E103" s="722"/>
      <c r="F103" s="627" t="s">
        <v>307</v>
      </c>
      <c r="G103" s="627"/>
      <c r="H103" s="627"/>
      <c r="I103" s="627"/>
      <c r="J103" s="614"/>
      <c r="K103" s="629" t="e">
        <f>K101*K102</f>
        <v>#REF!</v>
      </c>
      <c r="L103" s="629">
        <f>L101*L102</f>
        <v>0</v>
      </c>
      <c r="M103" s="629">
        <f>M101*M102</f>
        <v>0</v>
      </c>
      <c r="N103" s="723">
        <f>N101*N102</f>
        <v>1263.4578000000001</v>
      </c>
    </row>
    <row r="104" spans="2:14" ht="20.25" thickTop="1" thickBot="1">
      <c r="B104" s="724"/>
      <c r="C104" s="724"/>
      <c r="D104" s="724"/>
      <c r="E104" s="724"/>
      <c r="F104" s="724"/>
      <c r="G104" s="724"/>
      <c r="H104" s="724"/>
      <c r="I104" s="724"/>
      <c r="J104" s="724"/>
      <c r="K104" s="724"/>
      <c r="L104" s="724"/>
      <c r="M104" s="724"/>
      <c r="N104" s="724"/>
    </row>
    <row r="105" spans="2:14" ht="19.5" thickTop="1">
      <c r="B105" s="2184" t="s">
        <v>1257</v>
      </c>
      <c r="C105" s="2184"/>
      <c r="D105" s="2184"/>
      <c r="E105" s="2184"/>
      <c r="F105" s="2184"/>
      <c r="G105" s="2184"/>
      <c r="H105" s="105"/>
      <c r="I105" s="577"/>
      <c r="L105" s="2178" t="s">
        <v>1206</v>
      </c>
      <c r="M105" s="2178"/>
      <c r="N105" s="2178"/>
    </row>
    <row r="106" spans="2:14">
      <c r="B106" s="2184" t="s">
        <v>1208</v>
      </c>
      <c r="C106" s="2184"/>
      <c r="D106" s="2184"/>
      <c r="E106" s="2184"/>
      <c r="F106" s="2184"/>
      <c r="G106" s="2184"/>
      <c r="H106" s="105"/>
      <c r="I106" s="577"/>
      <c r="L106" s="2178" t="s">
        <v>1265</v>
      </c>
      <c r="M106" s="2178"/>
      <c r="N106" s="2178"/>
    </row>
    <row r="107" spans="2:14">
      <c r="B107" s="2184" t="s">
        <v>1258</v>
      </c>
      <c r="C107" s="2184"/>
      <c r="D107" s="2184"/>
      <c r="E107" s="2184"/>
      <c r="F107" s="2184"/>
      <c r="G107" s="2184"/>
      <c r="H107" s="105"/>
      <c r="I107" s="577"/>
      <c r="L107" s="2178" t="s">
        <v>1237</v>
      </c>
      <c r="M107" s="2178"/>
      <c r="N107" s="2178"/>
    </row>
    <row r="108" spans="2:14" ht="19.5" thickBot="1">
      <c r="B108" s="2184" t="s">
        <v>1209</v>
      </c>
      <c r="C108" s="2184"/>
      <c r="D108" s="2184"/>
      <c r="E108" s="2184"/>
      <c r="F108" s="2184"/>
      <c r="G108" s="2184"/>
      <c r="H108" s="105"/>
      <c r="I108" s="105"/>
      <c r="J108" s="580"/>
      <c r="K108" s="580"/>
      <c r="L108" s="580"/>
      <c r="M108" s="580"/>
      <c r="N108" s="581"/>
    </row>
    <row r="109" spans="2:14" ht="19.5" thickTop="1">
      <c r="B109" s="2187" t="s">
        <v>4</v>
      </c>
      <c r="C109" s="2189" t="s">
        <v>293</v>
      </c>
      <c r="D109" s="2189" t="s">
        <v>309</v>
      </c>
      <c r="E109" s="2189" t="s">
        <v>310</v>
      </c>
      <c r="F109" s="582" t="s">
        <v>295</v>
      </c>
      <c r="G109" s="2191" t="s">
        <v>311</v>
      </c>
      <c r="H109" s="2192"/>
      <c r="I109" s="2193"/>
      <c r="J109" s="583"/>
      <c r="K109" s="584" t="s">
        <v>312</v>
      </c>
      <c r="L109" s="584"/>
      <c r="M109" s="584"/>
      <c r="N109" s="585"/>
    </row>
    <row r="110" spans="2:14" ht="19.5" thickBot="1">
      <c r="B110" s="2188"/>
      <c r="C110" s="2190"/>
      <c r="D110" s="2190"/>
      <c r="E110" s="2190"/>
      <c r="F110" s="586" t="s">
        <v>313</v>
      </c>
      <c r="G110" s="587" t="s">
        <v>314</v>
      </c>
      <c r="H110" s="587" t="s">
        <v>315</v>
      </c>
      <c r="I110" s="588" t="s">
        <v>316</v>
      </c>
      <c r="J110" s="589" t="s">
        <v>317</v>
      </c>
      <c r="K110" s="590" t="s">
        <v>318</v>
      </c>
      <c r="L110" s="588" t="s">
        <v>319</v>
      </c>
      <c r="M110" s="588" t="s">
        <v>320</v>
      </c>
      <c r="N110" s="591" t="s">
        <v>321</v>
      </c>
    </row>
    <row r="111" spans="2:14" ht="19.5" thickTop="1">
      <c r="B111" s="592">
        <v>1</v>
      </c>
      <c r="C111" s="593" t="s">
        <v>337</v>
      </c>
      <c r="D111" s="594"/>
      <c r="E111" s="594">
        <v>12</v>
      </c>
      <c r="F111" s="595">
        <v>3.58</v>
      </c>
      <c r="G111" s="725">
        <v>20</v>
      </c>
      <c r="H111" s="725">
        <v>4</v>
      </c>
      <c r="I111" s="725">
        <f>G111*H111</f>
        <v>80</v>
      </c>
      <c r="J111" s="596"/>
      <c r="K111" s="596"/>
      <c r="L111" s="596"/>
      <c r="M111" s="597">
        <f>I111*F111</f>
        <v>286.39999999999998</v>
      </c>
      <c r="N111" s="726"/>
    </row>
    <row r="112" spans="2:14">
      <c r="B112" s="727"/>
      <c r="C112" s="606"/>
      <c r="D112" s="606"/>
      <c r="E112" s="606">
        <v>8</v>
      </c>
      <c r="F112" s="607">
        <v>0.7</v>
      </c>
      <c r="G112" s="728">
        <v>20</v>
      </c>
      <c r="H112" s="728">
        <v>14</v>
      </c>
      <c r="I112" s="728">
        <f>G112*H112</f>
        <v>280</v>
      </c>
      <c r="J112" s="605"/>
      <c r="K112" s="697">
        <f>F112*I112</f>
        <v>196</v>
      </c>
      <c r="L112" s="605"/>
      <c r="M112" s="605"/>
      <c r="N112" s="729"/>
    </row>
    <row r="113" spans="2:14">
      <c r="B113" s="727"/>
      <c r="C113" s="606"/>
      <c r="D113" s="606"/>
      <c r="E113" s="606">
        <v>14</v>
      </c>
      <c r="F113" s="607">
        <v>3.58</v>
      </c>
      <c r="G113" s="728">
        <v>4</v>
      </c>
      <c r="H113" s="728">
        <v>4</v>
      </c>
      <c r="I113" s="728">
        <f t="shared" ref="I113:I121" si="8">G113*H113</f>
        <v>16</v>
      </c>
      <c r="J113" s="605"/>
      <c r="K113" s="697"/>
      <c r="L113" s="605"/>
      <c r="M113" s="605"/>
      <c r="N113" s="730">
        <f>F113*I113</f>
        <v>57.28</v>
      </c>
    </row>
    <row r="114" spans="2:14">
      <c r="B114" s="727"/>
      <c r="C114" s="606"/>
      <c r="D114" s="606"/>
      <c r="E114" s="606">
        <v>8</v>
      </c>
      <c r="F114" s="607">
        <v>0.7</v>
      </c>
      <c r="G114" s="728">
        <v>4</v>
      </c>
      <c r="H114" s="728">
        <v>14</v>
      </c>
      <c r="I114" s="728">
        <f t="shared" si="8"/>
        <v>56</v>
      </c>
      <c r="J114" s="605"/>
      <c r="K114" s="697">
        <f>F114*I114</f>
        <v>39.199999999999996</v>
      </c>
      <c r="L114" s="605"/>
      <c r="M114" s="605"/>
      <c r="N114" s="729"/>
    </row>
    <row r="115" spans="2:14">
      <c r="B115" s="727">
        <v>2</v>
      </c>
      <c r="C115" s="604" t="s">
        <v>339</v>
      </c>
      <c r="D115" s="606"/>
      <c r="E115" s="606">
        <v>12</v>
      </c>
      <c r="F115" s="607">
        <v>11.85</v>
      </c>
      <c r="G115" s="728">
        <v>2</v>
      </c>
      <c r="H115" s="728">
        <v>4</v>
      </c>
      <c r="I115" s="728">
        <f t="shared" si="8"/>
        <v>8</v>
      </c>
      <c r="J115" s="605"/>
      <c r="K115" s="605"/>
      <c r="L115" s="605"/>
      <c r="M115" s="233">
        <f t="shared" ref="M115:M120" si="9">F115*I115</f>
        <v>94.8</v>
      </c>
      <c r="N115" s="729"/>
    </row>
    <row r="116" spans="2:14">
      <c r="B116" s="727"/>
      <c r="C116" s="604"/>
      <c r="D116" s="606"/>
      <c r="E116" s="606">
        <v>12</v>
      </c>
      <c r="F116" s="607">
        <v>8.4</v>
      </c>
      <c r="G116" s="728">
        <v>2</v>
      </c>
      <c r="H116" s="728">
        <v>3</v>
      </c>
      <c r="I116" s="728">
        <f t="shared" si="8"/>
        <v>6</v>
      </c>
      <c r="J116" s="605"/>
      <c r="K116" s="605"/>
      <c r="L116" s="605"/>
      <c r="M116" s="233">
        <f t="shared" si="9"/>
        <v>50.400000000000006</v>
      </c>
      <c r="N116" s="731"/>
    </row>
    <row r="117" spans="2:14">
      <c r="B117" s="599"/>
      <c r="C117" s="732"/>
      <c r="D117" s="605"/>
      <c r="E117" s="606">
        <v>12</v>
      </c>
      <c r="F117" s="607">
        <v>4.8499999999999996</v>
      </c>
      <c r="G117" s="728">
        <v>2</v>
      </c>
      <c r="H117" s="728">
        <v>3</v>
      </c>
      <c r="I117" s="728">
        <f t="shared" si="8"/>
        <v>6</v>
      </c>
      <c r="J117" s="604"/>
      <c r="K117" s="233"/>
      <c r="L117" s="233"/>
      <c r="M117" s="233">
        <f t="shared" si="9"/>
        <v>29.099999999999998</v>
      </c>
      <c r="N117" s="731"/>
    </row>
    <row r="118" spans="2:14">
      <c r="B118" s="599"/>
      <c r="C118" s="604"/>
      <c r="D118" s="605"/>
      <c r="E118" s="606">
        <v>12</v>
      </c>
      <c r="F118" s="607">
        <v>11.35</v>
      </c>
      <c r="G118" s="728">
        <v>2</v>
      </c>
      <c r="H118" s="728">
        <v>3</v>
      </c>
      <c r="I118" s="728">
        <f t="shared" si="8"/>
        <v>6</v>
      </c>
      <c r="J118" s="604"/>
      <c r="K118" s="697"/>
      <c r="L118" s="233"/>
      <c r="M118" s="233">
        <f t="shared" si="9"/>
        <v>68.099999999999994</v>
      </c>
      <c r="N118" s="733"/>
    </row>
    <row r="119" spans="2:14">
      <c r="B119" s="599"/>
      <c r="C119" s="604"/>
      <c r="D119" s="605"/>
      <c r="E119" s="606">
        <v>12</v>
      </c>
      <c r="F119" s="607">
        <v>7.5</v>
      </c>
      <c r="G119" s="728">
        <v>2</v>
      </c>
      <c r="H119" s="728">
        <v>3</v>
      </c>
      <c r="I119" s="728">
        <f t="shared" si="8"/>
        <v>6</v>
      </c>
      <c r="J119" s="604"/>
      <c r="K119" s="697"/>
      <c r="L119" s="233"/>
      <c r="M119" s="233">
        <f t="shared" si="9"/>
        <v>45</v>
      </c>
      <c r="N119" s="733"/>
    </row>
    <row r="120" spans="2:14">
      <c r="B120" s="599"/>
      <c r="C120" s="604"/>
      <c r="D120" s="605"/>
      <c r="E120" s="606">
        <v>12</v>
      </c>
      <c r="F120" s="607">
        <v>6.7</v>
      </c>
      <c r="G120" s="728">
        <v>2</v>
      </c>
      <c r="H120" s="728">
        <v>3</v>
      </c>
      <c r="I120" s="728">
        <f t="shared" si="8"/>
        <v>6</v>
      </c>
      <c r="J120" s="604"/>
      <c r="K120" s="697"/>
      <c r="L120" s="233"/>
      <c r="M120" s="233">
        <f t="shared" si="9"/>
        <v>40.200000000000003</v>
      </c>
      <c r="N120" s="733"/>
    </row>
    <row r="121" spans="2:14">
      <c r="B121" s="599"/>
      <c r="C121" s="604"/>
      <c r="D121" s="605"/>
      <c r="E121" s="606">
        <v>8</v>
      </c>
      <c r="F121" s="607">
        <v>0.9</v>
      </c>
      <c r="G121" s="728">
        <v>2</v>
      </c>
      <c r="H121" s="728">
        <v>117</v>
      </c>
      <c r="I121" s="728">
        <f t="shared" si="8"/>
        <v>234</v>
      </c>
      <c r="J121" s="604"/>
      <c r="K121" s="697">
        <f>I121*F121</f>
        <v>210.6</v>
      </c>
      <c r="L121" s="233"/>
      <c r="M121" s="233"/>
      <c r="N121" s="734"/>
    </row>
    <row r="122" spans="2:14">
      <c r="B122" s="599">
        <v>3</v>
      </c>
      <c r="C122" s="604" t="s">
        <v>340</v>
      </c>
      <c r="D122" s="605"/>
      <c r="E122" s="606">
        <v>12</v>
      </c>
      <c r="F122" s="607">
        <v>11.85</v>
      </c>
      <c r="G122" s="728">
        <v>2</v>
      </c>
      <c r="H122" s="728">
        <v>3</v>
      </c>
      <c r="I122" s="728">
        <f>G122*H122</f>
        <v>6</v>
      </c>
      <c r="J122" s="605"/>
      <c r="K122" s="605"/>
      <c r="L122" s="605"/>
      <c r="M122" s="233">
        <f t="shared" ref="M122:M127" si="10">F122*I122</f>
        <v>71.099999999999994</v>
      </c>
      <c r="N122" s="734"/>
    </row>
    <row r="123" spans="2:14">
      <c r="B123" s="599"/>
      <c r="C123" s="604"/>
      <c r="D123" s="605"/>
      <c r="E123" s="606">
        <v>12</v>
      </c>
      <c r="F123" s="607">
        <v>8.4</v>
      </c>
      <c r="G123" s="728">
        <v>2</v>
      </c>
      <c r="H123" s="728">
        <v>3</v>
      </c>
      <c r="I123" s="728">
        <f t="shared" ref="I123:I146" si="11">G123*H123</f>
        <v>6</v>
      </c>
      <c r="J123" s="605"/>
      <c r="K123" s="605"/>
      <c r="L123" s="605"/>
      <c r="M123" s="233">
        <f t="shared" si="10"/>
        <v>50.400000000000006</v>
      </c>
      <c r="N123" s="731"/>
    </row>
    <row r="124" spans="2:14">
      <c r="B124" s="599"/>
      <c r="C124" s="604"/>
      <c r="D124" s="605"/>
      <c r="E124" s="606">
        <v>12</v>
      </c>
      <c r="F124" s="607">
        <v>4.8499999999999996</v>
      </c>
      <c r="G124" s="728">
        <v>2</v>
      </c>
      <c r="H124" s="728">
        <v>3</v>
      </c>
      <c r="I124" s="728">
        <f t="shared" si="11"/>
        <v>6</v>
      </c>
      <c r="J124" s="604"/>
      <c r="K124" s="233"/>
      <c r="L124" s="233"/>
      <c r="M124" s="233">
        <f t="shared" si="10"/>
        <v>29.099999999999998</v>
      </c>
      <c r="N124" s="731"/>
    </row>
    <row r="125" spans="2:14">
      <c r="B125" s="599"/>
      <c r="C125" s="604"/>
      <c r="D125" s="605"/>
      <c r="E125" s="606">
        <v>12</v>
      </c>
      <c r="F125" s="607">
        <v>11.35</v>
      </c>
      <c r="G125" s="728">
        <v>2</v>
      </c>
      <c r="H125" s="728">
        <v>3</v>
      </c>
      <c r="I125" s="728">
        <f t="shared" si="11"/>
        <v>6</v>
      </c>
      <c r="J125" s="604"/>
      <c r="K125" s="697"/>
      <c r="L125" s="233"/>
      <c r="M125" s="233">
        <f t="shared" si="10"/>
        <v>68.099999999999994</v>
      </c>
      <c r="N125" s="731"/>
    </row>
    <row r="126" spans="2:14">
      <c r="B126" s="599"/>
      <c r="C126" s="604"/>
      <c r="D126" s="605"/>
      <c r="E126" s="606">
        <v>12</v>
      </c>
      <c r="F126" s="607">
        <v>7.5</v>
      </c>
      <c r="G126" s="728">
        <v>2</v>
      </c>
      <c r="H126" s="728">
        <v>3</v>
      </c>
      <c r="I126" s="728">
        <f t="shared" si="11"/>
        <v>6</v>
      </c>
      <c r="J126" s="604"/>
      <c r="K126" s="697"/>
      <c r="L126" s="233"/>
      <c r="M126" s="233">
        <f t="shared" si="10"/>
        <v>45</v>
      </c>
      <c r="N126" s="731"/>
    </row>
    <row r="127" spans="2:14">
      <c r="B127" s="599"/>
      <c r="C127" s="604"/>
      <c r="D127" s="605"/>
      <c r="E127" s="606">
        <v>12</v>
      </c>
      <c r="F127" s="607">
        <v>6.7</v>
      </c>
      <c r="G127" s="728">
        <v>2</v>
      </c>
      <c r="H127" s="728">
        <v>3</v>
      </c>
      <c r="I127" s="728">
        <f t="shared" si="11"/>
        <v>6</v>
      </c>
      <c r="J127" s="604"/>
      <c r="K127" s="697"/>
      <c r="L127" s="233"/>
      <c r="M127" s="233">
        <f t="shared" si="10"/>
        <v>40.200000000000003</v>
      </c>
      <c r="N127" s="731"/>
    </row>
    <row r="128" spans="2:14">
      <c r="B128" s="599"/>
      <c r="C128" s="604"/>
      <c r="D128" s="605"/>
      <c r="E128" s="606">
        <v>8</v>
      </c>
      <c r="F128" s="607">
        <v>0.9</v>
      </c>
      <c r="G128" s="728">
        <v>2</v>
      </c>
      <c r="H128" s="728">
        <v>117</v>
      </c>
      <c r="I128" s="728">
        <f t="shared" si="11"/>
        <v>234</v>
      </c>
      <c r="J128" s="604"/>
      <c r="K128" s="697">
        <f>I128*F128</f>
        <v>210.6</v>
      </c>
      <c r="L128" s="233"/>
      <c r="M128" s="233"/>
      <c r="N128" s="731"/>
    </row>
    <row r="129" spans="2:14">
      <c r="B129" s="599">
        <v>4</v>
      </c>
      <c r="C129" s="604" t="s">
        <v>341</v>
      </c>
      <c r="D129" s="605"/>
      <c r="E129" s="606">
        <v>12</v>
      </c>
      <c r="F129" s="607">
        <v>11.8</v>
      </c>
      <c r="G129" s="728">
        <v>2</v>
      </c>
      <c r="H129" s="728">
        <v>3</v>
      </c>
      <c r="I129" s="728">
        <f t="shared" si="11"/>
        <v>6</v>
      </c>
      <c r="J129" s="604"/>
      <c r="K129" s="697"/>
      <c r="L129" s="233"/>
      <c r="M129" s="233">
        <f>F129*I129</f>
        <v>70.800000000000011</v>
      </c>
      <c r="N129" s="731"/>
    </row>
    <row r="130" spans="2:14">
      <c r="B130" s="599"/>
      <c r="C130" s="604"/>
      <c r="D130" s="605"/>
      <c r="E130" s="606">
        <v>12</v>
      </c>
      <c r="F130" s="607">
        <v>11.4</v>
      </c>
      <c r="G130" s="728">
        <v>2</v>
      </c>
      <c r="H130" s="728">
        <v>3</v>
      </c>
      <c r="I130" s="728">
        <f t="shared" si="11"/>
        <v>6</v>
      </c>
      <c r="J130" s="604"/>
      <c r="K130" s="697"/>
      <c r="L130" s="233"/>
      <c r="M130" s="233">
        <f>F130*I130</f>
        <v>68.400000000000006</v>
      </c>
      <c r="N130" s="733"/>
    </row>
    <row r="131" spans="2:14">
      <c r="B131" s="599"/>
      <c r="C131" s="604"/>
      <c r="D131" s="605"/>
      <c r="E131" s="606">
        <v>8</v>
      </c>
      <c r="F131" s="607">
        <v>0.9</v>
      </c>
      <c r="G131" s="728">
        <v>2</v>
      </c>
      <c r="H131" s="728">
        <v>55</v>
      </c>
      <c r="I131" s="728">
        <f t="shared" si="11"/>
        <v>110</v>
      </c>
      <c r="J131" s="605"/>
      <c r="K131" s="697">
        <f>I131*F131</f>
        <v>99</v>
      </c>
      <c r="L131" s="233"/>
      <c r="M131" s="233"/>
      <c r="N131" s="733"/>
    </row>
    <row r="132" spans="2:14">
      <c r="B132" s="599">
        <v>5</v>
      </c>
      <c r="C132" s="604" t="s">
        <v>342</v>
      </c>
      <c r="D132" s="605"/>
      <c r="E132" s="606">
        <v>12</v>
      </c>
      <c r="F132" s="607">
        <v>11.8</v>
      </c>
      <c r="G132" s="728">
        <v>4</v>
      </c>
      <c r="H132" s="728">
        <v>3</v>
      </c>
      <c r="I132" s="728">
        <f t="shared" si="11"/>
        <v>12</v>
      </c>
      <c r="J132" s="604"/>
      <c r="K132" s="697"/>
      <c r="L132" s="233"/>
      <c r="M132" s="233">
        <f>F132*I132</f>
        <v>141.60000000000002</v>
      </c>
      <c r="N132" s="731"/>
    </row>
    <row r="133" spans="2:14">
      <c r="B133" s="599"/>
      <c r="C133" s="604"/>
      <c r="D133" s="605"/>
      <c r="E133" s="606">
        <v>12</v>
      </c>
      <c r="F133" s="607">
        <v>11.4</v>
      </c>
      <c r="G133" s="728">
        <v>4</v>
      </c>
      <c r="H133" s="728">
        <v>3</v>
      </c>
      <c r="I133" s="728">
        <f t="shared" si="11"/>
        <v>12</v>
      </c>
      <c r="J133" s="604"/>
      <c r="K133" s="697"/>
      <c r="L133" s="233"/>
      <c r="M133" s="233">
        <f>F133*I133</f>
        <v>136.80000000000001</v>
      </c>
      <c r="N133" s="731"/>
    </row>
    <row r="134" spans="2:14">
      <c r="B134" s="599"/>
      <c r="C134" s="604"/>
      <c r="D134" s="605"/>
      <c r="E134" s="606">
        <v>8</v>
      </c>
      <c r="F134" s="607">
        <v>0.9</v>
      </c>
      <c r="G134" s="728">
        <v>4</v>
      </c>
      <c r="H134" s="728">
        <v>55</v>
      </c>
      <c r="I134" s="728">
        <f t="shared" si="11"/>
        <v>220</v>
      </c>
      <c r="J134" s="605"/>
      <c r="K134" s="697">
        <f>I134*F134</f>
        <v>198</v>
      </c>
      <c r="L134" s="233"/>
      <c r="M134" s="233"/>
      <c r="N134" s="733"/>
    </row>
    <row r="135" spans="2:14">
      <c r="B135" s="599">
        <v>8</v>
      </c>
      <c r="C135" s="604" t="s">
        <v>876</v>
      </c>
      <c r="D135" s="605"/>
      <c r="E135" s="606">
        <v>12</v>
      </c>
      <c r="F135" s="607">
        <v>1.45</v>
      </c>
      <c r="G135" s="728">
        <v>3</v>
      </c>
      <c r="H135" s="728">
        <v>2</v>
      </c>
      <c r="I135" s="728">
        <f t="shared" si="11"/>
        <v>6</v>
      </c>
      <c r="J135" s="604"/>
      <c r="K135" s="697"/>
      <c r="L135" s="238"/>
      <c r="M135" s="697">
        <f>I135*F135</f>
        <v>8.6999999999999993</v>
      </c>
      <c r="N135" s="735"/>
    </row>
    <row r="136" spans="2:14">
      <c r="B136" s="599"/>
      <c r="C136" s="604"/>
      <c r="D136" s="605"/>
      <c r="E136" s="606">
        <v>12</v>
      </c>
      <c r="F136" s="607">
        <v>1.1499999999999999</v>
      </c>
      <c r="G136" s="728">
        <v>3</v>
      </c>
      <c r="H136" s="728">
        <v>2</v>
      </c>
      <c r="I136" s="728">
        <f t="shared" si="11"/>
        <v>6</v>
      </c>
      <c r="J136" s="604"/>
      <c r="K136" s="697"/>
      <c r="L136" s="238"/>
      <c r="M136" s="697">
        <f>I136*F136</f>
        <v>6.8999999999999995</v>
      </c>
      <c r="N136" s="735"/>
    </row>
    <row r="137" spans="2:14">
      <c r="B137" s="599"/>
      <c r="C137" s="604"/>
      <c r="D137" s="605"/>
      <c r="E137" s="606">
        <v>8</v>
      </c>
      <c r="F137" s="607">
        <v>0.6</v>
      </c>
      <c r="G137" s="728">
        <v>3</v>
      </c>
      <c r="H137" s="728">
        <v>7</v>
      </c>
      <c r="I137" s="728">
        <f t="shared" si="11"/>
        <v>21</v>
      </c>
      <c r="J137" s="604"/>
      <c r="K137" s="697">
        <f>I137*F137</f>
        <v>12.6</v>
      </c>
      <c r="L137" s="238"/>
      <c r="M137" s="697"/>
      <c r="N137" s="735"/>
    </row>
    <row r="138" spans="2:14">
      <c r="B138" s="599">
        <v>9</v>
      </c>
      <c r="C138" s="604" t="s">
        <v>190</v>
      </c>
      <c r="D138" s="605"/>
      <c r="E138" s="606">
        <v>12</v>
      </c>
      <c r="F138" s="607">
        <v>2.15</v>
      </c>
      <c r="G138" s="728">
        <v>2</v>
      </c>
      <c r="H138" s="728">
        <v>2</v>
      </c>
      <c r="I138" s="728">
        <f t="shared" si="11"/>
        <v>4</v>
      </c>
      <c r="J138" s="604"/>
      <c r="K138" s="697"/>
      <c r="L138" s="238"/>
      <c r="M138" s="697">
        <f>I138*F138</f>
        <v>8.6</v>
      </c>
      <c r="N138" s="735"/>
    </row>
    <row r="139" spans="2:14">
      <c r="B139" s="599"/>
      <c r="C139" s="604"/>
      <c r="D139" s="605"/>
      <c r="E139" s="606">
        <v>12</v>
      </c>
      <c r="F139" s="607">
        <v>1.85</v>
      </c>
      <c r="G139" s="728">
        <v>2</v>
      </c>
      <c r="H139" s="728">
        <v>2</v>
      </c>
      <c r="I139" s="728">
        <f t="shared" si="11"/>
        <v>4</v>
      </c>
      <c r="J139" s="604"/>
      <c r="K139" s="697"/>
      <c r="L139" s="238"/>
      <c r="M139" s="697">
        <f>I139*F139</f>
        <v>7.4</v>
      </c>
      <c r="N139" s="735"/>
    </row>
    <row r="140" spans="2:14">
      <c r="B140" s="599"/>
      <c r="C140" s="604"/>
      <c r="D140" s="605"/>
      <c r="E140" s="606">
        <v>8</v>
      </c>
      <c r="F140" s="607">
        <v>0.5</v>
      </c>
      <c r="G140" s="728">
        <v>2</v>
      </c>
      <c r="H140" s="728">
        <v>10</v>
      </c>
      <c r="I140" s="728">
        <f t="shared" si="11"/>
        <v>20</v>
      </c>
      <c r="J140" s="604"/>
      <c r="K140" s="697">
        <f>I140*F140</f>
        <v>10</v>
      </c>
      <c r="L140" s="238"/>
      <c r="M140" s="697"/>
      <c r="N140" s="735"/>
    </row>
    <row r="141" spans="2:14">
      <c r="B141" s="599">
        <v>10</v>
      </c>
      <c r="C141" s="604" t="s">
        <v>190</v>
      </c>
      <c r="D141" s="605"/>
      <c r="E141" s="606">
        <v>12</v>
      </c>
      <c r="F141" s="607">
        <v>1.35</v>
      </c>
      <c r="G141" s="728">
        <v>1</v>
      </c>
      <c r="H141" s="728">
        <v>2</v>
      </c>
      <c r="I141" s="728">
        <f t="shared" si="11"/>
        <v>2</v>
      </c>
      <c r="J141" s="605"/>
      <c r="K141" s="697"/>
      <c r="L141" s="238"/>
      <c r="M141" s="697">
        <f>I141*F141</f>
        <v>2.7</v>
      </c>
      <c r="N141" s="735"/>
    </row>
    <row r="142" spans="2:14">
      <c r="B142" s="599"/>
      <c r="C142" s="604"/>
      <c r="D142" s="605"/>
      <c r="E142" s="606">
        <v>12</v>
      </c>
      <c r="F142" s="607">
        <v>1.05</v>
      </c>
      <c r="G142" s="728">
        <v>1</v>
      </c>
      <c r="H142" s="728">
        <v>2</v>
      </c>
      <c r="I142" s="728">
        <f t="shared" si="11"/>
        <v>2</v>
      </c>
      <c r="J142" s="605"/>
      <c r="K142" s="697"/>
      <c r="L142" s="238"/>
      <c r="M142" s="697">
        <f>I142*F142</f>
        <v>2.1</v>
      </c>
      <c r="N142" s="735"/>
    </row>
    <row r="143" spans="2:14">
      <c r="B143" s="599"/>
      <c r="C143" s="604"/>
      <c r="D143" s="605"/>
      <c r="E143" s="606">
        <v>8</v>
      </c>
      <c r="F143" s="607">
        <v>0.6</v>
      </c>
      <c r="G143" s="728">
        <v>1</v>
      </c>
      <c r="H143" s="728">
        <v>6</v>
      </c>
      <c r="I143" s="728">
        <f t="shared" si="11"/>
        <v>6</v>
      </c>
      <c r="J143" s="604"/>
      <c r="K143" s="697">
        <f>I143*F143</f>
        <v>3.5999999999999996</v>
      </c>
      <c r="L143" s="697"/>
      <c r="M143" s="233"/>
      <c r="N143" s="735"/>
    </row>
    <row r="144" spans="2:14">
      <c r="B144" s="599">
        <v>10</v>
      </c>
      <c r="C144" s="604" t="s">
        <v>362</v>
      </c>
      <c r="D144" s="605"/>
      <c r="E144" s="606">
        <v>12</v>
      </c>
      <c r="F144" s="607">
        <v>1.9</v>
      </c>
      <c r="G144" s="728">
        <v>1</v>
      </c>
      <c r="H144" s="728">
        <v>2</v>
      </c>
      <c r="I144" s="728">
        <f t="shared" si="11"/>
        <v>2</v>
      </c>
      <c r="J144" s="605"/>
      <c r="K144" s="697"/>
      <c r="L144" s="238"/>
      <c r="M144" s="697">
        <f>I144*F144</f>
        <v>3.8</v>
      </c>
      <c r="N144" s="735"/>
    </row>
    <row r="145" spans="2:14">
      <c r="B145" s="599"/>
      <c r="C145" s="604"/>
      <c r="D145" s="605"/>
      <c r="E145" s="606">
        <v>12</v>
      </c>
      <c r="F145" s="607">
        <v>1.6</v>
      </c>
      <c r="G145" s="728">
        <v>1</v>
      </c>
      <c r="H145" s="728">
        <v>2</v>
      </c>
      <c r="I145" s="728">
        <f t="shared" si="11"/>
        <v>2</v>
      </c>
      <c r="J145" s="605"/>
      <c r="K145" s="697"/>
      <c r="L145" s="238"/>
      <c r="M145" s="697">
        <f>I145*F145</f>
        <v>3.2</v>
      </c>
      <c r="N145" s="735"/>
    </row>
    <row r="146" spans="2:14" ht="19.5" thickBot="1">
      <c r="B146" s="610"/>
      <c r="C146" s="611"/>
      <c r="D146" s="588"/>
      <c r="E146" s="612">
        <v>8</v>
      </c>
      <c r="F146" s="613">
        <v>0.6</v>
      </c>
      <c r="G146" s="736">
        <v>1</v>
      </c>
      <c r="H146" s="736">
        <v>8</v>
      </c>
      <c r="I146" s="736">
        <f t="shared" si="11"/>
        <v>8</v>
      </c>
      <c r="J146" s="611"/>
      <c r="K146" s="707">
        <f>I146*F146</f>
        <v>4.8</v>
      </c>
      <c r="L146" s="707"/>
      <c r="M146" s="615"/>
      <c r="N146" s="737"/>
    </row>
    <row r="147" spans="2:14" ht="19.5" thickTop="1">
      <c r="B147" s="617"/>
      <c r="C147" s="584"/>
      <c r="D147" s="584"/>
      <c r="E147" s="584"/>
      <c r="F147" s="2194" t="s">
        <v>301</v>
      </c>
      <c r="G147" s="2194"/>
      <c r="H147" s="2194"/>
      <c r="I147" s="2195"/>
      <c r="J147" s="738"/>
      <c r="K147" s="712">
        <f>SUM(K111:K146)</f>
        <v>984.4</v>
      </c>
      <c r="L147" s="712">
        <f>SUM(L111:L146)</f>
        <v>0</v>
      </c>
      <c r="M147" s="712">
        <f>SUM(M111:M146)</f>
        <v>1378.9000000000003</v>
      </c>
      <c r="N147" s="739">
        <f>SUM(N111:N134)</f>
        <v>57.28</v>
      </c>
    </row>
    <row r="148" spans="2:14">
      <c r="B148" s="619"/>
      <c r="C148" s="620"/>
      <c r="D148" s="620"/>
      <c r="E148" s="620"/>
      <c r="F148" s="620" t="s">
        <v>302</v>
      </c>
      <c r="G148" s="620"/>
      <c r="H148" s="620"/>
      <c r="I148" s="740"/>
      <c r="J148" s="741"/>
      <c r="K148" s="622" t="s">
        <v>303</v>
      </c>
      <c r="L148" s="623" t="s">
        <v>304</v>
      </c>
      <c r="M148" s="624">
        <v>0.88800000000000001</v>
      </c>
      <c r="N148" s="625" t="s">
        <v>306</v>
      </c>
    </row>
    <row r="149" spans="2:14" ht="19.5" thickBot="1">
      <c r="B149" s="626"/>
      <c r="C149" s="627"/>
      <c r="D149" s="627"/>
      <c r="E149" s="627"/>
      <c r="F149" s="627" t="s">
        <v>307</v>
      </c>
      <c r="G149" s="627"/>
      <c r="H149" s="627"/>
      <c r="I149" s="742"/>
      <c r="J149" s="743"/>
      <c r="K149" s="629">
        <f>K147*K148</f>
        <v>388.83800000000002</v>
      </c>
      <c r="L149" s="629">
        <f>L147*L148</f>
        <v>0</v>
      </c>
      <c r="M149" s="629">
        <f>M147*M148</f>
        <v>1224.4632000000004</v>
      </c>
      <c r="N149" s="630">
        <f>N147*N148</f>
        <v>69.308800000000005</v>
      </c>
    </row>
    <row r="150" spans="2:14" ht="19.5" thickTop="1">
      <c r="B150" s="631"/>
      <c r="C150" s="744"/>
      <c r="D150" s="631"/>
      <c r="E150" s="631"/>
      <c r="F150" s="631"/>
      <c r="G150" s="631"/>
      <c r="H150" s="631"/>
      <c r="I150" s="631"/>
      <c r="J150" s="631"/>
      <c r="K150" s="631"/>
      <c r="L150" s="2200"/>
      <c r="M150" s="2200"/>
      <c r="N150" s="631"/>
    </row>
    <row r="151" spans="2:14">
      <c r="B151" s="2184" t="s">
        <v>1257</v>
      </c>
      <c r="C151" s="2184"/>
      <c r="D151" s="2184"/>
      <c r="E151" s="2184"/>
      <c r="F151" s="2184"/>
      <c r="G151" s="2184"/>
      <c r="H151" s="105"/>
      <c r="I151" s="577"/>
      <c r="L151" s="2178" t="s">
        <v>1206</v>
      </c>
      <c r="M151" s="2178"/>
      <c r="N151" s="2178"/>
    </row>
    <row r="152" spans="2:14">
      <c r="B152" s="2184" t="s">
        <v>1208</v>
      </c>
      <c r="C152" s="2184"/>
      <c r="D152" s="2184"/>
      <c r="E152" s="2184"/>
      <c r="F152" s="2184"/>
      <c r="G152" s="2184"/>
      <c r="H152" s="105"/>
      <c r="I152" s="577"/>
      <c r="L152" s="2178" t="s">
        <v>1265</v>
      </c>
      <c r="M152" s="2178"/>
      <c r="N152" s="2178"/>
    </row>
    <row r="153" spans="2:14">
      <c r="B153" s="2184" t="s">
        <v>1258</v>
      </c>
      <c r="C153" s="2184"/>
      <c r="D153" s="2184"/>
      <c r="E153" s="2184"/>
      <c r="F153" s="2184"/>
      <c r="G153" s="2184"/>
      <c r="H153" s="105"/>
      <c r="I153" s="577"/>
      <c r="L153" s="2178" t="s">
        <v>1280</v>
      </c>
      <c r="M153" s="2178"/>
      <c r="N153" s="2178"/>
    </row>
    <row r="154" spans="2:14" ht="19.5" thickBot="1">
      <c r="B154" s="2184" t="s">
        <v>1209</v>
      </c>
      <c r="C154" s="2184"/>
      <c r="D154" s="2184"/>
      <c r="E154" s="2184"/>
      <c r="F154" s="2184"/>
      <c r="G154" s="2184"/>
      <c r="H154" s="105"/>
      <c r="I154" s="105"/>
      <c r="J154" s="580"/>
      <c r="K154" s="580"/>
      <c r="L154" s="580"/>
      <c r="M154" s="580"/>
      <c r="N154" s="581"/>
    </row>
    <row r="155" spans="2:14" ht="19.5" thickTop="1">
      <c r="B155" s="2187" t="s">
        <v>4</v>
      </c>
      <c r="C155" s="2196" t="s">
        <v>293</v>
      </c>
      <c r="D155" s="2196" t="s">
        <v>309</v>
      </c>
      <c r="E155" s="2196" t="s">
        <v>310</v>
      </c>
      <c r="F155" s="596" t="s">
        <v>295</v>
      </c>
      <c r="G155" s="2196" t="s">
        <v>311</v>
      </c>
      <c r="H155" s="2196"/>
      <c r="I155" s="2196"/>
      <c r="J155" s="594"/>
      <c r="K155" s="596" t="s">
        <v>312</v>
      </c>
      <c r="L155" s="596"/>
      <c r="M155" s="596"/>
      <c r="N155" s="745"/>
    </row>
    <row r="156" spans="2:14" ht="19.5" thickBot="1">
      <c r="B156" s="2188"/>
      <c r="C156" s="2197"/>
      <c r="D156" s="2197"/>
      <c r="E156" s="2197"/>
      <c r="F156" s="612" t="s">
        <v>313</v>
      </c>
      <c r="G156" s="588" t="s">
        <v>314</v>
      </c>
      <c r="H156" s="588" t="s">
        <v>315</v>
      </c>
      <c r="I156" s="588" t="s">
        <v>316</v>
      </c>
      <c r="J156" s="588" t="s">
        <v>317</v>
      </c>
      <c r="K156" s="588" t="s">
        <v>318</v>
      </c>
      <c r="L156" s="588" t="s">
        <v>319</v>
      </c>
      <c r="M156" s="588" t="s">
        <v>320</v>
      </c>
      <c r="N156" s="591" t="s">
        <v>321</v>
      </c>
    </row>
    <row r="157" spans="2:14" ht="19.5" thickTop="1">
      <c r="B157" s="727"/>
      <c r="C157" s="1179" t="s">
        <v>1910</v>
      </c>
      <c r="D157" s="1180" t="s">
        <v>3073</v>
      </c>
      <c r="E157" s="1165"/>
      <c r="F157" s="1165"/>
      <c r="G157" s="1165"/>
      <c r="H157" s="1165"/>
      <c r="I157" s="606">
        <f>H162*G157</f>
        <v>0</v>
      </c>
      <c r="J157" s="717" t="str">
        <f>IF(E157=6,I157*F157,"-")</f>
        <v>-</v>
      </c>
      <c r="K157" s="717" t="str">
        <f>IF(E157=8,I157*F157,"-")</f>
        <v>-</v>
      </c>
      <c r="L157" s="717" t="str">
        <f>IF(E157=10,I157*F157,"-")</f>
        <v>-</v>
      </c>
      <c r="M157" s="746" t="str">
        <f t="shared" ref="M157:M164" si="12">IF(E157=12,I157*F157, "-")</f>
        <v>-</v>
      </c>
      <c r="N157" s="731" t="str">
        <f t="shared" ref="N157:N164" si="13">IF(E157=14,I157*F157,"-")</f>
        <v>-</v>
      </c>
    </row>
    <row r="158" spans="2:14">
      <c r="B158" s="727"/>
      <c r="C158" s="1181"/>
      <c r="D158" s="1166"/>
      <c r="E158" s="1182">
        <v>14</v>
      </c>
      <c r="F158" s="1182">
        <v>10.28</v>
      </c>
      <c r="G158" s="1182">
        <v>3</v>
      </c>
      <c r="H158" s="1182">
        <v>4</v>
      </c>
      <c r="I158" s="606">
        <f t="shared" ref="I158:I164" si="14">H158*G158</f>
        <v>12</v>
      </c>
      <c r="J158" s="717" t="str">
        <f>IF(E158=6,I158*F158,"-")</f>
        <v>-</v>
      </c>
      <c r="K158" s="717" t="str">
        <f>IF(E158=8,I158*F158,"-")</f>
        <v>-</v>
      </c>
      <c r="L158" s="717" t="str">
        <f>IF(E158=10,I158*F158,"-")</f>
        <v>-</v>
      </c>
      <c r="M158" s="746" t="str">
        <f t="shared" si="12"/>
        <v>-</v>
      </c>
      <c r="N158" s="731">
        <f t="shared" si="13"/>
        <v>123.35999999999999</v>
      </c>
    </row>
    <row r="159" spans="2:14">
      <c r="B159" s="727"/>
      <c r="C159" s="1181"/>
      <c r="D159" s="1166"/>
      <c r="E159" s="1182">
        <v>14</v>
      </c>
      <c r="F159" s="1182">
        <v>9.58</v>
      </c>
      <c r="G159" s="1182">
        <v>3</v>
      </c>
      <c r="H159" s="1182">
        <v>4</v>
      </c>
      <c r="I159" s="606">
        <f t="shared" si="14"/>
        <v>12</v>
      </c>
      <c r="J159" s="717"/>
      <c r="K159" s="717"/>
      <c r="L159" s="717"/>
      <c r="M159" s="746" t="str">
        <f t="shared" si="12"/>
        <v>-</v>
      </c>
      <c r="N159" s="731">
        <f t="shared" si="13"/>
        <v>114.96000000000001</v>
      </c>
    </row>
    <row r="160" spans="2:14">
      <c r="B160" s="727"/>
      <c r="C160" s="1181"/>
      <c r="D160" s="1166"/>
      <c r="E160" s="1182"/>
      <c r="F160" s="1182"/>
      <c r="G160" s="1182"/>
      <c r="H160" s="1182"/>
      <c r="I160" s="606">
        <f t="shared" si="14"/>
        <v>0</v>
      </c>
      <c r="J160" s="717"/>
      <c r="K160" s="717"/>
      <c r="L160" s="717"/>
      <c r="M160" s="746" t="str">
        <f t="shared" si="12"/>
        <v>-</v>
      </c>
      <c r="N160" s="731" t="str">
        <f t="shared" si="13"/>
        <v>-</v>
      </c>
    </row>
    <row r="161" spans="2:14">
      <c r="B161" s="727"/>
      <c r="C161" s="1181"/>
      <c r="D161" s="1180" t="s">
        <v>3074</v>
      </c>
      <c r="E161" s="1182"/>
      <c r="F161" s="1182"/>
      <c r="G161" s="1182"/>
      <c r="H161" s="1182"/>
      <c r="I161" s="606">
        <f t="shared" si="14"/>
        <v>0</v>
      </c>
      <c r="J161" s="717" t="str">
        <f>IF(E161=6,I161*F161,"-")</f>
        <v>-</v>
      </c>
      <c r="K161" s="717" t="str">
        <f>IF(E161=8,I161*F161,"-")</f>
        <v>-</v>
      </c>
      <c r="L161" s="717" t="str">
        <f>IF(E161=10,I161*F161,"-")</f>
        <v>-</v>
      </c>
      <c r="M161" s="746" t="str">
        <f t="shared" si="12"/>
        <v>-</v>
      </c>
      <c r="N161" s="731" t="str">
        <f t="shared" si="13"/>
        <v>-</v>
      </c>
    </row>
    <row r="162" spans="2:14">
      <c r="B162" s="599"/>
      <c r="C162" s="1181"/>
      <c r="D162" s="1166"/>
      <c r="E162" s="1182">
        <v>14</v>
      </c>
      <c r="F162" s="1182">
        <v>6.93</v>
      </c>
      <c r="G162" s="1182">
        <v>3</v>
      </c>
      <c r="H162" s="1182">
        <v>4</v>
      </c>
      <c r="I162" s="606">
        <f t="shared" si="14"/>
        <v>12</v>
      </c>
      <c r="J162" s="717" t="str">
        <f>IF(E162=6,I162*F162,"-")</f>
        <v>-</v>
      </c>
      <c r="K162" s="717" t="str">
        <f>IF(E162=8,I162*F162,"-")</f>
        <v>-</v>
      </c>
      <c r="L162" s="717" t="str">
        <f>IF(E162=10,I162*F162,"-")</f>
        <v>-</v>
      </c>
      <c r="M162" s="746" t="str">
        <f t="shared" si="12"/>
        <v>-</v>
      </c>
      <c r="N162" s="731">
        <f t="shared" si="13"/>
        <v>83.16</v>
      </c>
    </row>
    <row r="163" spans="2:14">
      <c r="B163" s="599"/>
      <c r="C163" s="1181"/>
      <c r="D163" s="1166"/>
      <c r="E163" s="1182">
        <v>14</v>
      </c>
      <c r="F163" s="1182">
        <v>11.3</v>
      </c>
      <c r="G163" s="1182">
        <v>3</v>
      </c>
      <c r="H163" s="1182">
        <v>4</v>
      </c>
      <c r="I163" s="606">
        <f t="shared" si="14"/>
        <v>12</v>
      </c>
      <c r="J163" s="717" t="str">
        <f>IF(E163=6,I163*F163,"-")</f>
        <v>-</v>
      </c>
      <c r="K163" s="717" t="str">
        <f>IF(E163=8,I163*F163,"-")</f>
        <v>-</v>
      </c>
      <c r="L163" s="717" t="str">
        <f>IF(E163=10,I163*F163,"-")</f>
        <v>-</v>
      </c>
      <c r="M163" s="746" t="str">
        <f t="shared" si="12"/>
        <v>-</v>
      </c>
      <c r="N163" s="731">
        <f t="shared" si="13"/>
        <v>135.60000000000002</v>
      </c>
    </row>
    <row r="164" spans="2:14">
      <c r="B164" s="599"/>
      <c r="C164" s="1181"/>
      <c r="D164" s="1166"/>
      <c r="E164" s="1182">
        <v>14</v>
      </c>
      <c r="F164" s="1182">
        <v>8.4700000000000006</v>
      </c>
      <c r="G164" s="1182">
        <v>3</v>
      </c>
      <c r="H164" s="1182">
        <v>4</v>
      </c>
      <c r="I164" s="606">
        <f t="shared" si="14"/>
        <v>12</v>
      </c>
      <c r="J164" s="717" t="str">
        <f>IF(E164=6,I164*F164,"-")</f>
        <v>-</v>
      </c>
      <c r="K164" s="717" t="str">
        <f>IF(E164=8,I164*F164,"-")</f>
        <v>-</v>
      </c>
      <c r="L164" s="717" t="str">
        <f>IF(E164=10,I164*F164,"-")</f>
        <v>-</v>
      </c>
      <c r="M164" s="746" t="str">
        <f t="shared" si="12"/>
        <v>-</v>
      </c>
      <c r="N164" s="731">
        <f t="shared" si="13"/>
        <v>101.64000000000001</v>
      </c>
    </row>
    <row r="165" spans="2:14">
      <c r="B165" s="599"/>
      <c r="C165" s="1181"/>
      <c r="D165" s="1166"/>
      <c r="E165" s="1182">
        <v>14</v>
      </c>
      <c r="F165" s="1182">
        <v>8.4700000000000006</v>
      </c>
      <c r="G165" s="1182">
        <v>3</v>
      </c>
      <c r="H165" s="1182">
        <v>4</v>
      </c>
      <c r="I165" s="606">
        <f t="shared" ref="I165:I179" si="15">H165*G165</f>
        <v>12</v>
      </c>
      <c r="J165" s="717" t="str">
        <f t="shared" ref="J165:J179" si="16">IF(E165=6,I165*F165,"-")</f>
        <v>-</v>
      </c>
      <c r="K165" s="717" t="str">
        <f t="shared" ref="K165:K179" si="17">IF(E165=8,I165*F165,"-")</f>
        <v>-</v>
      </c>
      <c r="L165" s="717" t="str">
        <f t="shared" ref="L165:L179" si="18">IF(E165=10,I165*F165,"-")</f>
        <v>-</v>
      </c>
      <c r="M165" s="746" t="str">
        <f t="shared" ref="M165:M179" si="19">IF(E165=12,I165*F165, "-")</f>
        <v>-</v>
      </c>
      <c r="N165" s="731">
        <f t="shared" ref="N165:N179" si="20">IF(E165=14,I165*F165,"-")</f>
        <v>101.64000000000001</v>
      </c>
    </row>
    <row r="166" spans="2:14" ht="23.25">
      <c r="B166" s="599"/>
      <c r="C166" s="1183" t="s">
        <v>3075</v>
      </c>
      <c r="D166" s="1184" t="s">
        <v>3076</v>
      </c>
      <c r="E166" s="1182">
        <v>8</v>
      </c>
      <c r="F166" s="1182">
        <v>1.2</v>
      </c>
      <c r="G166" s="1182">
        <v>49</v>
      </c>
      <c r="H166" s="1182">
        <v>4</v>
      </c>
      <c r="I166" s="606">
        <f t="shared" si="15"/>
        <v>196</v>
      </c>
      <c r="J166" s="717" t="str">
        <f t="shared" si="16"/>
        <v>-</v>
      </c>
      <c r="K166" s="717">
        <f t="shared" si="17"/>
        <v>235.2</v>
      </c>
      <c r="L166" s="717" t="str">
        <f t="shared" si="18"/>
        <v>-</v>
      </c>
      <c r="M166" s="746" t="str">
        <f t="shared" si="19"/>
        <v>-</v>
      </c>
      <c r="N166" s="731" t="str">
        <f t="shared" si="20"/>
        <v>-</v>
      </c>
    </row>
    <row r="167" spans="2:14">
      <c r="B167" s="599"/>
      <c r="C167" s="1181"/>
      <c r="D167" s="1185" t="s">
        <v>2933</v>
      </c>
      <c r="E167" s="1182">
        <v>8</v>
      </c>
      <c r="F167" s="1182">
        <v>1.2</v>
      </c>
      <c r="G167" s="1182">
        <v>84</v>
      </c>
      <c r="H167" s="1182">
        <v>4</v>
      </c>
      <c r="I167" s="606">
        <f t="shared" si="15"/>
        <v>336</v>
      </c>
      <c r="J167" s="717" t="str">
        <f t="shared" si="16"/>
        <v>-</v>
      </c>
      <c r="K167" s="717">
        <f t="shared" si="17"/>
        <v>403.2</v>
      </c>
      <c r="L167" s="717" t="str">
        <f t="shared" si="18"/>
        <v>-</v>
      </c>
      <c r="M167" s="746" t="str">
        <f t="shared" si="19"/>
        <v>-</v>
      </c>
      <c r="N167" s="731" t="str">
        <f t="shared" si="20"/>
        <v>-</v>
      </c>
    </row>
    <row r="168" spans="2:14">
      <c r="B168" s="599"/>
      <c r="C168" s="1181"/>
      <c r="D168" s="1166"/>
      <c r="E168" s="1182"/>
      <c r="F168" s="1182"/>
      <c r="G168" s="1182"/>
      <c r="H168" s="1182"/>
      <c r="I168" s="606">
        <f t="shared" si="15"/>
        <v>0</v>
      </c>
      <c r="J168" s="717" t="str">
        <f t="shared" si="16"/>
        <v>-</v>
      </c>
      <c r="K168" s="717" t="str">
        <f t="shared" si="17"/>
        <v>-</v>
      </c>
      <c r="L168" s="717" t="str">
        <f t="shared" si="18"/>
        <v>-</v>
      </c>
      <c r="M168" s="746" t="str">
        <f t="shared" si="19"/>
        <v>-</v>
      </c>
      <c r="N168" s="731" t="str">
        <f t="shared" si="20"/>
        <v>-</v>
      </c>
    </row>
    <row r="169" spans="2:14">
      <c r="B169" s="599"/>
      <c r="C169" s="1181"/>
      <c r="D169" s="1166"/>
      <c r="E169" s="1182"/>
      <c r="F169" s="1182"/>
      <c r="G169" s="1182"/>
      <c r="H169" s="1182"/>
      <c r="I169" s="606">
        <f t="shared" si="15"/>
        <v>0</v>
      </c>
      <c r="J169" s="717" t="str">
        <f t="shared" si="16"/>
        <v>-</v>
      </c>
      <c r="K169" s="717" t="str">
        <f t="shared" si="17"/>
        <v>-</v>
      </c>
      <c r="L169" s="717" t="str">
        <f t="shared" si="18"/>
        <v>-</v>
      </c>
      <c r="M169" s="746" t="str">
        <f t="shared" si="19"/>
        <v>-</v>
      </c>
      <c r="N169" s="731" t="str">
        <f t="shared" si="20"/>
        <v>-</v>
      </c>
    </row>
    <row r="170" spans="2:14">
      <c r="B170" s="599"/>
      <c r="C170" s="1181" t="s">
        <v>2928</v>
      </c>
      <c r="D170" s="1166"/>
      <c r="E170" s="1182"/>
      <c r="F170" s="1182"/>
      <c r="G170" s="1182"/>
      <c r="H170" s="1182"/>
      <c r="I170" s="606">
        <f t="shared" si="15"/>
        <v>0</v>
      </c>
      <c r="J170" s="717" t="str">
        <f t="shared" si="16"/>
        <v>-</v>
      </c>
      <c r="K170" s="717" t="str">
        <f t="shared" si="17"/>
        <v>-</v>
      </c>
      <c r="L170" s="717" t="str">
        <f t="shared" si="18"/>
        <v>-</v>
      </c>
      <c r="M170" s="746" t="str">
        <f t="shared" si="19"/>
        <v>-</v>
      </c>
      <c r="N170" s="731" t="str">
        <f t="shared" si="20"/>
        <v>-</v>
      </c>
    </row>
    <row r="171" spans="2:14">
      <c r="B171" s="599"/>
      <c r="C171" s="1181"/>
      <c r="D171" s="1166"/>
      <c r="E171" s="1182">
        <v>8</v>
      </c>
      <c r="F171" s="1186">
        <v>5.65</v>
      </c>
      <c r="G171" s="1186">
        <v>46</v>
      </c>
      <c r="H171" s="1182">
        <v>1</v>
      </c>
      <c r="I171" s="606">
        <f t="shared" si="15"/>
        <v>46</v>
      </c>
      <c r="J171" s="717" t="str">
        <f t="shared" si="16"/>
        <v>-</v>
      </c>
      <c r="K171" s="717">
        <f t="shared" si="17"/>
        <v>259.90000000000003</v>
      </c>
      <c r="L171" s="717" t="str">
        <f t="shared" si="18"/>
        <v>-</v>
      </c>
      <c r="M171" s="746" t="str">
        <f t="shared" si="19"/>
        <v>-</v>
      </c>
      <c r="N171" s="731" t="str">
        <f t="shared" si="20"/>
        <v>-</v>
      </c>
    </row>
    <row r="172" spans="2:14">
      <c r="B172" s="599"/>
      <c r="C172" s="1181"/>
      <c r="D172" s="1166"/>
      <c r="E172" s="1182">
        <v>8</v>
      </c>
      <c r="F172" s="1186">
        <v>5.85</v>
      </c>
      <c r="G172" s="1186">
        <v>46</v>
      </c>
      <c r="H172" s="1182">
        <v>1</v>
      </c>
      <c r="I172" s="606">
        <f t="shared" si="15"/>
        <v>46</v>
      </c>
      <c r="J172" s="717" t="str">
        <f t="shared" si="16"/>
        <v>-</v>
      </c>
      <c r="K172" s="717">
        <f t="shared" si="17"/>
        <v>269.09999999999997</v>
      </c>
      <c r="L172" s="717" t="str">
        <f t="shared" si="18"/>
        <v>-</v>
      </c>
      <c r="M172" s="746" t="str">
        <f t="shared" si="19"/>
        <v>-</v>
      </c>
      <c r="N172" s="731" t="str">
        <f t="shared" si="20"/>
        <v>-</v>
      </c>
    </row>
    <row r="173" spans="2:14">
      <c r="B173" s="599"/>
      <c r="C173" s="1181"/>
      <c r="D173" s="1166"/>
      <c r="E173" s="1182">
        <v>8</v>
      </c>
      <c r="F173" s="1186">
        <v>3.75</v>
      </c>
      <c r="G173" s="1186">
        <v>46</v>
      </c>
      <c r="H173" s="1182">
        <v>1</v>
      </c>
      <c r="I173" s="606">
        <f t="shared" si="15"/>
        <v>46</v>
      </c>
      <c r="J173" s="717" t="str">
        <f t="shared" si="16"/>
        <v>-</v>
      </c>
      <c r="K173" s="717">
        <f t="shared" si="17"/>
        <v>172.5</v>
      </c>
      <c r="L173" s="717" t="str">
        <f t="shared" si="18"/>
        <v>-</v>
      </c>
      <c r="M173" s="746" t="str">
        <f t="shared" si="19"/>
        <v>-</v>
      </c>
      <c r="N173" s="731" t="str">
        <f t="shared" si="20"/>
        <v>-</v>
      </c>
    </row>
    <row r="174" spans="2:14">
      <c r="B174" s="599"/>
      <c r="C174" s="1181"/>
      <c r="D174" s="1166"/>
      <c r="E174" s="1182">
        <v>8</v>
      </c>
      <c r="F174" s="1186">
        <v>2.75</v>
      </c>
      <c r="G174" s="1186">
        <v>80</v>
      </c>
      <c r="H174" s="1182">
        <v>1</v>
      </c>
      <c r="I174" s="606">
        <f t="shared" si="15"/>
        <v>80</v>
      </c>
      <c r="J174" s="717" t="str">
        <f t="shared" si="16"/>
        <v>-</v>
      </c>
      <c r="K174" s="717">
        <f t="shared" si="17"/>
        <v>220</v>
      </c>
      <c r="L174" s="717" t="str">
        <f t="shared" si="18"/>
        <v>-</v>
      </c>
      <c r="M174" s="746" t="str">
        <f t="shared" si="19"/>
        <v>-</v>
      </c>
      <c r="N174" s="731" t="str">
        <f t="shared" si="20"/>
        <v>-</v>
      </c>
    </row>
    <row r="175" spans="2:14">
      <c r="B175" s="599"/>
      <c r="C175" s="1181"/>
      <c r="D175" s="1166"/>
      <c r="E175" s="1182">
        <v>8</v>
      </c>
      <c r="F175" s="1186">
        <v>2.35</v>
      </c>
      <c r="G175" s="1186">
        <v>80</v>
      </c>
      <c r="H175" s="1182">
        <v>1</v>
      </c>
      <c r="I175" s="606">
        <f t="shared" si="15"/>
        <v>80</v>
      </c>
      <c r="J175" s="717" t="str">
        <f t="shared" si="16"/>
        <v>-</v>
      </c>
      <c r="K175" s="717">
        <f t="shared" si="17"/>
        <v>188</v>
      </c>
      <c r="L175" s="717" t="str">
        <f t="shared" si="18"/>
        <v>-</v>
      </c>
      <c r="M175" s="746" t="str">
        <f t="shared" si="19"/>
        <v>-</v>
      </c>
      <c r="N175" s="731" t="str">
        <f t="shared" si="20"/>
        <v>-</v>
      </c>
    </row>
    <row r="176" spans="2:14">
      <c r="B176" s="599"/>
      <c r="C176" s="1181"/>
      <c r="D176" s="1166"/>
      <c r="E176" s="1182">
        <v>8</v>
      </c>
      <c r="F176" s="1186">
        <v>3.25</v>
      </c>
      <c r="G176" s="1186">
        <v>80</v>
      </c>
      <c r="H176" s="1182">
        <v>1</v>
      </c>
      <c r="I176" s="606">
        <f t="shared" si="15"/>
        <v>80</v>
      </c>
      <c r="J176" s="717" t="str">
        <f t="shared" si="16"/>
        <v>-</v>
      </c>
      <c r="K176" s="717">
        <f t="shared" si="17"/>
        <v>260</v>
      </c>
      <c r="L176" s="717" t="str">
        <f t="shared" si="18"/>
        <v>-</v>
      </c>
      <c r="M176" s="746" t="str">
        <f t="shared" si="19"/>
        <v>-</v>
      </c>
      <c r="N176" s="731" t="str">
        <f t="shared" si="20"/>
        <v>-</v>
      </c>
    </row>
    <row r="177" spans="2:14">
      <c r="B177" s="599"/>
      <c r="C177" s="238"/>
      <c r="D177" s="238"/>
      <c r="E177" s="238"/>
      <c r="F177" s="238"/>
      <c r="G177" s="238"/>
      <c r="H177" s="238"/>
      <c r="I177" s="606">
        <f t="shared" si="15"/>
        <v>0</v>
      </c>
      <c r="J177" s="717" t="str">
        <f t="shared" si="16"/>
        <v>-</v>
      </c>
      <c r="K177" s="717" t="str">
        <f t="shared" si="17"/>
        <v>-</v>
      </c>
      <c r="L177" s="717" t="str">
        <f t="shared" si="18"/>
        <v>-</v>
      </c>
      <c r="M177" s="746" t="str">
        <f t="shared" si="19"/>
        <v>-</v>
      </c>
      <c r="N177" s="731" t="str">
        <f t="shared" si="20"/>
        <v>-</v>
      </c>
    </row>
    <row r="178" spans="2:14">
      <c r="B178" s="599"/>
      <c r="C178" s="232"/>
      <c r="D178" s="747"/>
      <c r="E178" s="747"/>
      <c r="F178" s="748"/>
      <c r="G178" s="747"/>
      <c r="H178" s="747"/>
      <c r="I178" s="606">
        <f t="shared" si="15"/>
        <v>0</v>
      </c>
      <c r="J178" s="717" t="str">
        <f t="shared" si="16"/>
        <v>-</v>
      </c>
      <c r="K178" s="717" t="str">
        <f t="shared" si="17"/>
        <v>-</v>
      </c>
      <c r="L178" s="717" t="str">
        <f t="shared" si="18"/>
        <v>-</v>
      </c>
      <c r="M178" s="746" t="str">
        <f t="shared" si="19"/>
        <v>-</v>
      </c>
      <c r="N178" s="731" t="str">
        <f t="shared" si="20"/>
        <v>-</v>
      </c>
    </row>
    <row r="179" spans="2:14" ht="19.5" thickBot="1">
      <c r="B179" s="610"/>
      <c r="C179" s="240"/>
      <c r="D179" s="750"/>
      <c r="E179" s="750"/>
      <c r="F179" s="751"/>
      <c r="G179" s="750"/>
      <c r="H179" s="750"/>
      <c r="I179" s="606">
        <f t="shared" si="15"/>
        <v>0</v>
      </c>
      <c r="J179" s="717" t="str">
        <f t="shared" si="16"/>
        <v>-</v>
      </c>
      <c r="K179" s="717" t="str">
        <f t="shared" si="17"/>
        <v>-</v>
      </c>
      <c r="L179" s="717" t="str">
        <f t="shared" si="18"/>
        <v>-</v>
      </c>
      <c r="M179" s="746" t="str">
        <f t="shared" si="19"/>
        <v>-</v>
      </c>
      <c r="N179" s="731" t="str">
        <f t="shared" si="20"/>
        <v>-</v>
      </c>
    </row>
    <row r="180" spans="2:14" ht="19.5" thickTop="1">
      <c r="B180" s="617"/>
      <c r="C180" s="241"/>
      <c r="D180" s="752"/>
      <c r="E180" s="752"/>
      <c r="F180" s="2194" t="s">
        <v>301</v>
      </c>
      <c r="G180" s="2194"/>
      <c r="H180" s="2194"/>
      <c r="I180" s="2195"/>
      <c r="J180" s="753"/>
      <c r="K180" s="597">
        <f>SUM(K157:K179)</f>
        <v>2007.8999999999999</v>
      </c>
      <c r="L180" s="597">
        <f>SUM(L157:L179)</f>
        <v>0</v>
      </c>
      <c r="M180" s="597">
        <f>SUM(M157:M179)</f>
        <v>0</v>
      </c>
      <c r="N180" s="598">
        <f>SUM(N157:N179)</f>
        <v>660.36</v>
      </c>
    </row>
    <row r="181" spans="2:14">
      <c r="B181" s="619"/>
      <c r="C181" s="620"/>
      <c r="D181" s="620"/>
      <c r="E181" s="620"/>
      <c r="F181" s="620" t="s">
        <v>302</v>
      </c>
      <c r="G181" s="620"/>
      <c r="H181" s="620"/>
      <c r="I181" s="740"/>
      <c r="J181" s="741"/>
      <c r="K181" s="622" t="s">
        <v>303</v>
      </c>
      <c r="L181" s="623" t="s">
        <v>304</v>
      </c>
      <c r="M181" s="622" t="s">
        <v>305</v>
      </c>
      <c r="N181" s="625" t="s">
        <v>306</v>
      </c>
    </row>
    <row r="182" spans="2:14" ht="19.5" thickBot="1">
      <c r="B182" s="626"/>
      <c r="C182" s="627"/>
      <c r="D182" s="627"/>
      <c r="E182" s="627"/>
      <c r="F182" s="627" t="s">
        <v>307</v>
      </c>
      <c r="G182" s="627"/>
      <c r="H182" s="627"/>
      <c r="I182" s="742"/>
      <c r="J182" s="743"/>
      <c r="K182" s="629">
        <f>K180*K181</f>
        <v>793.12049999999999</v>
      </c>
      <c r="L182" s="629">
        <f>L180*L181</f>
        <v>0</v>
      </c>
      <c r="M182" s="629">
        <f>M180*M181</f>
        <v>0</v>
      </c>
      <c r="N182" s="630">
        <f>N180*N181</f>
        <v>799.03560000000004</v>
      </c>
    </row>
    <row r="183" spans="2:14" ht="19.5" thickTop="1">
      <c r="B183" s="2184" t="s">
        <v>1257</v>
      </c>
      <c r="C183" s="2184"/>
      <c r="D183" s="2184"/>
      <c r="E183" s="2184"/>
      <c r="F183" s="2184"/>
      <c r="G183" s="2184"/>
      <c r="H183" s="105"/>
      <c r="I183" s="577"/>
      <c r="L183" s="2178" t="s">
        <v>1206</v>
      </c>
      <c r="M183" s="2178"/>
      <c r="N183" s="2178"/>
    </row>
    <row r="184" spans="2:14">
      <c r="B184" s="2184" t="s">
        <v>1208</v>
      </c>
      <c r="C184" s="2184"/>
      <c r="D184" s="2184"/>
      <c r="E184" s="2184"/>
      <c r="F184" s="2184"/>
      <c r="G184" s="2184"/>
      <c r="H184" s="105"/>
      <c r="I184" s="577"/>
      <c r="L184" s="2178" t="s">
        <v>1265</v>
      </c>
      <c r="M184" s="2178"/>
      <c r="N184" s="2178"/>
    </row>
    <row r="185" spans="2:14">
      <c r="B185" s="2184" t="s">
        <v>1258</v>
      </c>
      <c r="C185" s="2184"/>
      <c r="D185" s="2184"/>
      <c r="E185" s="2184"/>
      <c r="F185" s="2184"/>
      <c r="G185" s="2184"/>
      <c r="H185" s="105"/>
      <c r="I185" s="577"/>
      <c r="L185" s="2178" t="s">
        <v>1280</v>
      </c>
      <c r="M185" s="2178"/>
      <c r="N185" s="2178"/>
    </row>
    <row r="186" spans="2:14" ht="19.5" thickBot="1">
      <c r="B186" s="2184" t="s">
        <v>1209</v>
      </c>
      <c r="C186" s="2184"/>
      <c r="D186" s="2184"/>
      <c r="E186" s="2184"/>
      <c r="F186" s="2184"/>
      <c r="G186" s="2184"/>
      <c r="H186" s="105"/>
      <c r="I186" s="105"/>
      <c r="J186" s="580"/>
      <c r="K186" s="580"/>
      <c r="L186" s="580"/>
      <c r="M186" s="580"/>
      <c r="N186" s="581"/>
    </row>
    <row r="187" spans="2:14" ht="19.5" thickTop="1">
      <c r="B187" s="2198" t="s">
        <v>4</v>
      </c>
      <c r="C187" s="2189" t="s">
        <v>293</v>
      </c>
      <c r="D187" s="2189" t="s">
        <v>309</v>
      </c>
      <c r="E187" s="2189" t="s">
        <v>310</v>
      </c>
      <c r="F187" s="582" t="s">
        <v>295</v>
      </c>
      <c r="G187" s="2191" t="s">
        <v>311</v>
      </c>
      <c r="H187" s="2192"/>
      <c r="I187" s="2193"/>
      <c r="J187" s="583"/>
      <c r="K187" s="584" t="s">
        <v>312</v>
      </c>
      <c r="L187" s="584"/>
      <c r="M187" s="584"/>
      <c r="N187" s="764"/>
    </row>
    <row r="188" spans="2:14" ht="19.5" thickBot="1">
      <c r="B188" s="2199"/>
      <c r="C188" s="2190"/>
      <c r="D188" s="2190"/>
      <c r="E188" s="2190"/>
      <c r="F188" s="586" t="s">
        <v>313</v>
      </c>
      <c r="G188" s="587" t="s">
        <v>314</v>
      </c>
      <c r="H188" s="587" t="s">
        <v>315</v>
      </c>
      <c r="I188" s="588" t="s">
        <v>316</v>
      </c>
      <c r="J188" s="589" t="s">
        <v>317</v>
      </c>
      <c r="K188" s="590" t="s">
        <v>318</v>
      </c>
      <c r="L188" s="588" t="s">
        <v>319</v>
      </c>
      <c r="M188" s="588" t="s">
        <v>320</v>
      </c>
      <c r="N188" s="765" t="s">
        <v>321</v>
      </c>
    </row>
    <row r="189" spans="2:14" ht="19.5" thickTop="1">
      <c r="B189" s="693"/>
      <c r="C189" s="239" t="s">
        <v>22</v>
      </c>
      <c r="D189" s="594"/>
      <c r="E189" s="239"/>
      <c r="F189" s="694"/>
      <c r="G189" s="239"/>
      <c r="H189" s="239"/>
      <c r="I189" s="239"/>
      <c r="J189" s="695"/>
      <c r="K189" s="597"/>
      <c r="L189" s="695"/>
      <c r="M189" s="695"/>
      <c r="N189" s="766"/>
    </row>
    <row r="190" spans="2:14">
      <c r="B190" s="599"/>
      <c r="C190" s="604" t="s">
        <v>1224</v>
      </c>
      <c r="D190" s="605"/>
      <c r="E190" s="606"/>
      <c r="F190" s="233"/>
      <c r="G190" s="606"/>
      <c r="H190" s="606"/>
      <c r="I190" s="606"/>
      <c r="J190" s="604"/>
      <c r="K190" s="697"/>
      <c r="L190" s="238"/>
      <c r="M190" s="697"/>
      <c r="N190" s="735"/>
    </row>
    <row r="191" spans="2:14">
      <c r="B191" s="599"/>
      <c r="C191" s="604"/>
      <c r="D191" s="605"/>
      <c r="E191" s="606">
        <v>6</v>
      </c>
      <c r="F191" s="233"/>
      <c r="G191" s="606"/>
      <c r="H191" s="606"/>
      <c r="I191" s="606"/>
      <c r="J191" s="604"/>
      <c r="K191" s="604"/>
      <c r="L191" s="604"/>
      <c r="M191" s="604"/>
      <c r="N191" s="767"/>
    </row>
    <row r="192" spans="2:14">
      <c r="B192" s="599"/>
      <c r="C192" s="604"/>
      <c r="D192" s="605"/>
      <c r="E192" s="606">
        <v>8</v>
      </c>
      <c r="F192" s="233"/>
      <c r="G192" s="606"/>
      <c r="H192" s="606"/>
      <c r="I192" s="606"/>
      <c r="J192" s="604"/>
      <c r="K192" s="697" t="e">
        <f>K180+#REF!+#REF!</f>
        <v>#REF!</v>
      </c>
      <c r="L192" s="238"/>
      <c r="M192" s="697"/>
      <c r="N192" s="735"/>
    </row>
    <row r="193" spans="2:14">
      <c r="B193" s="599"/>
      <c r="C193" s="604"/>
      <c r="D193" s="605"/>
      <c r="E193" s="606">
        <v>10</v>
      </c>
      <c r="F193" s="233"/>
      <c r="G193" s="606"/>
      <c r="H193" s="606"/>
      <c r="I193" s="606"/>
      <c r="J193" s="604"/>
      <c r="K193" s="697"/>
      <c r="L193" s="699" t="e">
        <f>#REF!</f>
        <v>#REF!</v>
      </c>
      <c r="M193" s="697"/>
      <c r="N193" s="735"/>
    </row>
    <row r="194" spans="2:14">
      <c r="B194" s="599"/>
      <c r="C194" s="604"/>
      <c r="D194" s="605"/>
      <c r="E194" s="606">
        <v>12</v>
      </c>
      <c r="F194" s="233"/>
      <c r="G194" s="606"/>
      <c r="H194" s="606"/>
      <c r="I194" s="606"/>
      <c r="J194" s="604"/>
      <c r="K194" s="697"/>
      <c r="L194" s="238"/>
      <c r="M194" s="697" t="e">
        <f>M180+#REF!</f>
        <v>#REF!</v>
      </c>
      <c r="N194" s="735"/>
    </row>
    <row r="195" spans="2:14">
      <c r="B195" s="599"/>
      <c r="C195" s="604"/>
      <c r="D195" s="605"/>
      <c r="E195" s="606">
        <v>14</v>
      </c>
      <c r="F195" s="233"/>
      <c r="G195" s="606"/>
      <c r="H195" s="606"/>
      <c r="I195" s="606"/>
      <c r="J195" s="604"/>
      <c r="K195" s="697"/>
      <c r="L195" s="238"/>
      <c r="M195" s="697"/>
      <c r="N195" s="768">
        <f>N180</f>
        <v>660.36</v>
      </c>
    </row>
    <row r="196" spans="2:14">
      <c r="B196" s="599"/>
      <c r="C196" s="604"/>
      <c r="D196" s="605"/>
      <c r="E196" s="606"/>
      <c r="F196" s="233"/>
      <c r="G196" s="606"/>
      <c r="H196" s="606"/>
      <c r="I196" s="606"/>
      <c r="J196" s="604"/>
      <c r="K196" s="697"/>
      <c r="L196" s="238"/>
      <c r="M196" s="697"/>
      <c r="N196" s="735"/>
    </row>
    <row r="197" spans="2:14">
      <c r="B197" s="599"/>
      <c r="C197" s="604"/>
      <c r="D197" s="605"/>
      <c r="E197" s="606"/>
      <c r="F197" s="233"/>
      <c r="G197" s="606"/>
      <c r="H197" s="606"/>
      <c r="I197" s="606"/>
      <c r="J197" s="604"/>
      <c r="K197" s="697"/>
      <c r="L197" s="238"/>
      <c r="M197" s="697"/>
      <c r="N197" s="735"/>
    </row>
    <row r="198" spans="2:14">
      <c r="B198" s="599"/>
      <c r="C198" s="604"/>
      <c r="D198" s="605"/>
      <c r="E198" s="606"/>
      <c r="F198" s="233"/>
      <c r="G198" s="606"/>
      <c r="H198" s="606"/>
      <c r="I198" s="606"/>
      <c r="J198" s="604"/>
      <c r="K198" s="697"/>
      <c r="L198" s="238"/>
      <c r="M198" s="697"/>
      <c r="N198" s="735"/>
    </row>
    <row r="199" spans="2:14">
      <c r="B199" s="599"/>
      <c r="C199" s="604"/>
      <c r="D199" s="605"/>
      <c r="E199" s="606"/>
      <c r="F199" s="233"/>
      <c r="G199" s="606"/>
      <c r="H199" s="606"/>
      <c r="I199" s="606"/>
      <c r="J199" s="605"/>
      <c r="K199" s="697"/>
      <c r="L199" s="238"/>
      <c r="M199" s="697"/>
      <c r="N199" s="609"/>
    </row>
    <row r="200" spans="2:14">
      <c r="B200" s="599"/>
      <c r="C200" s="604"/>
      <c r="D200" s="605"/>
      <c r="E200" s="606"/>
      <c r="F200" s="233"/>
      <c r="G200" s="606"/>
      <c r="H200" s="606"/>
      <c r="I200" s="606"/>
      <c r="J200" s="605"/>
      <c r="K200" s="697"/>
      <c r="L200" s="238"/>
      <c r="M200" s="697"/>
      <c r="N200" s="609"/>
    </row>
    <row r="201" spans="2:14">
      <c r="B201" s="599"/>
      <c r="C201" s="604"/>
      <c r="D201" s="605"/>
      <c r="E201" s="606"/>
      <c r="F201" s="233"/>
      <c r="G201" s="606"/>
      <c r="H201" s="606"/>
      <c r="I201" s="606"/>
      <c r="J201" s="604"/>
      <c r="K201" s="697"/>
      <c r="L201" s="238"/>
      <c r="M201" s="697"/>
      <c r="N201" s="609"/>
    </row>
    <row r="202" spans="2:14">
      <c r="B202" s="599"/>
      <c r="C202" s="604"/>
      <c r="D202" s="605"/>
      <c r="E202" s="606"/>
      <c r="F202" s="233"/>
      <c r="G202" s="606"/>
      <c r="H202" s="606"/>
      <c r="I202" s="606"/>
      <c r="J202" s="605"/>
      <c r="K202" s="697"/>
      <c r="L202" s="238"/>
      <c r="M202" s="697"/>
      <c r="N202" s="609"/>
    </row>
    <row r="203" spans="2:14">
      <c r="B203" s="599"/>
      <c r="C203" s="604"/>
      <c r="D203" s="605"/>
      <c r="E203" s="606"/>
      <c r="F203" s="233"/>
      <c r="G203" s="606"/>
      <c r="H203" s="606"/>
      <c r="I203" s="606"/>
      <c r="J203" s="605"/>
      <c r="K203" s="697"/>
      <c r="L203" s="238"/>
      <c r="M203" s="697"/>
      <c r="N203" s="609"/>
    </row>
    <row r="204" spans="2:14">
      <c r="B204" s="599"/>
      <c r="C204" s="604"/>
      <c r="D204" s="605"/>
      <c r="E204" s="606"/>
      <c r="F204" s="233"/>
      <c r="G204" s="606"/>
      <c r="H204" s="606"/>
      <c r="I204" s="606"/>
      <c r="J204" s="604"/>
      <c r="K204" s="697"/>
      <c r="L204" s="238"/>
      <c r="M204" s="697"/>
      <c r="N204" s="609"/>
    </row>
    <row r="205" spans="2:14">
      <c r="B205" s="599"/>
      <c r="C205" s="604"/>
      <c r="D205" s="605"/>
      <c r="E205" s="606"/>
      <c r="F205" s="233"/>
      <c r="G205" s="606"/>
      <c r="H205" s="606"/>
      <c r="I205" s="606"/>
      <c r="J205" s="605"/>
      <c r="K205" s="697"/>
      <c r="L205" s="238"/>
      <c r="M205" s="697"/>
      <c r="N205" s="609"/>
    </row>
    <row r="206" spans="2:14">
      <c r="B206" s="599"/>
      <c r="C206" s="604"/>
      <c r="D206" s="605"/>
      <c r="E206" s="606"/>
      <c r="F206" s="233"/>
      <c r="G206" s="606"/>
      <c r="H206" s="606"/>
      <c r="I206" s="606"/>
      <c r="J206" s="605"/>
      <c r="K206" s="697"/>
      <c r="L206" s="238"/>
      <c r="M206" s="697"/>
      <c r="N206" s="609"/>
    </row>
    <row r="207" spans="2:14">
      <c r="B207" s="599"/>
      <c r="C207" s="604"/>
      <c r="D207" s="605"/>
      <c r="E207" s="606"/>
      <c r="F207" s="233"/>
      <c r="G207" s="606"/>
      <c r="H207" s="606"/>
      <c r="I207" s="606"/>
      <c r="J207" s="604"/>
      <c r="K207" s="697"/>
      <c r="L207" s="238"/>
      <c r="M207" s="697"/>
      <c r="N207" s="609"/>
    </row>
    <row r="208" spans="2:14">
      <c r="B208" s="702"/>
      <c r="C208" s="238"/>
      <c r="D208" s="238"/>
      <c r="E208" s="606"/>
      <c r="F208" s="233"/>
      <c r="G208" s="606"/>
      <c r="H208" s="606"/>
      <c r="I208" s="606"/>
      <c r="J208" s="605"/>
      <c r="K208" s="697"/>
      <c r="L208" s="238"/>
      <c r="M208" s="697"/>
      <c r="N208" s="609"/>
    </row>
    <row r="209" spans="2:14" ht="19.5" thickBot="1">
      <c r="B209" s="702"/>
      <c r="C209" s="238"/>
      <c r="D209" s="238"/>
      <c r="E209" s="606"/>
      <c r="F209" s="233"/>
      <c r="G209" s="606"/>
      <c r="H209" s="606"/>
      <c r="I209" s="606"/>
      <c r="J209" s="605"/>
      <c r="K209" s="697"/>
      <c r="L209" s="238"/>
      <c r="M209" s="697"/>
      <c r="N209" s="609"/>
    </row>
    <row r="210" spans="2:14" ht="19.5" thickTop="1">
      <c r="B210" s="709"/>
      <c r="C210" s="710"/>
      <c r="D210" s="710"/>
      <c r="E210" s="710"/>
      <c r="F210" s="2194" t="s">
        <v>301</v>
      </c>
      <c r="G210" s="2194"/>
      <c r="H210" s="2194"/>
      <c r="I210" s="2194"/>
      <c r="J210" s="711"/>
      <c r="K210" s="712" t="e">
        <f>SUM(K189:K209)</f>
        <v>#REF!</v>
      </c>
      <c r="L210" s="712" t="e">
        <f>SUM(L189:L209)</f>
        <v>#REF!</v>
      </c>
      <c r="M210" s="712" t="e">
        <f>SUM(M189:M209)</f>
        <v>#REF!</v>
      </c>
      <c r="N210" s="739">
        <f>SUM(N187:N209)</f>
        <v>660.36</v>
      </c>
    </row>
    <row r="211" spans="2:14">
      <c r="B211" s="714"/>
      <c r="C211" s="715"/>
      <c r="D211" s="716"/>
      <c r="E211" s="716"/>
      <c r="F211" s="620" t="s">
        <v>302</v>
      </c>
      <c r="G211" s="620"/>
      <c r="H211" s="620"/>
      <c r="I211" s="620"/>
      <c r="J211" s="621"/>
      <c r="K211" s="717" t="s">
        <v>303</v>
      </c>
      <c r="L211" s="718" t="s">
        <v>304</v>
      </c>
      <c r="M211" s="717" t="s">
        <v>305</v>
      </c>
      <c r="N211" s="731" t="s">
        <v>306</v>
      </c>
    </row>
    <row r="212" spans="2:14" ht="19.5" thickBot="1">
      <c r="B212" s="720"/>
      <c r="C212" s="721"/>
      <c r="D212" s="722"/>
      <c r="E212" s="722"/>
      <c r="F212" s="627" t="s">
        <v>307</v>
      </c>
      <c r="G212" s="627"/>
      <c r="H212" s="627"/>
      <c r="I212" s="627"/>
      <c r="J212" s="614"/>
      <c r="K212" s="629" t="e">
        <f>K210*K211</f>
        <v>#REF!</v>
      </c>
      <c r="L212" s="629" t="e">
        <f>L210*L211</f>
        <v>#REF!</v>
      </c>
      <c r="M212" s="629" t="e">
        <f>M210*M211</f>
        <v>#REF!</v>
      </c>
      <c r="N212" s="630">
        <f>N210*N211</f>
        <v>799.03560000000004</v>
      </c>
    </row>
    <row r="213" spans="2:14" ht="19.5" thickTop="1">
      <c r="K213" s="769"/>
      <c r="L213" s="769"/>
      <c r="M213" s="769"/>
      <c r="N213" s="769"/>
    </row>
    <row r="214" spans="2:14">
      <c r="B214" s="2184" t="s">
        <v>1257</v>
      </c>
      <c r="C214" s="2184"/>
      <c r="D214" s="2184"/>
      <c r="E214" s="2184"/>
      <c r="F214" s="2184"/>
      <c r="G214" s="2184"/>
      <c r="H214" s="105"/>
      <c r="I214" s="577"/>
      <c r="L214" s="2178" t="s">
        <v>1206</v>
      </c>
      <c r="M214" s="2178"/>
      <c r="N214" s="2178"/>
    </row>
    <row r="215" spans="2:14">
      <c r="B215" s="2184" t="s">
        <v>1208</v>
      </c>
      <c r="C215" s="2184"/>
      <c r="D215" s="2184"/>
      <c r="E215" s="2184"/>
      <c r="F215" s="2184"/>
      <c r="G215" s="2184"/>
      <c r="H215" s="105"/>
      <c r="I215" s="577"/>
      <c r="L215" s="2178" t="s">
        <v>1265</v>
      </c>
      <c r="M215" s="2178"/>
      <c r="N215" s="2178"/>
    </row>
    <row r="216" spans="2:14">
      <c r="B216" s="2184" t="s">
        <v>1258</v>
      </c>
      <c r="C216" s="2184"/>
      <c r="D216" s="2184"/>
      <c r="E216" s="2184"/>
      <c r="F216" s="2184"/>
      <c r="G216" s="2184"/>
      <c r="H216" s="105"/>
      <c r="I216" s="577"/>
      <c r="L216" s="2178" t="s">
        <v>1280</v>
      </c>
      <c r="M216" s="2178"/>
      <c r="N216" s="2178"/>
    </row>
    <row r="217" spans="2:14" ht="19.5" thickBot="1">
      <c r="B217" s="2184" t="s">
        <v>1209</v>
      </c>
      <c r="C217" s="2184"/>
      <c r="D217" s="2184"/>
      <c r="E217" s="2184"/>
      <c r="F217" s="2184"/>
      <c r="G217" s="2184"/>
      <c r="H217" s="105"/>
      <c r="I217" s="105"/>
      <c r="J217" s="580"/>
      <c r="K217" s="580"/>
      <c r="L217" s="580"/>
      <c r="M217" s="580"/>
      <c r="N217" s="581"/>
    </row>
    <row r="218" spans="2:14" ht="19.5" thickTop="1">
      <c r="B218" s="2187" t="s">
        <v>4</v>
      </c>
      <c r="C218" s="2189" t="s">
        <v>293</v>
      </c>
      <c r="D218" s="2189" t="s">
        <v>309</v>
      </c>
      <c r="E218" s="2189" t="s">
        <v>310</v>
      </c>
      <c r="F218" s="582" t="s">
        <v>295</v>
      </c>
      <c r="G218" s="2191" t="s">
        <v>311</v>
      </c>
      <c r="H218" s="2192"/>
      <c r="I218" s="2193"/>
      <c r="J218" s="583"/>
      <c r="K218" s="584" t="s">
        <v>312</v>
      </c>
      <c r="L218" s="584"/>
      <c r="M218" s="584"/>
      <c r="N218" s="585"/>
    </row>
    <row r="219" spans="2:14" ht="19.5" thickBot="1">
      <c r="B219" s="2188"/>
      <c r="C219" s="2190"/>
      <c r="D219" s="2190"/>
      <c r="E219" s="2190"/>
      <c r="F219" s="586" t="s">
        <v>313</v>
      </c>
      <c r="G219" s="587" t="s">
        <v>314</v>
      </c>
      <c r="H219" s="587" t="s">
        <v>315</v>
      </c>
      <c r="I219" s="588" t="s">
        <v>316</v>
      </c>
      <c r="J219" s="589" t="s">
        <v>317</v>
      </c>
      <c r="K219" s="590" t="s">
        <v>318</v>
      </c>
      <c r="L219" s="588" t="s">
        <v>319</v>
      </c>
      <c r="M219" s="588" t="s">
        <v>320</v>
      </c>
      <c r="N219" s="591" t="s">
        <v>321</v>
      </c>
    </row>
    <row r="220" spans="2:14" ht="19.5" thickTop="1">
      <c r="B220" s="693">
        <v>1</v>
      </c>
      <c r="C220" s="237" t="s">
        <v>878</v>
      </c>
      <c r="D220" s="594"/>
      <c r="E220" s="594">
        <v>12</v>
      </c>
      <c r="F220" s="597">
        <v>3.58</v>
      </c>
      <c r="G220" s="237">
        <v>14</v>
      </c>
      <c r="H220" s="754">
        <v>4</v>
      </c>
      <c r="I220" s="755">
        <f>G220*H220</f>
        <v>56</v>
      </c>
      <c r="J220" s="237"/>
      <c r="K220" s="597"/>
      <c r="L220" s="597"/>
      <c r="M220" s="597">
        <f>F220*I220</f>
        <v>200.48000000000002</v>
      </c>
      <c r="N220" s="598"/>
    </row>
    <row r="221" spans="2:14">
      <c r="B221" s="599"/>
      <c r="C221" s="238"/>
      <c r="D221" s="606"/>
      <c r="E221" s="606">
        <v>8</v>
      </c>
      <c r="F221" s="233">
        <v>0.7</v>
      </c>
      <c r="G221" s="238">
        <v>15</v>
      </c>
      <c r="H221" s="756">
        <v>14</v>
      </c>
      <c r="I221" s="697">
        <f>G221*H221</f>
        <v>210</v>
      </c>
      <c r="J221" s="238"/>
      <c r="K221" s="233">
        <f>F221*I221</f>
        <v>147</v>
      </c>
      <c r="L221" s="233"/>
      <c r="M221" s="233"/>
      <c r="N221" s="733"/>
    </row>
    <row r="222" spans="2:14">
      <c r="B222" s="599"/>
      <c r="C222" s="238"/>
      <c r="D222" s="606"/>
      <c r="E222" s="606"/>
      <c r="F222" s="233"/>
      <c r="G222" s="238"/>
      <c r="H222" s="756"/>
      <c r="I222" s="697"/>
      <c r="J222" s="238"/>
      <c r="K222" s="233"/>
      <c r="L222" s="233"/>
      <c r="M222" s="233"/>
      <c r="N222" s="733"/>
    </row>
    <row r="223" spans="2:14">
      <c r="B223" s="599">
        <v>2</v>
      </c>
      <c r="C223" s="238" t="s">
        <v>879</v>
      </c>
      <c r="D223" s="606"/>
      <c r="E223" s="606">
        <v>12</v>
      </c>
      <c r="F223" s="233">
        <v>6.93</v>
      </c>
      <c r="G223" s="238">
        <v>4</v>
      </c>
      <c r="H223" s="756">
        <v>3</v>
      </c>
      <c r="I223" s="697">
        <f t="shared" ref="I223:I230" si="21">G223*H223</f>
        <v>12</v>
      </c>
      <c r="J223" s="238"/>
      <c r="K223" s="233"/>
      <c r="L223" s="233"/>
      <c r="M223" s="233">
        <f>F223*I223</f>
        <v>83.16</v>
      </c>
      <c r="N223" s="733"/>
    </row>
    <row r="224" spans="2:14">
      <c r="B224" s="599"/>
      <c r="C224" s="238"/>
      <c r="D224" s="606"/>
      <c r="E224" s="606">
        <v>12</v>
      </c>
      <c r="F224" s="233">
        <v>11.3</v>
      </c>
      <c r="G224" s="238">
        <v>4</v>
      </c>
      <c r="H224" s="756">
        <v>3</v>
      </c>
      <c r="I224" s="697">
        <f t="shared" si="21"/>
        <v>12</v>
      </c>
      <c r="J224" s="238"/>
      <c r="K224" s="233"/>
      <c r="L224" s="233"/>
      <c r="M224" s="233">
        <f>F224*I224</f>
        <v>135.60000000000002</v>
      </c>
      <c r="N224" s="733"/>
    </row>
    <row r="225" spans="2:14">
      <c r="B225" s="599"/>
      <c r="C225" s="238"/>
      <c r="D225" s="606"/>
      <c r="E225" s="606">
        <v>12</v>
      </c>
      <c r="F225" s="233">
        <v>8.4600000000000009</v>
      </c>
      <c r="G225" s="238">
        <v>4</v>
      </c>
      <c r="H225" s="756">
        <v>3</v>
      </c>
      <c r="I225" s="697">
        <f t="shared" si="21"/>
        <v>12</v>
      </c>
      <c r="J225" s="238"/>
      <c r="K225" s="233"/>
      <c r="L225" s="233"/>
      <c r="M225" s="233">
        <f>F225*I225</f>
        <v>101.52000000000001</v>
      </c>
      <c r="N225" s="733"/>
    </row>
    <row r="226" spans="2:14">
      <c r="B226" s="599"/>
      <c r="C226" s="238"/>
      <c r="D226" s="606"/>
      <c r="E226" s="606">
        <v>12</v>
      </c>
      <c r="F226" s="233">
        <v>8.4600000000000009</v>
      </c>
      <c r="G226" s="238">
        <v>4</v>
      </c>
      <c r="H226" s="756">
        <v>3</v>
      </c>
      <c r="I226" s="697">
        <f t="shared" si="21"/>
        <v>12</v>
      </c>
      <c r="J226" s="238"/>
      <c r="K226" s="233"/>
      <c r="L226" s="233"/>
      <c r="M226" s="233">
        <f>F226*I226</f>
        <v>101.52000000000001</v>
      </c>
      <c r="N226" s="733"/>
    </row>
    <row r="227" spans="2:14">
      <c r="B227" s="599"/>
      <c r="C227" s="238"/>
      <c r="D227" s="606"/>
      <c r="E227" s="606">
        <v>8</v>
      </c>
      <c r="F227" s="233">
        <v>0.9</v>
      </c>
      <c r="G227" s="238">
        <v>4</v>
      </c>
      <c r="H227" s="756">
        <v>83</v>
      </c>
      <c r="I227" s="697">
        <f t="shared" si="21"/>
        <v>332</v>
      </c>
      <c r="J227" s="238"/>
      <c r="K227" s="233">
        <f>F227*I227</f>
        <v>298.8</v>
      </c>
      <c r="L227" s="233"/>
      <c r="M227" s="233"/>
      <c r="N227" s="733"/>
    </row>
    <row r="228" spans="2:14">
      <c r="B228" s="702">
        <v>4</v>
      </c>
      <c r="C228" s="238" t="s">
        <v>342</v>
      </c>
      <c r="D228" s="747"/>
      <c r="E228" s="606">
        <v>12</v>
      </c>
      <c r="F228" s="233">
        <v>10.28</v>
      </c>
      <c r="G228" s="238">
        <v>3</v>
      </c>
      <c r="H228" s="756">
        <v>3</v>
      </c>
      <c r="I228" s="697">
        <f t="shared" si="21"/>
        <v>9</v>
      </c>
      <c r="J228" s="238"/>
      <c r="K228" s="233"/>
      <c r="L228" s="233"/>
      <c r="M228" s="233">
        <f>F228*I228</f>
        <v>92.52</v>
      </c>
      <c r="N228" s="749"/>
    </row>
    <row r="229" spans="2:14">
      <c r="B229" s="702"/>
      <c r="C229" s="238"/>
      <c r="D229" s="747"/>
      <c r="E229" s="606">
        <v>12</v>
      </c>
      <c r="F229" s="233">
        <v>9.58</v>
      </c>
      <c r="G229" s="238">
        <v>3</v>
      </c>
      <c r="H229" s="756">
        <v>3</v>
      </c>
      <c r="I229" s="697">
        <f t="shared" si="21"/>
        <v>9</v>
      </c>
      <c r="J229" s="238"/>
      <c r="K229" s="233"/>
      <c r="L229" s="233"/>
      <c r="M229" s="233">
        <f>F229*I229</f>
        <v>86.22</v>
      </c>
      <c r="N229" s="749"/>
    </row>
    <row r="230" spans="2:14">
      <c r="B230" s="702"/>
      <c r="C230" s="238"/>
      <c r="D230" s="747"/>
      <c r="E230" s="606">
        <v>8</v>
      </c>
      <c r="F230" s="607">
        <v>0.9</v>
      </c>
      <c r="G230" s="238">
        <v>3</v>
      </c>
      <c r="H230" s="756">
        <v>48</v>
      </c>
      <c r="I230" s="697">
        <f t="shared" si="21"/>
        <v>144</v>
      </c>
      <c r="J230" s="604"/>
      <c r="K230" s="233">
        <f>F230*I230</f>
        <v>129.6</v>
      </c>
      <c r="L230" s="233"/>
      <c r="M230" s="233"/>
      <c r="N230" s="749"/>
    </row>
    <row r="231" spans="2:14">
      <c r="B231" s="599"/>
      <c r="C231" s="238"/>
      <c r="D231" s="606"/>
      <c r="E231" s="606"/>
      <c r="F231" s="233"/>
      <c r="G231" s="238"/>
      <c r="H231" s="756"/>
      <c r="I231" s="697"/>
      <c r="J231" s="238"/>
      <c r="K231" s="233"/>
      <c r="L231" s="233"/>
      <c r="M231" s="233"/>
      <c r="N231" s="731"/>
    </row>
    <row r="232" spans="2:14">
      <c r="B232" s="599"/>
      <c r="C232" s="238"/>
      <c r="D232" s="606"/>
      <c r="E232" s="606"/>
      <c r="F232" s="233"/>
      <c r="G232" s="238"/>
      <c r="H232" s="756"/>
      <c r="I232" s="697"/>
      <c r="J232" s="238"/>
      <c r="K232" s="233"/>
      <c r="L232" s="233"/>
      <c r="M232" s="233"/>
      <c r="N232" s="749"/>
    </row>
    <row r="233" spans="2:14">
      <c r="B233" s="599"/>
      <c r="C233" s="238"/>
      <c r="D233" s="606"/>
      <c r="E233" s="606"/>
      <c r="F233" s="233"/>
      <c r="G233" s="238"/>
      <c r="H233" s="756"/>
      <c r="I233" s="697"/>
      <c r="J233" s="238"/>
      <c r="K233" s="233"/>
      <c r="L233" s="233"/>
      <c r="M233" s="233"/>
      <c r="N233" s="749"/>
    </row>
    <row r="234" spans="2:14">
      <c r="B234" s="599"/>
      <c r="C234" s="238"/>
      <c r="D234" s="606"/>
      <c r="E234" s="606"/>
      <c r="F234" s="233"/>
      <c r="G234" s="238"/>
      <c r="H234" s="756"/>
      <c r="I234" s="697"/>
      <c r="J234" s="238"/>
      <c r="K234" s="233"/>
      <c r="L234" s="233"/>
      <c r="M234" s="233"/>
      <c r="N234" s="749"/>
    </row>
    <row r="235" spans="2:14">
      <c r="B235" s="599"/>
      <c r="C235" s="238"/>
      <c r="D235" s="606"/>
      <c r="E235" s="606"/>
      <c r="F235" s="233"/>
      <c r="G235" s="238"/>
      <c r="H235" s="756"/>
      <c r="I235" s="697"/>
      <c r="J235" s="238"/>
      <c r="K235" s="233"/>
      <c r="L235" s="233"/>
      <c r="M235" s="233"/>
      <c r="N235" s="749"/>
    </row>
    <row r="236" spans="2:14">
      <c r="B236" s="599"/>
      <c r="C236" s="238"/>
      <c r="D236" s="606"/>
      <c r="E236" s="606"/>
      <c r="F236" s="233"/>
      <c r="G236" s="238"/>
      <c r="H236" s="756"/>
      <c r="I236" s="697"/>
      <c r="J236" s="238"/>
      <c r="K236" s="233"/>
      <c r="L236" s="233"/>
      <c r="M236" s="233"/>
      <c r="N236" s="749"/>
    </row>
    <row r="237" spans="2:14">
      <c r="B237" s="599"/>
      <c r="C237" s="238"/>
      <c r="D237" s="606"/>
      <c r="E237" s="606"/>
      <c r="F237" s="233"/>
      <c r="G237" s="238"/>
      <c r="H237" s="756"/>
      <c r="I237" s="697"/>
      <c r="J237" s="238"/>
      <c r="K237" s="233"/>
      <c r="L237" s="233"/>
      <c r="M237" s="233"/>
      <c r="N237" s="749"/>
    </row>
    <row r="238" spans="2:14">
      <c r="B238" s="599"/>
      <c r="C238" s="238"/>
      <c r="D238" s="606"/>
      <c r="E238" s="606"/>
      <c r="F238" s="233"/>
      <c r="G238" s="238"/>
      <c r="H238" s="756"/>
      <c r="I238" s="697"/>
      <c r="J238" s="238"/>
      <c r="K238" s="233"/>
      <c r="L238" s="233"/>
      <c r="M238" s="233"/>
      <c r="N238" s="749"/>
    </row>
    <row r="239" spans="2:14">
      <c r="B239" s="599"/>
      <c r="C239" s="238"/>
      <c r="D239" s="747"/>
      <c r="E239" s="606"/>
      <c r="F239" s="607"/>
      <c r="G239" s="238"/>
      <c r="H239" s="757"/>
      <c r="I239" s="697"/>
      <c r="J239" s="747"/>
      <c r="K239" s="717"/>
      <c r="L239" s="748"/>
      <c r="M239" s="748"/>
      <c r="N239" s="749"/>
    </row>
    <row r="240" spans="2:14">
      <c r="B240" s="599"/>
      <c r="C240" s="238"/>
      <c r="D240" s="747"/>
      <c r="E240" s="606"/>
      <c r="F240" s="233"/>
      <c r="G240" s="238"/>
      <c r="H240" s="757"/>
      <c r="I240" s="697"/>
      <c r="J240" s="770"/>
      <c r="K240" s="233"/>
      <c r="L240" s="233"/>
      <c r="M240" s="233"/>
      <c r="N240" s="733"/>
    </row>
    <row r="241" spans="2:16" ht="19.5" thickBot="1">
      <c r="B241" s="703"/>
      <c r="C241" s="704"/>
      <c r="D241" s="588"/>
      <c r="E241" s="612"/>
      <c r="F241" s="615"/>
      <c r="G241" s="704"/>
      <c r="H241" s="771"/>
      <c r="I241" s="707"/>
      <c r="J241" s="628"/>
      <c r="K241" s="772"/>
      <c r="L241" s="629"/>
      <c r="M241" s="629"/>
      <c r="N241" s="630"/>
    </row>
    <row r="242" spans="2:16" ht="19.5" thickTop="1">
      <c r="B242" s="758"/>
      <c r="C242" s="759"/>
      <c r="D242" s="584"/>
      <c r="E242" s="584"/>
      <c r="F242" s="2185" t="s">
        <v>301</v>
      </c>
      <c r="G242" s="2185"/>
      <c r="H242" s="2185"/>
      <c r="I242" s="2206"/>
      <c r="J242" s="753"/>
      <c r="K242" s="597">
        <f>SUM(K220:K241)</f>
        <v>575.4</v>
      </c>
      <c r="L242" s="597">
        <f>SUM(L223:L241)</f>
        <v>0</v>
      </c>
      <c r="M242" s="597">
        <f>SUM(M220:M241)</f>
        <v>801.02</v>
      </c>
      <c r="N242" s="598">
        <f>SUM(N223:N241)</f>
        <v>0</v>
      </c>
    </row>
    <row r="243" spans="2:16">
      <c r="B243" s="760"/>
      <c r="C243" s="761"/>
      <c r="D243" s="620"/>
      <c r="E243" s="620"/>
      <c r="F243" s="2201" t="s">
        <v>302</v>
      </c>
      <c r="G243" s="2201"/>
      <c r="H243" s="2201"/>
      <c r="I243" s="2205"/>
      <c r="J243" s="741"/>
      <c r="K243" s="622" t="s">
        <v>303</v>
      </c>
      <c r="L243" s="623"/>
      <c r="M243" s="624">
        <v>0.88800000000000001</v>
      </c>
      <c r="N243" s="625" t="s">
        <v>306</v>
      </c>
    </row>
    <row r="244" spans="2:16" ht="19.5" thickBot="1">
      <c r="B244" s="762"/>
      <c r="C244" s="763"/>
      <c r="D244" s="627"/>
      <c r="E244" s="627"/>
      <c r="F244" s="627" t="s">
        <v>307</v>
      </c>
      <c r="G244" s="627"/>
      <c r="H244" s="627"/>
      <c r="I244" s="742"/>
      <c r="J244" s="743"/>
      <c r="K244" s="629">
        <f>K242*K243</f>
        <v>227.28299999999999</v>
      </c>
      <c r="L244" s="629">
        <f>L242*L243</f>
        <v>0</v>
      </c>
      <c r="M244" s="629">
        <f>M242*M243</f>
        <v>711.30575999999996</v>
      </c>
      <c r="N244" s="630">
        <f>N242*N243</f>
        <v>0</v>
      </c>
    </row>
    <row r="245" spans="2:16" ht="19.5" thickTop="1">
      <c r="B245" s="631"/>
      <c r="C245" s="631"/>
      <c r="D245" s="631"/>
      <c r="E245" s="631"/>
      <c r="F245" s="631"/>
      <c r="G245" s="631"/>
      <c r="H245" s="631"/>
      <c r="I245" s="631"/>
      <c r="J245" s="632"/>
      <c r="K245" s="633"/>
      <c r="L245" s="633"/>
      <c r="M245" s="633"/>
      <c r="N245" s="633"/>
    </row>
    <row r="250" spans="2:16">
      <c r="B250" s="773"/>
      <c r="C250" s="773"/>
      <c r="D250" s="773"/>
      <c r="E250" s="773"/>
      <c r="F250" s="773"/>
      <c r="G250" s="773"/>
      <c r="H250" s="773"/>
      <c r="I250" s="773"/>
      <c r="J250" s="773"/>
      <c r="K250" s="773"/>
      <c r="L250" s="773"/>
      <c r="M250" s="773"/>
      <c r="N250" s="773"/>
    </row>
    <row r="251" spans="2:16">
      <c r="B251" s="773"/>
      <c r="C251" s="773"/>
      <c r="D251" s="773"/>
      <c r="E251" s="773"/>
      <c r="F251" s="773"/>
      <c r="G251" s="773"/>
      <c r="H251" s="773"/>
      <c r="I251" s="773"/>
      <c r="J251" s="773"/>
      <c r="K251" s="773"/>
      <c r="L251" s="773"/>
      <c r="M251" s="773"/>
      <c r="N251" s="773"/>
      <c r="O251" s="773"/>
      <c r="P251" s="773"/>
    </row>
  </sheetData>
  <mergeCells count="95">
    <mergeCell ref="F29:I29"/>
    <mergeCell ref="F30:I30"/>
    <mergeCell ref="F243:I243"/>
    <mergeCell ref="B184:G184"/>
    <mergeCell ref="B185:G185"/>
    <mergeCell ref="B187:B188"/>
    <mergeCell ref="C187:C188"/>
    <mergeCell ref="D187:D188"/>
    <mergeCell ref="E187:E188"/>
    <mergeCell ref="G187:I187"/>
    <mergeCell ref="E218:E219"/>
    <mergeCell ref="G218:I218"/>
    <mergeCell ref="B75:G75"/>
    <mergeCell ref="B105:G105"/>
    <mergeCell ref="G76:I76"/>
    <mergeCell ref="F242:I242"/>
    <mergeCell ref="B108:G108"/>
    <mergeCell ref="L151:N151"/>
    <mergeCell ref="B152:G152"/>
    <mergeCell ref="L152:N152"/>
    <mergeCell ref="B153:G153"/>
    <mergeCell ref="L153:N153"/>
    <mergeCell ref="B109:B110"/>
    <mergeCell ref="C109:C110"/>
    <mergeCell ref="D109:D110"/>
    <mergeCell ref="B151:G151"/>
    <mergeCell ref="E109:E110"/>
    <mergeCell ref="G109:I109"/>
    <mergeCell ref="L150:M150"/>
    <mergeCell ref="L105:N105"/>
    <mergeCell ref="B106:G106"/>
    <mergeCell ref="B107:G107"/>
    <mergeCell ref="B33:G33"/>
    <mergeCell ref="B34:G34"/>
    <mergeCell ref="B35:G35"/>
    <mergeCell ref="B73:G73"/>
    <mergeCell ref="B74:G74"/>
    <mergeCell ref="B76:B77"/>
    <mergeCell ref="C76:C77"/>
    <mergeCell ref="B72:G72"/>
    <mergeCell ref="L107:N107"/>
    <mergeCell ref="L106:N106"/>
    <mergeCell ref="F101:I101"/>
    <mergeCell ref="D76:D77"/>
    <mergeCell ref="E76:E77"/>
    <mergeCell ref="B214:G214"/>
    <mergeCell ref="L214:N214"/>
    <mergeCell ref="L215:N215"/>
    <mergeCell ref="L216:N216"/>
    <mergeCell ref="B183:G183"/>
    <mergeCell ref="L183:N183"/>
    <mergeCell ref="L184:N184"/>
    <mergeCell ref="F210:I210"/>
    <mergeCell ref="B215:G215"/>
    <mergeCell ref="B186:G186"/>
    <mergeCell ref="L185:N185"/>
    <mergeCell ref="B218:B219"/>
    <mergeCell ref="C218:C219"/>
    <mergeCell ref="D218:D219"/>
    <mergeCell ref="B216:G216"/>
    <mergeCell ref="B217:G217"/>
    <mergeCell ref="F180:I180"/>
    <mergeCell ref="F147:I147"/>
    <mergeCell ref="B154:G154"/>
    <mergeCell ref="B155:B156"/>
    <mergeCell ref="C155:C156"/>
    <mergeCell ref="D155:D156"/>
    <mergeCell ref="E155:E156"/>
    <mergeCell ref="G155:I155"/>
    <mergeCell ref="B1:G1"/>
    <mergeCell ref="L1:N1"/>
    <mergeCell ref="L2:N2"/>
    <mergeCell ref="L3:N3"/>
    <mergeCell ref="F28:I28"/>
    <mergeCell ref="B5:B6"/>
    <mergeCell ref="C5:C6"/>
    <mergeCell ref="D5:D6"/>
    <mergeCell ref="E5:E6"/>
    <mergeCell ref="G5:I5"/>
    <mergeCell ref="B2:G2"/>
    <mergeCell ref="B3:G3"/>
    <mergeCell ref="B4:G4"/>
    <mergeCell ref="B32:G32"/>
    <mergeCell ref="L32:N32"/>
    <mergeCell ref="L33:N33"/>
    <mergeCell ref="L34:N34"/>
    <mergeCell ref="L74:N74"/>
    <mergeCell ref="B36:B37"/>
    <mergeCell ref="C36:C37"/>
    <mergeCell ref="D36:D37"/>
    <mergeCell ref="E36:E37"/>
    <mergeCell ref="G36:I36"/>
    <mergeCell ref="F68:I68"/>
    <mergeCell ref="L72:N72"/>
    <mergeCell ref="L73:N73"/>
  </mergeCells>
  <pageMargins left="0.45" right="0.45" top="1" bottom="0.75" header="0.3" footer="0.3"/>
  <pageSetup scale="80" orientation="landscape" r:id="rId1"/>
  <rowBreaks count="9" manualBreakCount="9">
    <brk id="31" max="16383" man="1"/>
    <brk id="53" max="14" man="1"/>
    <brk id="71" max="16383" man="1"/>
    <brk id="103" max="14" man="1"/>
    <brk id="134" max="14" man="1"/>
    <brk id="150" max="14" man="1"/>
    <brk id="182" max="14" man="1"/>
    <brk id="213" max="14" man="1"/>
    <brk id="250" max="14"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B1:G50"/>
  <sheetViews>
    <sheetView view="pageBreakPreview" zoomScaleSheetLayoutView="100" workbookViewId="0">
      <selection activeCell="G12" sqref="G12"/>
    </sheetView>
  </sheetViews>
  <sheetFormatPr defaultRowHeight="12.75"/>
  <cols>
    <col min="1" max="1" width="8.5703125" style="432" customWidth="1"/>
    <col min="2" max="2" width="6.42578125" style="432" customWidth="1"/>
    <col min="3" max="3" width="27.28515625" style="432" customWidth="1"/>
    <col min="4" max="4" width="15.85546875" style="432" customWidth="1"/>
    <col min="5" max="5" width="15.42578125" style="432" customWidth="1"/>
    <col min="6" max="6" width="15.7109375" style="432" customWidth="1"/>
    <col min="7" max="7" width="16.42578125" style="432" customWidth="1"/>
    <col min="8" max="8" width="3" style="432" customWidth="1"/>
    <col min="9" max="254" width="9.140625" style="432"/>
    <col min="255" max="255" width="7.5703125" style="432" customWidth="1"/>
    <col min="256" max="257" width="9.140625" style="432"/>
    <col min="258" max="258" width="5.85546875" style="432" customWidth="1"/>
    <col min="259" max="259" width="1.42578125" style="432" customWidth="1"/>
    <col min="260" max="260" width="15.85546875" style="432" customWidth="1"/>
    <col min="261" max="261" width="14.140625" style="432" customWidth="1"/>
    <col min="262" max="262" width="15.7109375" style="432" customWidth="1"/>
    <col min="263" max="263" width="16.42578125" style="432" customWidth="1"/>
    <col min="264" max="510" width="9.140625" style="432"/>
    <col min="511" max="511" width="7.5703125" style="432" customWidth="1"/>
    <col min="512" max="513" width="9.140625" style="432"/>
    <col min="514" max="514" width="5.85546875" style="432" customWidth="1"/>
    <col min="515" max="515" width="1.42578125" style="432" customWidth="1"/>
    <col min="516" max="516" width="15.85546875" style="432" customWidth="1"/>
    <col min="517" max="517" width="14.140625" style="432" customWidth="1"/>
    <col min="518" max="518" width="15.7109375" style="432" customWidth="1"/>
    <col min="519" max="519" width="16.42578125" style="432" customWidth="1"/>
    <col min="520" max="766" width="9.140625" style="432"/>
    <col min="767" max="767" width="7.5703125" style="432" customWidth="1"/>
    <col min="768" max="769" width="9.140625" style="432"/>
    <col min="770" max="770" width="5.85546875" style="432" customWidth="1"/>
    <col min="771" max="771" width="1.42578125" style="432" customWidth="1"/>
    <col min="772" max="772" width="15.85546875" style="432" customWidth="1"/>
    <col min="773" max="773" width="14.140625" style="432" customWidth="1"/>
    <col min="774" max="774" width="15.7109375" style="432" customWidth="1"/>
    <col min="775" max="775" width="16.42578125" style="432" customWidth="1"/>
    <col min="776" max="1022" width="9.140625" style="432"/>
    <col min="1023" max="1023" width="7.5703125" style="432" customWidth="1"/>
    <col min="1024" max="1025" width="9.140625" style="432"/>
    <col min="1026" max="1026" width="5.85546875" style="432" customWidth="1"/>
    <col min="1027" max="1027" width="1.42578125" style="432" customWidth="1"/>
    <col min="1028" max="1028" width="15.85546875" style="432" customWidth="1"/>
    <col min="1029" max="1029" width="14.140625" style="432" customWidth="1"/>
    <col min="1030" max="1030" width="15.7109375" style="432" customWidth="1"/>
    <col min="1031" max="1031" width="16.42578125" style="432" customWidth="1"/>
    <col min="1032" max="1278" width="9.140625" style="432"/>
    <col min="1279" max="1279" width="7.5703125" style="432" customWidth="1"/>
    <col min="1280" max="1281" width="9.140625" style="432"/>
    <col min="1282" max="1282" width="5.85546875" style="432" customWidth="1"/>
    <col min="1283" max="1283" width="1.42578125" style="432" customWidth="1"/>
    <col min="1284" max="1284" width="15.85546875" style="432" customWidth="1"/>
    <col min="1285" max="1285" width="14.140625" style="432" customWidth="1"/>
    <col min="1286" max="1286" width="15.7109375" style="432" customWidth="1"/>
    <col min="1287" max="1287" width="16.42578125" style="432" customWidth="1"/>
    <col min="1288" max="1534" width="9.140625" style="432"/>
    <col min="1535" max="1535" width="7.5703125" style="432" customWidth="1"/>
    <col min="1536" max="1537" width="9.140625" style="432"/>
    <col min="1538" max="1538" width="5.85546875" style="432" customWidth="1"/>
    <col min="1539" max="1539" width="1.42578125" style="432" customWidth="1"/>
    <col min="1540" max="1540" width="15.85546875" style="432" customWidth="1"/>
    <col min="1541" max="1541" width="14.140625" style="432" customWidth="1"/>
    <col min="1542" max="1542" width="15.7109375" style="432" customWidth="1"/>
    <col min="1543" max="1543" width="16.42578125" style="432" customWidth="1"/>
    <col min="1544" max="1790" width="9.140625" style="432"/>
    <col min="1791" max="1791" width="7.5703125" style="432" customWidth="1"/>
    <col min="1792" max="1793" width="9.140625" style="432"/>
    <col min="1794" max="1794" width="5.85546875" style="432" customWidth="1"/>
    <col min="1795" max="1795" width="1.42578125" style="432" customWidth="1"/>
    <col min="1796" max="1796" width="15.85546875" style="432" customWidth="1"/>
    <col min="1797" max="1797" width="14.140625" style="432" customWidth="1"/>
    <col min="1798" max="1798" width="15.7109375" style="432" customWidth="1"/>
    <col min="1799" max="1799" width="16.42578125" style="432" customWidth="1"/>
    <col min="1800" max="2046" width="9.140625" style="432"/>
    <col min="2047" max="2047" width="7.5703125" style="432" customWidth="1"/>
    <col min="2048" max="2049" width="9.140625" style="432"/>
    <col min="2050" max="2050" width="5.85546875" style="432" customWidth="1"/>
    <col min="2051" max="2051" width="1.42578125" style="432" customWidth="1"/>
    <col min="2052" max="2052" width="15.85546875" style="432" customWidth="1"/>
    <col min="2053" max="2053" width="14.140625" style="432" customWidth="1"/>
    <col min="2054" max="2054" width="15.7109375" style="432" customWidth="1"/>
    <col min="2055" max="2055" width="16.42578125" style="432" customWidth="1"/>
    <col min="2056" max="2302" width="9.140625" style="432"/>
    <col min="2303" max="2303" width="7.5703125" style="432" customWidth="1"/>
    <col min="2304" max="2305" width="9.140625" style="432"/>
    <col min="2306" max="2306" width="5.85546875" style="432" customWidth="1"/>
    <col min="2307" max="2307" width="1.42578125" style="432" customWidth="1"/>
    <col min="2308" max="2308" width="15.85546875" style="432" customWidth="1"/>
    <col min="2309" max="2309" width="14.140625" style="432" customWidth="1"/>
    <col min="2310" max="2310" width="15.7109375" style="432" customWidth="1"/>
    <col min="2311" max="2311" width="16.42578125" style="432" customWidth="1"/>
    <col min="2312" max="2558" width="9.140625" style="432"/>
    <col min="2559" max="2559" width="7.5703125" style="432" customWidth="1"/>
    <col min="2560" max="2561" width="9.140625" style="432"/>
    <col min="2562" max="2562" width="5.85546875" style="432" customWidth="1"/>
    <col min="2563" max="2563" width="1.42578125" style="432" customWidth="1"/>
    <col min="2564" max="2564" width="15.85546875" style="432" customWidth="1"/>
    <col min="2565" max="2565" width="14.140625" style="432" customWidth="1"/>
    <col min="2566" max="2566" width="15.7109375" style="432" customWidth="1"/>
    <col min="2567" max="2567" width="16.42578125" style="432" customWidth="1"/>
    <col min="2568" max="2814" width="9.140625" style="432"/>
    <col min="2815" max="2815" width="7.5703125" style="432" customWidth="1"/>
    <col min="2816" max="2817" width="9.140625" style="432"/>
    <col min="2818" max="2818" width="5.85546875" style="432" customWidth="1"/>
    <col min="2819" max="2819" width="1.42578125" style="432" customWidth="1"/>
    <col min="2820" max="2820" width="15.85546875" style="432" customWidth="1"/>
    <col min="2821" max="2821" width="14.140625" style="432" customWidth="1"/>
    <col min="2822" max="2822" width="15.7109375" style="432" customWidth="1"/>
    <col min="2823" max="2823" width="16.42578125" style="432" customWidth="1"/>
    <col min="2824" max="3070" width="9.140625" style="432"/>
    <col min="3071" max="3071" width="7.5703125" style="432" customWidth="1"/>
    <col min="3072" max="3073" width="9.140625" style="432"/>
    <col min="3074" max="3074" width="5.85546875" style="432" customWidth="1"/>
    <col min="3075" max="3075" width="1.42578125" style="432" customWidth="1"/>
    <col min="3076" max="3076" width="15.85546875" style="432" customWidth="1"/>
    <col min="3077" max="3077" width="14.140625" style="432" customWidth="1"/>
    <col min="3078" max="3078" width="15.7109375" style="432" customWidth="1"/>
    <col min="3079" max="3079" width="16.42578125" style="432" customWidth="1"/>
    <col min="3080" max="3326" width="9.140625" style="432"/>
    <col min="3327" max="3327" width="7.5703125" style="432" customWidth="1"/>
    <col min="3328" max="3329" width="9.140625" style="432"/>
    <col min="3330" max="3330" width="5.85546875" style="432" customWidth="1"/>
    <col min="3331" max="3331" width="1.42578125" style="432" customWidth="1"/>
    <col min="3332" max="3332" width="15.85546875" style="432" customWidth="1"/>
    <col min="3333" max="3333" width="14.140625" style="432" customWidth="1"/>
    <col min="3334" max="3334" width="15.7109375" style="432" customWidth="1"/>
    <col min="3335" max="3335" width="16.42578125" style="432" customWidth="1"/>
    <col min="3336" max="3582" width="9.140625" style="432"/>
    <col min="3583" max="3583" width="7.5703125" style="432" customWidth="1"/>
    <col min="3584" max="3585" width="9.140625" style="432"/>
    <col min="3586" max="3586" width="5.85546875" style="432" customWidth="1"/>
    <col min="3587" max="3587" width="1.42578125" style="432" customWidth="1"/>
    <col min="3588" max="3588" width="15.85546875" style="432" customWidth="1"/>
    <col min="3589" max="3589" width="14.140625" style="432" customWidth="1"/>
    <col min="3590" max="3590" width="15.7109375" style="432" customWidth="1"/>
    <col min="3591" max="3591" width="16.42578125" style="432" customWidth="1"/>
    <col min="3592" max="3838" width="9.140625" style="432"/>
    <col min="3839" max="3839" width="7.5703125" style="432" customWidth="1"/>
    <col min="3840" max="3841" width="9.140625" style="432"/>
    <col min="3842" max="3842" width="5.85546875" style="432" customWidth="1"/>
    <col min="3843" max="3843" width="1.42578125" style="432" customWidth="1"/>
    <col min="3844" max="3844" width="15.85546875" style="432" customWidth="1"/>
    <col min="3845" max="3845" width="14.140625" style="432" customWidth="1"/>
    <col min="3846" max="3846" width="15.7109375" style="432" customWidth="1"/>
    <col min="3847" max="3847" width="16.42578125" style="432" customWidth="1"/>
    <col min="3848" max="4094" width="9.140625" style="432"/>
    <col min="4095" max="4095" width="7.5703125" style="432" customWidth="1"/>
    <col min="4096" max="4097" width="9.140625" style="432"/>
    <col min="4098" max="4098" width="5.85546875" style="432" customWidth="1"/>
    <col min="4099" max="4099" width="1.42578125" style="432" customWidth="1"/>
    <col min="4100" max="4100" width="15.85546875" style="432" customWidth="1"/>
    <col min="4101" max="4101" width="14.140625" style="432" customWidth="1"/>
    <col min="4102" max="4102" width="15.7109375" style="432" customWidth="1"/>
    <col min="4103" max="4103" width="16.42578125" style="432" customWidth="1"/>
    <col min="4104" max="4350" width="9.140625" style="432"/>
    <col min="4351" max="4351" width="7.5703125" style="432" customWidth="1"/>
    <col min="4352" max="4353" width="9.140625" style="432"/>
    <col min="4354" max="4354" width="5.85546875" style="432" customWidth="1"/>
    <col min="4355" max="4355" width="1.42578125" style="432" customWidth="1"/>
    <col min="4356" max="4356" width="15.85546875" style="432" customWidth="1"/>
    <col min="4357" max="4357" width="14.140625" style="432" customWidth="1"/>
    <col min="4358" max="4358" width="15.7109375" style="432" customWidth="1"/>
    <col min="4359" max="4359" width="16.42578125" style="432" customWidth="1"/>
    <col min="4360" max="4606" width="9.140625" style="432"/>
    <col min="4607" max="4607" width="7.5703125" style="432" customWidth="1"/>
    <col min="4608" max="4609" width="9.140625" style="432"/>
    <col min="4610" max="4610" width="5.85546875" style="432" customWidth="1"/>
    <col min="4611" max="4611" width="1.42578125" style="432" customWidth="1"/>
    <col min="4612" max="4612" width="15.85546875" style="432" customWidth="1"/>
    <col min="4613" max="4613" width="14.140625" style="432" customWidth="1"/>
    <col min="4614" max="4614" width="15.7109375" style="432" customWidth="1"/>
    <col min="4615" max="4615" width="16.42578125" style="432" customWidth="1"/>
    <col min="4616" max="4862" width="9.140625" style="432"/>
    <col min="4863" max="4863" width="7.5703125" style="432" customWidth="1"/>
    <col min="4864" max="4865" width="9.140625" style="432"/>
    <col min="4866" max="4866" width="5.85546875" style="432" customWidth="1"/>
    <col min="4867" max="4867" width="1.42578125" style="432" customWidth="1"/>
    <col min="4868" max="4868" width="15.85546875" style="432" customWidth="1"/>
    <col min="4869" max="4869" width="14.140625" style="432" customWidth="1"/>
    <col min="4870" max="4870" width="15.7109375" style="432" customWidth="1"/>
    <col min="4871" max="4871" width="16.42578125" style="432" customWidth="1"/>
    <col min="4872" max="5118" width="9.140625" style="432"/>
    <col min="5119" max="5119" width="7.5703125" style="432" customWidth="1"/>
    <col min="5120" max="5121" width="9.140625" style="432"/>
    <col min="5122" max="5122" width="5.85546875" style="432" customWidth="1"/>
    <col min="5123" max="5123" width="1.42578125" style="432" customWidth="1"/>
    <col min="5124" max="5124" width="15.85546875" style="432" customWidth="1"/>
    <col min="5125" max="5125" width="14.140625" style="432" customWidth="1"/>
    <col min="5126" max="5126" width="15.7109375" style="432" customWidth="1"/>
    <col min="5127" max="5127" width="16.42578125" style="432" customWidth="1"/>
    <col min="5128" max="5374" width="9.140625" style="432"/>
    <col min="5375" max="5375" width="7.5703125" style="432" customWidth="1"/>
    <col min="5376" max="5377" width="9.140625" style="432"/>
    <col min="5378" max="5378" width="5.85546875" style="432" customWidth="1"/>
    <col min="5379" max="5379" width="1.42578125" style="432" customWidth="1"/>
    <col min="5380" max="5380" width="15.85546875" style="432" customWidth="1"/>
    <col min="5381" max="5381" width="14.140625" style="432" customWidth="1"/>
    <col min="5382" max="5382" width="15.7109375" style="432" customWidth="1"/>
    <col min="5383" max="5383" width="16.42578125" style="432" customWidth="1"/>
    <col min="5384" max="5630" width="9.140625" style="432"/>
    <col min="5631" max="5631" width="7.5703125" style="432" customWidth="1"/>
    <col min="5632" max="5633" width="9.140625" style="432"/>
    <col min="5634" max="5634" width="5.85546875" style="432" customWidth="1"/>
    <col min="5635" max="5635" width="1.42578125" style="432" customWidth="1"/>
    <col min="5636" max="5636" width="15.85546875" style="432" customWidth="1"/>
    <col min="5637" max="5637" width="14.140625" style="432" customWidth="1"/>
    <col min="5638" max="5638" width="15.7109375" style="432" customWidth="1"/>
    <col min="5639" max="5639" width="16.42578125" style="432" customWidth="1"/>
    <col min="5640" max="5886" width="9.140625" style="432"/>
    <col min="5887" max="5887" width="7.5703125" style="432" customWidth="1"/>
    <col min="5888" max="5889" width="9.140625" style="432"/>
    <col min="5890" max="5890" width="5.85546875" style="432" customWidth="1"/>
    <col min="5891" max="5891" width="1.42578125" style="432" customWidth="1"/>
    <col min="5892" max="5892" width="15.85546875" style="432" customWidth="1"/>
    <col min="5893" max="5893" width="14.140625" style="432" customWidth="1"/>
    <col min="5894" max="5894" width="15.7109375" style="432" customWidth="1"/>
    <col min="5895" max="5895" width="16.42578125" style="432" customWidth="1"/>
    <col min="5896" max="6142" width="9.140625" style="432"/>
    <col min="6143" max="6143" width="7.5703125" style="432" customWidth="1"/>
    <col min="6144" max="6145" width="9.140625" style="432"/>
    <col min="6146" max="6146" width="5.85546875" style="432" customWidth="1"/>
    <col min="6147" max="6147" width="1.42578125" style="432" customWidth="1"/>
    <col min="6148" max="6148" width="15.85546875" style="432" customWidth="1"/>
    <col min="6149" max="6149" width="14.140625" style="432" customWidth="1"/>
    <col min="6150" max="6150" width="15.7109375" style="432" customWidth="1"/>
    <col min="6151" max="6151" width="16.42578125" style="432" customWidth="1"/>
    <col min="6152" max="6398" width="9.140625" style="432"/>
    <col min="6399" max="6399" width="7.5703125" style="432" customWidth="1"/>
    <col min="6400" max="6401" width="9.140625" style="432"/>
    <col min="6402" max="6402" width="5.85546875" style="432" customWidth="1"/>
    <col min="6403" max="6403" width="1.42578125" style="432" customWidth="1"/>
    <col min="6404" max="6404" width="15.85546875" style="432" customWidth="1"/>
    <col min="6405" max="6405" width="14.140625" style="432" customWidth="1"/>
    <col min="6406" max="6406" width="15.7109375" style="432" customWidth="1"/>
    <col min="6407" max="6407" width="16.42578125" style="432" customWidth="1"/>
    <col min="6408" max="6654" width="9.140625" style="432"/>
    <col min="6655" max="6655" width="7.5703125" style="432" customWidth="1"/>
    <col min="6656" max="6657" width="9.140625" style="432"/>
    <col min="6658" max="6658" width="5.85546875" style="432" customWidth="1"/>
    <col min="6659" max="6659" width="1.42578125" style="432" customWidth="1"/>
    <col min="6660" max="6660" width="15.85546875" style="432" customWidth="1"/>
    <col min="6661" max="6661" width="14.140625" style="432" customWidth="1"/>
    <col min="6662" max="6662" width="15.7109375" style="432" customWidth="1"/>
    <col min="6663" max="6663" width="16.42578125" style="432" customWidth="1"/>
    <col min="6664" max="6910" width="9.140625" style="432"/>
    <col min="6911" max="6911" width="7.5703125" style="432" customWidth="1"/>
    <col min="6912" max="6913" width="9.140625" style="432"/>
    <col min="6914" max="6914" width="5.85546875" style="432" customWidth="1"/>
    <col min="6915" max="6915" width="1.42578125" style="432" customWidth="1"/>
    <col min="6916" max="6916" width="15.85546875" style="432" customWidth="1"/>
    <col min="6917" max="6917" width="14.140625" style="432" customWidth="1"/>
    <col min="6918" max="6918" width="15.7109375" style="432" customWidth="1"/>
    <col min="6919" max="6919" width="16.42578125" style="432" customWidth="1"/>
    <col min="6920" max="7166" width="9.140625" style="432"/>
    <col min="7167" max="7167" width="7.5703125" style="432" customWidth="1"/>
    <col min="7168" max="7169" width="9.140625" style="432"/>
    <col min="7170" max="7170" width="5.85546875" style="432" customWidth="1"/>
    <col min="7171" max="7171" width="1.42578125" style="432" customWidth="1"/>
    <col min="7172" max="7172" width="15.85546875" style="432" customWidth="1"/>
    <col min="7173" max="7173" width="14.140625" style="432" customWidth="1"/>
    <col min="7174" max="7174" width="15.7109375" style="432" customWidth="1"/>
    <col min="7175" max="7175" width="16.42578125" style="432" customWidth="1"/>
    <col min="7176" max="7422" width="9.140625" style="432"/>
    <col min="7423" max="7423" width="7.5703125" style="432" customWidth="1"/>
    <col min="7424" max="7425" width="9.140625" style="432"/>
    <col min="7426" max="7426" width="5.85546875" style="432" customWidth="1"/>
    <col min="7427" max="7427" width="1.42578125" style="432" customWidth="1"/>
    <col min="7428" max="7428" width="15.85546875" style="432" customWidth="1"/>
    <col min="7429" max="7429" width="14.140625" style="432" customWidth="1"/>
    <col min="7430" max="7430" width="15.7109375" style="432" customWidth="1"/>
    <col min="7431" max="7431" width="16.42578125" style="432" customWidth="1"/>
    <col min="7432" max="7678" width="9.140625" style="432"/>
    <col min="7679" max="7679" width="7.5703125" style="432" customWidth="1"/>
    <col min="7680" max="7681" width="9.140625" style="432"/>
    <col min="7682" max="7682" width="5.85546875" style="432" customWidth="1"/>
    <col min="7683" max="7683" width="1.42578125" style="432" customWidth="1"/>
    <col min="7684" max="7684" width="15.85546875" style="432" customWidth="1"/>
    <col min="7685" max="7685" width="14.140625" style="432" customWidth="1"/>
    <col min="7686" max="7686" width="15.7109375" style="432" customWidth="1"/>
    <col min="7687" max="7687" width="16.42578125" style="432" customWidth="1"/>
    <col min="7688" max="7934" width="9.140625" style="432"/>
    <col min="7935" max="7935" width="7.5703125" style="432" customWidth="1"/>
    <col min="7936" max="7937" width="9.140625" style="432"/>
    <col min="7938" max="7938" width="5.85546875" style="432" customWidth="1"/>
    <col min="7939" max="7939" width="1.42578125" style="432" customWidth="1"/>
    <col min="7940" max="7940" width="15.85546875" style="432" customWidth="1"/>
    <col min="7941" max="7941" width="14.140625" style="432" customWidth="1"/>
    <col min="7942" max="7942" width="15.7109375" style="432" customWidth="1"/>
    <col min="7943" max="7943" width="16.42578125" style="432" customWidth="1"/>
    <col min="7944" max="8190" width="9.140625" style="432"/>
    <col min="8191" max="8191" width="7.5703125" style="432" customWidth="1"/>
    <col min="8192" max="8193" width="9.140625" style="432"/>
    <col min="8194" max="8194" width="5.85546875" style="432" customWidth="1"/>
    <col min="8195" max="8195" width="1.42578125" style="432" customWidth="1"/>
    <col min="8196" max="8196" width="15.85546875" style="432" customWidth="1"/>
    <col min="8197" max="8197" width="14.140625" style="432" customWidth="1"/>
    <col min="8198" max="8198" width="15.7109375" style="432" customWidth="1"/>
    <col min="8199" max="8199" width="16.42578125" style="432" customWidth="1"/>
    <col min="8200" max="8446" width="9.140625" style="432"/>
    <col min="8447" max="8447" width="7.5703125" style="432" customWidth="1"/>
    <col min="8448" max="8449" width="9.140625" style="432"/>
    <col min="8450" max="8450" width="5.85546875" style="432" customWidth="1"/>
    <col min="8451" max="8451" width="1.42578125" style="432" customWidth="1"/>
    <col min="8452" max="8452" width="15.85546875" style="432" customWidth="1"/>
    <col min="8453" max="8453" width="14.140625" style="432" customWidth="1"/>
    <col min="8454" max="8454" width="15.7109375" style="432" customWidth="1"/>
    <col min="8455" max="8455" width="16.42578125" style="432" customWidth="1"/>
    <col min="8456" max="8702" width="9.140625" style="432"/>
    <col min="8703" max="8703" width="7.5703125" style="432" customWidth="1"/>
    <col min="8704" max="8705" width="9.140625" style="432"/>
    <col min="8706" max="8706" width="5.85546875" style="432" customWidth="1"/>
    <col min="8707" max="8707" width="1.42578125" style="432" customWidth="1"/>
    <col min="8708" max="8708" width="15.85546875" style="432" customWidth="1"/>
    <col min="8709" max="8709" width="14.140625" style="432" customWidth="1"/>
    <col min="8710" max="8710" width="15.7109375" style="432" customWidth="1"/>
    <col min="8711" max="8711" width="16.42578125" style="432" customWidth="1"/>
    <col min="8712" max="8958" width="9.140625" style="432"/>
    <col min="8959" max="8959" width="7.5703125" style="432" customWidth="1"/>
    <col min="8960" max="8961" width="9.140625" style="432"/>
    <col min="8962" max="8962" width="5.85546875" style="432" customWidth="1"/>
    <col min="8963" max="8963" width="1.42578125" style="432" customWidth="1"/>
    <col min="8964" max="8964" width="15.85546875" style="432" customWidth="1"/>
    <col min="8965" max="8965" width="14.140625" style="432" customWidth="1"/>
    <col min="8966" max="8966" width="15.7109375" style="432" customWidth="1"/>
    <col min="8967" max="8967" width="16.42578125" style="432" customWidth="1"/>
    <col min="8968" max="9214" width="9.140625" style="432"/>
    <col min="9215" max="9215" width="7.5703125" style="432" customWidth="1"/>
    <col min="9216" max="9217" width="9.140625" style="432"/>
    <col min="9218" max="9218" width="5.85546875" style="432" customWidth="1"/>
    <col min="9219" max="9219" width="1.42578125" style="432" customWidth="1"/>
    <col min="9220" max="9220" width="15.85546875" style="432" customWidth="1"/>
    <col min="9221" max="9221" width="14.140625" style="432" customWidth="1"/>
    <col min="9222" max="9222" width="15.7109375" style="432" customWidth="1"/>
    <col min="9223" max="9223" width="16.42578125" style="432" customWidth="1"/>
    <col min="9224" max="9470" width="9.140625" style="432"/>
    <col min="9471" max="9471" width="7.5703125" style="432" customWidth="1"/>
    <col min="9472" max="9473" width="9.140625" style="432"/>
    <col min="9474" max="9474" width="5.85546875" style="432" customWidth="1"/>
    <col min="9475" max="9475" width="1.42578125" style="432" customWidth="1"/>
    <col min="9476" max="9476" width="15.85546875" style="432" customWidth="1"/>
    <col min="9477" max="9477" width="14.140625" style="432" customWidth="1"/>
    <col min="9478" max="9478" width="15.7109375" style="432" customWidth="1"/>
    <col min="9479" max="9479" width="16.42578125" style="432" customWidth="1"/>
    <col min="9480" max="9726" width="9.140625" style="432"/>
    <col min="9727" max="9727" width="7.5703125" style="432" customWidth="1"/>
    <col min="9728" max="9729" width="9.140625" style="432"/>
    <col min="9730" max="9730" width="5.85546875" style="432" customWidth="1"/>
    <col min="9731" max="9731" width="1.42578125" style="432" customWidth="1"/>
    <col min="9732" max="9732" width="15.85546875" style="432" customWidth="1"/>
    <col min="9733" max="9733" width="14.140625" style="432" customWidth="1"/>
    <col min="9734" max="9734" width="15.7109375" style="432" customWidth="1"/>
    <col min="9735" max="9735" width="16.42578125" style="432" customWidth="1"/>
    <col min="9736" max="9982" width="9.140625" style="432"/>
    <col min="9983" max="9983" width="7.5703125" style="432" customWidth="1"/>
    <col min="9984" max="9985" width="9.140625" style="432"/>
    <col min="9986" max="9986" width="5.85546875" style="432" customWidth="1"/>
    <col min="9987" max="9987" width="1.42578125" style="432" customWidth="1"/>
    <col min="9988" max="9988" width="15.85546875" style="432" customWidth="1"/>
    <col min="9989" max="9989" width="14.140625" style="432" customWidth="1"/>
    <col min="9990" max="9990" width="15.7109375" style="432" customWidth="1"/>
    <col min="9991" max="9991" width="16.42578125" style="432" customWidth="1"/>
    <col min="9992" max="10238" width="9.140625" style="432"/>
    <col min="10239" max="10239" width="7.5703125" style="432" customWidth="1"/>
    <col min="10240" max="10241" width="9.140625" style="432"/>
    <col min="10242" max="10242" width="5.85546875" style="432" customWidth="1"/>
    <col min="10243" max="10243" width="1.42578125" style="432" customWidth="1"/>
    <col min="10244" max="10244" width="15.85546875" style="432" customWidth="1"/>
    <col min="10245" max="10245" width="14.140625" style="432" customWidth="1"/>
    <col min="10246" max="10246" width="15.7109375" style="432" customWidth="1"/>
    <col min="10247" max="10247" width="16.42578125" style="432" customWidth="1"/>
    <col min="10248" max="10494" width="9.140625" style="432"/>
    <col min="10495" max="10495" width="7.5703125" style="432" customWidth="1"/>
    <col min="10496" max="10497" width="9.140625" style="432"/>
    <col min="10498" max="10498" width="5.85546875" style="432" customWidth="1"/>
    <col min="10499" max="10499" width="1.42578125" style="432" customWidth="1"/>
    <col min="10500" max="10500" width="15.85546875" style="432" customWidth="1"/>
    <col min="10501" max="10501" width="14.140625" style="432" customWidth="1"/>
    <col min="10502" max="10502" width="15.7109375" style="432" customWidth="1"/>
    <col min="10503" max="10503" width="16.42578125" style="432" customWidth="1"/>
    <col min="10504" max="10750" width="9.140625" style="432"/>
    <col min="10751" max="10751" width="7.5703125" style="432" customWidth="1"/>
    <col min="10752" max="10753" width="9.140625" style="432"/>
    <col min="10754" max="10754" width="5.85546875" style="432" customWidth="1"/>
    <col min="10755" max="10755" width="1.42578125" style="432" customWidth="1"/>
    <col min="10756" max="10756" width="15.85546875" style="432" customWidth="1"/>
    <col min="10757" max="10757" width="14.140625" style="432" customWidth="1"/>
    <col min="10758" max="10758" width="15.7109375" style="432" customWidth="1"/>
    <col min="10759" max="10759" width="16.42578125" style="432" customWidth="1"/>
    <col min="10760" max="11006" width="9.140625" style="432"/>
    <col min="11007" max="11007" width="7.5703125" style="432" customWidth="1"/>
    <col min="11008" max="11009" width="9.140625" style="432"/>
    <col min="11010" max="11010" width="5.85546875" style="432" customWidth="1"/>
    <col min="11011" max="11011" width="1.42578125" style="432" customWidth="1"/>
    <col min="11012" max="11012" width="15.85546875" style="432" customWidth="1"/>
    <col min="11013" max="11013" width="14.140625" style="432" customWidth="1"/>
    <col min="11014" max="11014" width="15.7109375" style="432" customWidth="1"/>
    <col min="11015" max="11015" width="16.42578125" style="432" customWidth="1"/>
    <col min="11016" max="11262" width="9.140625" style="432"/>
    <col min="11263" max="11263" width="7.5703125" style="432" customWidth="1"/>
    <col min="11264" max="11265" width="9.140625" style="432"/>
    <col min="11266" max="11266" width="5.85546875" style="432" customWidth="1"/>
    <col min="11267" max="11267" width="1.42578125" style="432" customWidth="1"/>
    <col min="11268" max="11268" width="15.85546875" style="432" customWidth="1"/>
    <col min="11269" max="11269" width="14.140625" style="432" customWidth="1"/>
    <col min="11270" max="11270" width="15.7109375" style="432" customWidth="1"/>
    <col min="11271" max="11271" width="16.42578125" style="432" customWidth="1"/>
    <col min="11272" max="11518" width="9.140625" style="432"/>
    <col min="11519" max="11519" width="7.5703125" style="432" customWidth="1"/>
    <col min="11520" max="11521" width="9.140625" style="432"/>
    <col min="11522" max="11522" width="5.85546875" style="432" customWidth="1"/>
    <col min="11523" max="11523" width="1.42578125" style="432" customWidth="1"/>
    <col min="11524" max="11524" width="15.85546875" style="432" customWidth="1"/>
    <col min="11525" max="11525" width="14.140625" style="432" customWidth="1"/>
    <col min="11526" max="11526" width="15.7109375" style="432" customWidth="1"/>
    <col min="11527" max="11527" width="16.42578125" style="432" customWidth="1"/>
    <col min="11528" max="11774" width="9.140625" style="432"/>
    <col min="11775" max="11775" width="7.5703125" style="432" customWidth="1"/>
    <col min="11776" max="11777" width="9.140625" style="432"/>
    <col min="11778" max="11778" width="5.85546875" style="432" customWidth="1"/>
    <col min="11779" max="11779" width="1.42578125" style="432" customWidth="1"/>
    <col min="11780" max="11780" width="15.85546875" style="432" customWidth="1"/>
    <col min="11781" max="11781" width="14.140625" style="432" customWidth="1"/>
    <col min="11782" max="11782" width="15.7109375" style="432" customWidth="1"/>
    <col min="11783" max="11783" width="16.42578125" style="432" customWidth="1"/>
    <col min="11784" max="12030" width="9.140625" style="432"/>
    <col min="12031" max="12031" width="7.5703125" style="432" customWidth="1"/>
    <col min="12032" max="12033" width="9.140625" style="432"/>
    <col min="12034" max="12034" width="5.85546875" style="432" customWidth="1"/>
    <col min="12035" max="12035" width="1.42578125" style="432" customWidth="1"/>
    <col min="12036" max="12036" width="15.85546875" style="432" customWidth="1"/>
    <col min="12037" max="12037" width="14.140625" style="432" customWidth="1"/>
    <col min="12038" max="12038" width="15.7109375" style="432" customWidth="1"/>
    <col min="12039" max="12039" width="16.42578125" style="432" customWidth="1"/>
    <col min="12040" max="12286" width="9.140625" style="432"/>
    <col min="12287" max="12287" width="7.5703125" style="432" customWidth="1"/>
    <col min="12288" max="12289" width="9.140625" style="432"/>
    <col min="12290" max="12290" width="5.85546875" style="432" customWidth="1"/>
    <col min="12291" max="12291" width="1.42578125" style="432" customWidth="1"/>
    <col min="12292" max="12292" width="15.85546875" style="432" customWidth="1"/>
    <col min="12293" max="12293" width="14.140625" style="432" customWidth="1"/>
    <col min="12294" max="12294" width="15.7109375" style="432" customWidth="1"/>
    <col min="12295" max="12295" width="16.42578125" style="432" customWidth="1"/>
    <col min="12296" max="12542" width="9.140625" style="432"/>
    <col min="12543" max="12543" width="7.5703125" style="432" customWidth="1"/>
    <col min="12544" max="12545" width="9.140625" style="432"/>
    <col min="12546" max="12546" width="5.85546875" style="432" customWidth="1"/>
    <col min="12547" max="12547" width="1.42578125" style="432" customWidth="1"/>
    <col min="12548" max="12548" width="15.85546875" style="432" customWidth="1"/>
    <col min="12549" max="12549" width="14.140625" style="432" customWidth="1"/>
    <col min="12550" max="12550" width="15.7109375" style="432" customWidth="1"/>
    <col min="12551" max="12551" width="16.42578125" style="432" customWidth="1"/>
    <col min="12552" max="12798" width="9.140625" style="432"/>
    <col min="12799" max="12799" width="7.5703125" style="432" customWidth="1"/>
    <col min="12800" max="12801" width="9.140625" style="432"/>
    <col min="12802" max="12802" width="5.85546875" style="432" customWidth="1"/>
    <col min="12803" max="12803" width="1.42578125" style="432" customWidth="1"/>
    <col min="12804" max="12804" width="15.85546875" style="432" customWidth="1"/>
    <col min="12805" max="12805" width="14.140625" style="432" customWidth="1"/>
    <col min="12806" max="12806" width="15.7109375" style="432" customWidth="1"/>
    <col min="12807" max="12807" width="16.42578125" style="432" customWidth="1"/>
    <col min="12808" max="13054" width="9.140625" style="432"/>
    <col min="13055" max="13055" width="7.5703125" style="432" customWidth="1"/>
    <col min="13056" max="13057" width="9.140625" style="432"/>
    <col min="13058" max="13058" width="5.85546875" style="432" customWidth="1"/>
    <col min="13059" max="13059" width="1.42578125" style="432" customWidth="1"/>
    <col min="13060" max="13060" width="15.85546875" style="432" customWidth="1"/>
    <col min="13061" max="13061" width="14.140625" style="432" customWidth="1"/>
    <col min="13062" max="13062" width="15.7109375" style="432" customWidth="1"/>
    <col min="13063" max="13063" width="16.42578125" style="432" customWidth="1"/>
    <col min="13064" max="13310" width="9.140625" style="432"/>
    <col min="13311" max="13311" width="7.5703125" style="432" customWidth="1"/>
    <col min="13312" max="13313" width="9.140625" style="432"/>
    <col min="13314" max="13314" width="5.85546875" style="432" customWidth="1"/>
    <col min="13315" max="13315" width="1.42578125" style="432" customWidth="1"/>
    <col min="13316" max="13316" width="15.85546875" style="432" customWidth="1"/>
    <col min="13317" max="13317" width="14.140625" style="432" customWidth="1"/>
    <col min="13318" max="13318" width="15.7109375" style="432" customWidth="1"/>
    <col min="13319" max="13319" width="16.42578125" style="432" customWidth="1"/>
    <col min="13320" max="13566" width="9.140625" style="432"/>
    <col min="13567" max="13567" width="7.5703125" style="432" customWidth="1"/>
    <col min="13568" max="13569" width="9.140625" style="432"/>
    <col min="13570" max="13570" width="5.85546875" style="432" customWidth="1"/>
    <col min="13571" max="13571" width="1.42578125" style="432" customWidth="1"/>
    <col min="13572" max="13572" width="15.85546875" style="432" customWidth="1"/>
    <col min="13573" max="13573" width="14.140625" style="432" customWidth="1"/>
    <col min="13574" max="13574" width="15.7109375" style="432" customWidth="1"/>
    <col min="13575" max="13575" width="16.42578125" style="432" customWidth="1"/>
    <col min="13576" max="13822" width="9.140625" style="432"/>
    <col min="13823" max="13823" width="7.5703125" style="432" customWidth="1"/>
    <col min="13824" max="13825" width="9.140625" style="432"/>
    <col min="13826" max="13826" width="5.85546875" style="432" customWidth="1"/>
    <col min="13827" max="13827" width="1.42578125" style="432" customWidth="1"/>
    <col min="13828" max="13828" width="15.85546875" style="432" customWidth="1"/>
    <col min="13829" max="13829" width="14.140625" style="432" customWidth="1"/>
    <col min="13830" max="13830" width="15.7109375" style="432" customWidth="1"/>
    <col min="13831" max="13831" width="16.42578125" style="432" customWidth="1"/>
    <col min="13832" max="14078" width="9.140625" style="432"/>
    <col min="14079" max="14079" width="7.5703125" style="432" customWidth="1"/>
    <col min="14080" max="14081" width="9.140625" style="432"/>
    <col min="14082" max="14082" width="5.85546875" style="432" customWidth="1"/>
    <col min="14083" max="14083" width="1.42578125" style="432" customWidth="1"/>
    <col min="14084" max="14084" width="15.85546875" style="432" customWidth="1"/>
    <col min="14085" max="14085" width="14.140625" style="432" customWidth="1"/>
    <col min="14086" max="14086" width="15.7109375" style="432" customWidth="1"/>
    <col min="14087" max="14087" width="16.42578125" style="432" customWidth="1"/>
    <col min="14088" max="14334" width="9.140625" style="432"/>
    <col min="14335" max="14335" width="7.5703125" style="432" customWidth="1"/>
    <col min="14336" max="14337" width="9.140625" style="432"/>
    <col min="14338" max="14338" width="5.85546875" style="432" customWidth="1"/>
    <col min="14339" max="14339" width="1.42578125" style="432" customWidth="1"/>
    <col min="14340" max="14340" width="15.85546875" style="432" customWidth="1"/>
    <col min="14341" max="14341" width="14.140625" style="432" customWidth="1"/>
    <col min="14342" max="14342" width="15.7109375" style="432" customWidth="1"/>
    <col min="14343" max="14343" width="16.42578125" style="432" customWidth="1"/>
    <col min="14344" max="14590" width="9.140625" style="432"/>
    <col min="14591" max="14591" width="7.5703125" style="432" customWidth="1"/>
    <col min="14592" max="14593" width="9.140625" style="432"/>
    <col min="14594" max="14594" width="5.85546875" style="432" customWidth="1"/>
    <col min="14595" max="14595" width="1.42578125" style="432" customWidth="1"/>
    <col min="14596" max="14596" width="15.85546875" style="432" customWidth="1"/>
    <col min="14597" max="14597" width="14.140625" style="432" customWidth="1"/>
    <col min="14598" max="14598" width="15.7109375" style="432" customWidth="1"/>
    <col min="14599" max="14599" width="16.42578125" style="432" customWidth="1"/>
    <col min="14600" max="14846" width="9.140625" style="432"/>
    <col min="14847" max="14847" width="7.5703125" style="432" customWidth="1"/>
    <col min="14848" max="14849" width="9.140625" style="432"/>
    <col min="14850" max="14850" width="5.85546875" style="432" customWidth="1"/>
    <col min="14851" max="14851" width="1.42578125" style="432" customWidth="1"/>
    <col min="14852" max="14852" width="15.85546875" style="432" customWidth="1"/>
    <col min="14853" max="14853" width="14.140625" style="432" customWidth="1"/>
    <col min="14854" max="14854" width="15.7109375" style="432" customWidth="1"/>
    <col min="14855" max="14855" width="16.42578125" style="432" customWidth="1"/>
    <col min="14856" max="15102" width="9.140625" style="432"/>
    <col min="15103" max="15103" width="7.5703125" style="432" customWidth="1"/>
    <col min="15104" max="15105" width="9.140625" style="432"/>
    <col min="15106" max="15106" width="5.85546875" style="432" customWidth="1"/>
    <col min="15107" max="15107" width="1.42578125" style="432" customWidth="1"/>
    <col min="15108" max="15108" width="15.85546875" style="432" customWidth="1"/>
    <col min="15109" max="15109" width="14.140625" style="432" customWidth="1"/>
    <col min="15110" max="15110" width="15.7109375" style="432" customWidth="1"/>
    <col min="15111" max="15111" width="16.42578125" style="432" customWidth="1"/>
    <col min="15112" max="15358" width="9.140625" style="432"/>
    <col min="15359" max="15359" width="7.5703125" style="432" customWidth="1"/>
    <col min="15360" max="15361" width="9.140625" style="432"/>
    <col min="15362" max="15362" width="5.85546875" style="432" customWidth="1"/>
    <col min="15363" max="15363" width="1.42578125" style="432" customWidth="1"/>
    <col min="15364" max="15364" width="15.85546875" style="432" customWidth="1"/>
    <col min="15365" max="15365" width="14.140625" style="432" customWidth="1"/>
    <col min="15366" max="15366" width="15.7109375" style="432" customWidth="1"/>
    <col min="15367" max="15367" width="16.42578125" style="432" customWidth="1"/>
    <col min="15368" max="15614" width="9.140625" style="432"/>
    <col min="15615" max="15615" width="7.5703125" style="432" customWidth="1"/>
    <col min="15616" max="15617" width="9.140625" style="432"/>
    <col min="15618" max="15618" width="5.85546875" style="432" customWidth="1"/>
    <col min="15619" max="15619" width="1.42578125" style="432" customWidth="1"/>
    <col min="15620" max="15620" width="15.85546875" style="432" customWidth="1"/>
    <col min="15621" max="15621" width="14.140625" style="432" customWidth="1"/>
    <col min="15622" max="15622" width="15.7109375" style="432" customWidth="1"/>
    <col min="15623" max="15623" width="16.42578125" style="432" customWidth="1"/>
    <col min="15624" max="15870" width="9.140625" style="432"/>
    <col min="15871" max="15871" width="7.5703125" style="432" customWidth="1"/>
    <col min="15872" max="15873" width="9.140625" style="432"/>
    <col min="15874" max="15874" width="5.85546875" style="432" customWidth="1"/>
    <col min="15875" max="15875" width="1.42578125" style="432" customWidth="1"/>
    <col min="15876" max="15876" width="15.85546875" style="432" customWidth="1"/>
    <col min="15877" max="15877" width="14.140625" style="432" customWidth="1"/>
    <col min="15878" max="15878" width="15.7109375" style="432" customWidth="1"/>
    <col min="15879" max="15879" width="16.42578125" style="432" customWidth="1"/>
    <col min="15880" max="16126" width="9.140625" style="432"/>
    <col min="16127" max="16127" width="7.5703125" style="432" customWidth="1"/>
    <col min="16128" max="16129" width="9.140625" style="432"/>
    <col min="16130" max="16130" width="5.85546875" style="432" customWidth="1"/>
    <col min="16131" max="16131" width="1.42578125" style="432" customWidth="1"/>
    <col min="16132" max="16132" width="15.85546875" style="432" customWidth="1"/>
    <col min="16133" max="16133" width="14.140625" style="432" customWidth="1"/>
    <col min="16134" max="16134" width="15.7109375" style="432" customWidth="1"/>
    <col min="16135" max="16135" width="16.42578125" style="432" customWidth="1"/>
    <col min="16136" max="16384" width="9.140625" style="432"/>
  </cols>
  <sheetData>
    <row r="1" spans="2:7" ht="18">
      <c r="B1" s="2080" t="s">
        <v>1520</v>
      </c>
      <c r="C1" s="2080"/>
      <c r="D1" s="2080"/>
      <c r="E1" s="2080"/>
      <c r="F1" s="2080"/>
      <c r="G1" s="2080"/>
    </row>
    <row r="2" spans="2:7" ht="18">
      <c r="B2" s="1781"/>
      <c r="C2" s="1781"/>
      <c r="D2" s="1782"/>
      <c r="E2" s="1809"/>
      <c r="F2" s="1809"/>
      <c r="G2" s="1841"/>
    </row>
    <row r="3" spans="2:7" ht="18">
      <c r="B3" s="2110" t="s">
        <v>1521</v>
      </c>
      <c r="C3" s="2110"/>
      <c r="D3" s="2110"/>
      <c r="E3" s="2110"/>
      <c r="F3" s="1810"/>
      <c r="G3" s="1842"/>
    </row>
    <row r="4" spans="2:7" ht="18">
      <c r="B4" s="2110" t="s">
        <v>1299</v>
      </c>
      <c r="C4" s="2110"/>
      <c r="D4" s="2110"/>
      <c r="E4" s="2110"/>
      <c r="F4" s="1811"/>
      <c r="G4" s="1842"/>
    </row>
    <row r="5" spans="2:7" ht="18">
      <c r="B5" s="2110" t="s">
        <v>1522</v>
      </c>
      <c r="C5" s="2110"/>
      <c r="D5" s="2110"/>
      <c r="E5" s="2110"/>
      <c r="F5" s="1811"/>
      <c r="G5" s="1843"/>
    </row>
    <row r="6" spans="2:7" ht="18">
      <c r="B6" s="2110" t="s">
        <v>1523</v>
      </c>
      <c r="C6" s="2110"/>
      <c r="D6" s="2110"/>
      <c r="E6" s="2110"/>
      <c r="F6" s="1808"/>
      <c r="G6" s="1843"/>
    </row>
    <row r="7" spans="2:7" ht="18">
      <c r="B7" s="2110" t="s">
        <v>3534</v>
      </c>
      <c r="C7" s="2110"/>
      <c r="D7" s="2110"/>
      <c r="E7" s="2110"/>
      <c r="F7" s="1843"/>
      <c r="G7" s="1843"/>
    </row>
    <row r="8" spans="2:7" ht="18">
      <c r="B8" s="1783"/>
      <c r="C8" s="1783"/>
      <c r="D8" s="1783"/>
      <c r="E8" s="1783"/>
      <c r="F8" s="1843"/>
      <c r="G8" s="1843"/>
    </row>
    <row r="9" spans="2:7" ht="18">
      <c r="B9" s="1783"/>
      <c r="C9" s="1783"/>
      <c r="D9" s="1783"/>
      <c r="E9" s="1783"/>
      <c r="F9" s="1843"/>
      <c r="G9" s="1843"/>
    </row>
    <row r="10" spans="2:7" ht="18">
      <c r="B10" s="1783"/>
      <c r="C10" s="1783"/>
      <c r="D10" s="1783"/>
      <c r="E10" s="1783"/>
      <c r="F10" s="1843"/>
      <c r="G10" s="1843"/>
    </row>
    <row r="11" spans="2:7" ht="18">
      <c r="B11" s="2087" t="s">
        <v>1301</v>
      </c>
      <c r="C11" s="2087"/>
      <c r="D11" s="2087"/>
      <c r="E11" s="2087"/>
      <c r="F11" s="2087"/>
      <c r="G11" s="2087"/>
    </row>
    <row r="12" spans="2:7" ht="18">
      <c r="B12" s="1870"/>
      <c r="C12" s="1870"/>
      <c r="D12" s="1870"/>
      <c r="E12" s="1870"/>
      <c r="F12" s="1870"/>
      <c r="G12" s="1870"/>
    </row>
    <row r="13" spans="2:7" ht="18">
      <c r="B13" s="1870"/>
      <c r="C13" s="1870"/>
      <c r="D13" s="1870"/>
      <c r="E13" s="1870"/>
      <c r="F13" s="1870"/>
      <c r="G13" s="1870"/>
    </row>
    <row r="14" spans="2:7" ht="18">
      <c r="B14" s="1870"/>
      <c r="C14" s="1871"/>
      <c r="D14" s="1870"/>
      <c r="E14" s="1870"/>
      <c r="F14" s="1870"/>
      <c r="G14" s="1870"/>
    </row>
    <row r="15" spans="2:7" ht="15.75">
      <c r="B15" s="2167" t="s">
        <v>1302</v>
      </c>
      <c r="C15" s="2170" t="s">
        <v>0</v>
      </c>
      <c r="D15" s="2171" t="s">
        <v>1303</v>
      </c>
      <c r="E15" s="2171"/>
      <c r="F15" s="2171" t="s">
        <v>1304</v>
      </c>
      <c r="G15" s="2172"/>
    </row>
    <row r="16" spans="2:7" ht="15.75">
      <c r="B16" s="2168"/>
      <c r="C16" s="2170"/>
      <c r="D16" s="1845" t="s">
        <v>1305</v>
      </c>
      <c r="E16" s="1845" t="s">
        <v>1306</v>
      </c>
      <c r="F16" s="1845" t="s">
        <v>1305</v>
      </c>
      <c r="G16" s="1846" t="s">
        <v>1306</v>
      </c>
    </row>
    <row r="17" spans="2:7" ht="15.75">
      <c r="B17" s="2169"/>
      <c r="C17" s="2170"/>
      <c r="D17" s="1847" t="s">
        <v>1307</v>
      </c>
      <c r="E17" s="1847" t="s">
        <v>1308</v>
      </c>
      <c r="F17" s="1847" t="s">
        <v>1307</v>
      </c>
      <c r="G17" s="1848" t="s">
        <v>1308</v>
      </c>
    </row>
    <row r="18" spans="2:7" ht="15.75">
      <c r="B18" s="1849"/>
      <c r="C18" s="1850" t="s">
        <v>1309</v>
      </c>
      <c r="D18" s="1851"/>
      <c r="E18" s="1852"/>
      <c r="F18" s="1853"/>
      <c r="G18" s="1854"/>
    </row>
    <row r="19" spans="2:7" ht="15.75">
      <c r="B19" s="1849">
        <v>1</v>
      </c>
      <c r="C19" s="1855" t="s">
        <v>1310</v>
      </c>
      <c r="D19" s="1856">
        <v>239171.33</v>
      </c>
      <c r="E19" s="1856">
        <f>'Admin. Meas.'!I16</f>
        <v>83451.95689999999</v>
      </c>
      <c r="F19" s="1857">
        <f t="shared" ref="F19:G33" si="0">D19</f>
        <v>239171.33</v>
      </c>
      <c r="G19" s="1858">
        <f t="shared" si="0"/>
        <v>83451.95689999999</v>
      </c>
    </row>
    <row r="20" spans="2:7" ht="15.75">
      <c r="B20" s="1849">
        <v>2</v>
      </c>
      <c r="C20" s="1855" t="s">
        <v>1311</v>
      </c>
      <c r="D20" s="1856">
        <v>346586</v>
      </c>
      <c r="E20" s="1856">
        <f>'Admin. Meas.'!I34</f>
        <v>277861.49079999997</v>
      </c>
      <c r="F20" s="1857">
        <f t="shared" si="0"/>
        <v>346586</v>
      </c>
      <c r="G20" s="1858">
        <f t="shared" si="0"/>
        <v>277861.49079999997</v>
      </c>
    </row>
    <row r="21" spans="2:7" ht="15.75">
      <c r="B21" s="1849">
        <v>3</v>
      </c>
      <c r="C21" s="1855" t="s">
        <v>1312</v>
      </c>
      <c r="D21" s="1856">
        <v>164250</v>
      </c>
      <c r="E21" s="1856">
        <f>'Admin. Meas.'!I38</f>
        <v>57631.200000000012</v>
      </c>
      <c r="F21" s="1857">
        <f t="shared" si="0"/>
        <v>164250</v>
      </c>
      <c r="G21" s="1858">
        <f t="shared" si="0"/>
        <v>57631.200000000012</v>
      </c>
    </row>
    <row r="22" spans="2:7" ht="15.75">
      <c r="B22" s="1849"/>
      <c r="C22" s="1859" t="s">
        <v>1313</v>
      </c>
      <c r="D22" s="1856">
        <f>SUM(D19:D21)</f>
        <v>750007.33</v>
      </c>
      <c r="E22" s="1856">
        <f>SUM(E19:E21)</f>
        <v>418944.64769999997</v>
      </c>
      <c r="F22" s="1856">
        <f>SUM(F19:F21)</f>
        <v>750007.33</v>
      </c>
      <c r="G22" s="1856">
        <f>SUM(G19:G21)</f>
        <v>418944.64769999997</v>
      </c>
    </row>
    <row r="23" spans="2:7" ht="15.75">
      <c r="B23" s="1849"/>
      <c r="C23" s="1860" t="s">
        <v>1314</v>
      </c>
      <c r="D23" s="1856"/>
      <c r="E23" s="1856"/>
      <c r="F23" s="1857">
        <f t="shared" si="0"/>
        <v>0</v>
      </c>
      <c r="G23" s="1858">
        <f t="shared" si="0"/>
        <v>0</v>
      </c>
    </row>
    <row r="24" spans="2:7" ht="15.75">
      <c r="B24" s="1849">
        <v>1</v>
      </c>
      <c r="C24" s="1855" t="s">
        <v>1311</v>
      </c>
      <c r="D24" s="1856">
        <v>113712</v>
      </c>
      <c r="E24" s="1856">
        <f>'Admin. Meas.'!I53</f>
        <v>117117.62936000002</v>
      </c>
      <c r="F24" s="1857">
        <f t="shared" si="0"/>
        <v>113712</v>
      </c>
      <c r="G24" s="1858">
        <f t="shared" si="0"/>
        <v>117117.62936000002</v>
      </c>
    </row>
    <row r="25" spans="2:7" ht="15.75">
      <c r="B25" s="1849">
        <v>2</v>
      </c>
      <c r="C25" s="1861" t="s">
        <v>1315</v>
      </c>
      <c r="D25" s="1856">
        <v>117300</v>
      </c>
      <c r="E25" s="1856">
        <f>'Admin. Meas.'!I57</f>
        <v>123243.5</v>
      </c>
      <c r="F25" s="1857">
        <f t="shared" si="0"/>
        <v>117300</v>
      </c>
      <c r="G25" s="1858">
        <f t="shared" si="0"/>
        <v>123243.5</v>
      </c>
    </row>
    <row r="26" spans="2:7" ht="15.75">
      <c r="B26" s="1849">
        <v>3</v>
      </c>
      <c r="C26" s="1855" t="s">
        <v>1596</v>
      </c>
      <c r="D26" s="1856">
        <v>143225.60000000001</v>
      </c>
      <c r="E26" s="1856">
        <f>'Admin. Meas.'!I63</f>
        <v>139410.6</v>
      </c>
      <c r="F26" s="1857">
        <f t="shared" si="0"/>
        <v>143225.60000000001</v>
      </c>
      <c r="G26" s="1858">
        <f t="shared" si="0"/>
        <v>139410.6</v>
      </c>
    </row>
    <row r="27" spans="2:7" ht="15.75">
      <c r="B27" s="1849">
        <v>4</v>
      </c>
      <c r="C27" s="1855" t="s">
        <v>1595</v>
      </c>
      <c r="D27" s="1856">
        <v>52632.08</v>
      </c>
      <c r="E27" s="1856">
        <f>'Admin. Meas.'!I72</f>
        <v>84638.36</v>
      </c>
      <c r="F27" s="1857">
        <f t="shared" si="0"/>
        <v>52632.08</v>
      </c>
      <c r="G27" s="1858">
        <f t="shared" si="0"/>
        <v>84638.36</v>
      </c>
    </row>
    <row r="28" spans="2:7" ht="15.75">
      <c r="B28" s="1849">
        <v>5</v>
      </c>
      <c r="C28" s="1855" t="s">
        <v>1318</v>
      </c>
      <c r="D28" s="1856">
        <v>246757.5</v>
      </c>
      <c r="E28" s="1856">
        <f>'Admin. Meas.'!I83</f>
        <v>67191.5</v>
      </c>
      <c r="F28" s="1857">
        <f t="shared" si="0"/>
        <v>246757.5</v>
      </c>
      <c r="G28" s="1858">
        <f t="shared" si="0"/>
        <v>67191.5</v>
      </c>
    </row>
    <row r="29" spans="2:7" ht="15.75">
      <c r="B29" s="1849">
        <v>6</v>
      </c>
      <c r="C29" s="1855" t="s">
        <v>1319</v>
      </c>
      <c r="D29" s="1856">
        <v>603125</v>
      </c>
      <c r="E29" s="1856">
        <f>'Admin. Meas.'!I94</f>
        <v>391985.065</v>
      </c>
      <c r="F29" s="1857">
        <f t="shared" si="0"/>
        <v>603125</v>
      </c>
      <c r="G29" s="1858">
        <f t="shared" si="0"/>
        <v>391985.065</v>
      </c>
    </row>
    <row r="30" spans="2:7" ht="15.75">
      <c r="B30" s="1849">
        <v>7</v>
      </c>
      <c r="C30" s="1862" t="s">
        <v>1320</v>
      </c>
      <c r="D30" s="1856">
        <v>35672</v>
      </c>
      <c r="E30" s="1856">
        <f>'Admin. Meas.'!I99</f>
        <v>20424.236000000004</v>
      </c>
      <c r="F30" s="1857">
        <f t="shared" si="0"/>
        <v>35672</v>
      </c>
      <c r="G30" s="1858">
        <f t="shared" si="0"/>
        <v>20424.236000000004</v>
      </c>
    </row>
    <row r="31" spans="2:7" ht="15.75">
      <c r="B31" s="1849">
        <v>8</v>
      </c>
      <c r="C31" s="1862" t="s">
        <v>1321</v>
      </c>
      <c r="D31" s="1856">
        <v>12345</v>
      </c>
      <c r="E31" s="1856"/>
      <c r="F31" s="1857">
        <f t="shared" si="0"/>
        <v>12345</v>
      </c>
      <c r="G31" s="1858"/>
    </row>
    <row r="32" spans="2:7" ht="15.75">
      <c r="B32" s="1849">
        <v>9</v>
      </c>
      <c r="C32" s="1862" t="s">
        <v>1322</v>
      </c>
      <c r="D32" s="1856">
        <v>18305</v>
      </c>
      <c r="E32" s="1856">
        <f>'Admin. Meas.'!I105</f>
        <v>2408.5</v>
      </c>
      <c r="F32" s="1857">
        <f t="shared" si="0"/>
        <v>18305</v>
      </c>
      <c r="G32" s="1858">
        <f t="shared" si="0"/>
        <v>2408.5</v>
      </c>
    </row>
    <row r="33" spans="2:7" ht="15.75">
      <c r="B33" s="1849">
        <v>10</v>
      </c>
      <c r="C33" s="1862" t="s">
        <v>1323</v>
      </c>
      <c r="D33" s="1856">
        <v>57266.86</v>
      </c>
      <c r="E33" s="1856">
        <f>'Admin. Meas.'!I142</f>
        <v>49242.5</v>
      </c>
      <c r="F33" s="1857">
        <f t="shared" si="0"/>
        <v>57266.86</v>
      </c>
      <c r="G33" s="1858">
        <f t="shared" si="0"/>
        <v>49242.5</v>
      </c>
    </row>
    <row r="34" spans="2:7" ht="15.75">
      <c r="B34" s="1849"/>
      <c r="C34" s="1859" t="s">
        <v>1324</v>
      </c>
      <c r="D34" s="1856">
        <f>SUM(D24:D33)</f>
        <v>1400341.04</v>
      </c>
      <c r="E34" s="1856">
        <f>SUM(E24:E33)</f>
        <v>995661.89036000008</v>
      </c>
      <c r="F34" s="1857">
        <f>SUM(F23:F33)</f>
        <v>1400341.04</v>
      </c>
      <c r="G34" s="1858">
        <f>SUM(G23:G33)</f>
        <v>995661.89036000008</v>
      </c>
    </row>
    <row r="35" spans="2:7" ht="16.5" thickBot="1">
      <c r="B35" s="1863"/>
      <c r="C35" s="1864" t="s">
        <v>1325</v>
      </c>
      <c r="D35" s="1865">
        <f>D22+D34</f>
        <v>2150348.37</v>
      </c>
      <c r="E35" s="1865">
        <f>E22+E34</f>
        <v>1414606.5380600002</v>
      </c>
      <c r="F35" s="1866">
        <f>F22+F34</f>
        <v>2150348.37</v>
      </c>
      <c r="G35" s="1867">
        <f>G22+G34</f>
        <v>1414606.5380600002</v>
      </c>
    </row>
    <row r="36" spans="2:7" ht="16.5" thickTop="1">
      <c r="B36" s="1851"/>
      <c r="C36" s="1851"/>
      <c r="D36" s="1851"/>
      <c r="E36" s="1851"/>
      <c r="F36" s="1851"/>
      <c r="G36" s="1851"/>
    </row>
    <row r="37" spans="2:7" ht="15.75">
      <c r="B37" s="1868"/>
      <c r="C37" s="1868"/>
      <c r="D37" s="1868"/>
      <c r="E37" s="1868"/>
      <c r="F37" s="1868"/>
      <c r="G37" s="1851"/>
    </row>
    <row r="38" spans="2:7" ht="15.75">
      <c r="B38" s="2173"/>
      <c r="C38" s="2173"/>
      <c r="D38" s="2173"/>
      <c r="E38" s="2173"/>
      <c r="F38" s="2173"/>
      <c r="G38" s="2173"/>
    </row>
    <row r="39" spans="2:7" ht="15.75">
      <c r="B39" s="1868" t="s">
        <v>1326</v>
      </c>
      <c r="C39" s="1868"/>
      <c r="D39" s="1868"/>
      <c r="E39" s="1868"/>
      <c r="F39" s="1868"/>
      <c r="G39" s="1851"/>
    </row>
    <row r="40" spans="2:7" ht="15.75">
      <c r="B40" s="1868" t="s">
        <v>3533</v>
      </c>
      <c r="C40" s="1868"/>
      <c r="D40" s="1868"/>
      <c r="E40" s="1869"/>
      <c r="F40" s="1868"/>
      <c r="G40" s="1851"/>
    </row>
    <row r="41" spans="2:7" ht="15.75">
      <c r="B41" s="1868"/>
      <c r="C41" s="1868"/>
      <c r="D41" s="1868"/>
      <c r="E41" s="1869"/>
      <c r="F41" s="1868"/>
      <c r="G41" s="1851"/>
    </row>
    <row r="42" spans="2:7" ht="15.75">
      <c r="B42" s="1868"/>
      <c r="C42" s="1868"/>
      <c r="D42" s="1868"/>
      <c r="E42" s="1869"/>
      <c r="F42" s="1868"/>
      <c r="G42" s="1851"/>
    </row>
    <row r="43" spans="2:7" ht="15.75">
      <c r="B43" s="1868"/>
      <c r="C43" s="1868"/>
      <c r="D43" s="1868"/>
      <c r="E43" s="1869"/>
      <c r="F43" s="1868"/>
      <c r="G43" s="1851"/>
    </row>
    <row r="44" spans="2:7" ht="15.75">
      <c r="B44" s="1868"/>
      <c r="C44" s="1868"/>
      <c r="D44" s="1868"/>
      <c r="E44" s="1869"/>
      <c r="F44" s="1868"/>
      <c r="G44" s="1851"/>
    </row>
    <row r="45" spans="2:7" ht="15.75">
      <c r="B45" s="1868"/>
      <c r="C45" s="1868"/>
      <c r="D45" s="1868"/>
      <c r="E45" s="1869"/>
      <c r="F45" s="1868"/>
      <c r="G45" s="1851"/>
    </row>
    <row r="46" spans="2:7" ht="15.75">
      <c r="B46" s="1868"/>
      <c r="C46" s="1868"/>
      <c r="D46" s="1868"/>
      <c r="E46" s="1869"/>
      <c r="F46" s="1868"/>
      <c r="G46" s="1851"/>
    </row>
    <row r="47" spans="2:7" ht="15.75">
      <c r="B47" s="1851"/>
      <c r="C47" s="1851"/>
      <c r="D47" s="1851"/>
      <c r="E47" s="1851"/>
      <c r="F47" s="1851"/>
      <c r="G47" s="1851"/>
    </row>
    <row r="48" spans="2:7" ht="15.75">
      <c r="B48" s="1851"/>
      <c r="C48" s="1851"/>
      <c r="D48" s="1851"/>
      <c r="E48" s="1851"/>
      <c r="F48" s="1851"/>
      <c r="G48" s="1851"/>
    </row>
    <row r="49" spans="2:7" ht="15.75">
      <c r="B49" s="1851"/>
      <c r="C49" s="1851"/>
      <c r="D49" s="1851"/>
      <c r="E49" s="1851"/>
      <c r="F49" s="1851"/>
      <c r="G49" s="1851"/>
    </row>
    <row r="50" spans="2:7" ht="15.75">
      <c r="B50" s="1851" t="s">
        <v>1327</v>
      </c>
      <c r="C50" s="1851"/>
      <c r="D50" s="2166"/>
      <c r="E50" s="2166"/>
      <c r="F50" s="2166" t="s">
        <v>1329</v>
      </c>
      <c r="G50" s="2166"/>
    </row>
  </sheetData>
  <mergeCells count="14">
    <mergeCell ref="B38:G38"/>
    <mergeCell ref="D50:E50"/>
    <mergeCell ref="F50:G50"/>
    <mergeCell ref="B15:B17"/>
    <mergeCell ref="C15:C17"/>
    <mergeCell ref="D15:E15"/>
    <mergeCell ref="F15:G15"/>
    <mergeCell ref="B7:E7"/>
    <mergeCell ref="B11:G11"/>
    <mergeCell ref="B1:G1"/>
    <mergeCell ref="B3:E3"/>
    <mergeCell ref="B4:E4"/>
    <mergeCell ref="B5:E5"/>
    <mergeCell ref="B6:E6"/>
  </mergeCells>
  <pageMargins left="0.7" right="0.45" top="1" bottom="0.75" header="0.3" footer="0.3"/>
  <pageSetup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0000"/>
  </sheetPr>
  <dimension ref="B1:P142"/>
  <sheetViews>
    <sheetView view="pageBreakPreview" zoomScaleSheetLayoutView="100" zoomScalePageLayoutView="85" workbookViewId="0">
      <selection activeCell="G97" sqref="G97"/>
    </sheetView>
  </sheetViews>
  <sheetFormatPr defaultRowHeight="15.75" customHeight="1"/>
  <cols>
    <col min="1" max="1" width="4.7109375" style="1562" customWidth="1"/>
    <col min="2" max="2" width="6.42578125" style="1308" customWidth="1"/>
    <col min="3" max="3" width="44.140625" style="1307" customWidth="1"/>
    <col min="4" max="4" width="6" style="1308" customWidth="1"/>
    <col min="5" max="6" width="9.85546875" style="1308" bestFit="1" customWidth="1"/>
    <col min="7" max="7" width="12.140625" style="1308" bestFit="1" customWidth="1"/>
    <col min="8" max="8" width="9.85546875" style="1303" bestFit="1" customWidth="1"/>
    <col min="9" max="9" width="13.7109375" style="1308" customWidth="1"/>
    <col min="10" max="10" width="6.140625" style="1562" hidden="1" customWidth="1"/>
    <col min="11" max="11" width="7.42578125" style="1562" hidden="1" customWidth="1"/>
    <col min="12" max="12" width="9.140625" style="1562" hidden="1" customWidth="1"/>
    <col min="13" max="13" width="2.42578125" style="1562" customWidth="1"/>
    <col min="14" max="14" width="11" style="1562" customWidth="1"/>
    <col min="15" max="257" width="9.140625" style="1562"/>
    <col min="258" max="258" width="6.140625" style="1562" customWidth="1"/>
    <col min="259" max="259" width="42.42578125" style="1562" customWidth="1"/>
    <col min="260" max="260" width="5" style="1562" customWidth="1"/>
    <col min="261" max="261" width="12.85546875" style="1562" customWidth="1"/>
    <col min="262" max="262" width="10.140625" style="1562" customWidth="1"/>
    <col min="263" max="263" width="11.42578125" style="1562" customWidth="1"/>
    <col min="264" max="264" width="9.7109375" style="1562" customWidth="1"/>
    <col min="265" max="265" width="10.85546875" style="1562" customWidth="1"/>
    <col min="266" max="268" width="0" style="1562" hidden="1" customWidth="1"/>
    <col min="269" max="269" width="9.140625" style="1562"/>
    <col min="270" max="270" width="11" style="1562" bestFit="1" customWidth="1"/>
    <col min="271" max="513" width="9.140625" style="1562"/>
    <col min="514" max="514" width="6.140625" style="1562" customWidth="1"/>
    <col min="515" max="515" width="42.42578125" style="1562" customWidth="1"/>
    <col min="516" max="516" width="5" style="1562" customWidth="1"/>
    <col min="517" max="517" width="12.85546875" style="1562" customWidth="1"/>
    <col min="518" max="518" width="10.140625" style="1562" customWidth="1"/>
    <col min="519" max="519" width="11.42578125" style="1562" customWidth="1"/>
    <col min="520" max="520" width="9.7109375" style="1562" customWidth="1"/>
    <col min="521" max="521" width="10.85546875" style="1562" customWidth="1"/>
    <col min="522" max="524" width="0" style="1562" hidden="1" customWidth="1"/>
    <col min="525" max="525" width="9.140625" style="1562"/>
    <col min="526" max="526" width="11" style="1562" bestFit="1" customWidth="1"/>
    <col min="527" max="769" width="9.140625" style="1562"/>
    <col min="770" max="770" width="6.140625" style="1562" customWidth="1"/>
    <col min="771" max="771" width="42.42578125" style="1562" customWidth="1"/>
    <col min="772" max="772" width="5" style="1562" customWidth="1"/>
    <col min="773" max="773" width="12.85546875" style="1562" customWidth="1"/>
    <col min="774" max="774" width="10.140625" style="1562" customWidth="1"/>
    <col min="775" max="775" width="11.42578125" style="1562" customWidth="1"/>
    <col min="776" max="776" width="9.7109375" style="1562" customWidth="1"/>
    <col min="777" max="777" width="10.85546875" style="1562" customWidth="1"/>
    <col min="778" max="780" width="0" style="1562" hidden="1" customWidth="1"/>
    <col min="781" max="781" width="9.140625" style="1562"/>
    <col min="782" max="782" width="11" style="1562" bestFit="1" customWidth="1"/>
    <col min="783" max="1025" width="9.140625" style="1562"/>
    <col min="1026" max="1026" width="6.140625" style="1562" customWidth="1"/>
    <col min="1027" max="1027" width="42.42578125" style="1562" customWidth="1"/>
    <col min="1028" max="1028" width="5" style="1562" customWidth="1"/>
    <col min="1029" max="1029" width="12.85546875" style="1562" customWidth="1"/>
    <col min="1030" max="1030" width="10.140625" style="1562" customWidth="1"/>
    <col min="1031" max="1031" width="11.42578125" style="1562" customWidth="1"/>
    <col min="1032" max="1032" width="9.7109375" style="1562" customWidth="1"/>
    <col min="1033" max="1033" width="10.85546875" style="1562" customWidth="1"/>
    <col min="1034" max="1036" width="0" style="1562" hidden="1" customWidth="1"/>
    <col min="1037" max="1037" width="9.140625" style="1562"/>
    <col min="1038" max="1038" width="11" style="1562" bestFit="1" customWidth="1"/>
    <col min="1039" max="1281" width="9.140625" style="1562"/>
    <col min="1282" max="1282" width="6.140625" style="1562" customWidth="1"/>
    <col min="1283" max="1283" width="42.42578125" style="1562" customWidth="1"/>
    <col min="1284" max="1284" width="5" style="1562" customWidth="1"/>
    <col min="1285" max="1285" width="12.85546875" style="1562" customWidth="1"/>
    <col min="1286" max="1286" width="10.140625" style="1562" customWidth="1"/>
    <col min="1287" max="1287" width="11.42578125" style="1562" customWidth="1"/>
    <col min="1288" max="1288" width="9.7109375" style="1562" customWidth="1"/>
    <col min="1289" max="1289" width="10.85546875" style="1562" customWidth="1"/>
    <col min="1290" max="1292" width="0" style="1562" hidden="1" customWidth="1"/>
    <col min="1293" max="1293" width="9.140625" style="1562"/>
    <col min="1294" max="1294" width="11" style="1562" bestFit="1" customWidth="1"/>
    <col min="1295" max="1537" width="9.140625" style="1562"/>
    <col min="1538" max="1538" width="6.140625" style="1562" customWidth="1"/>
    <col min="1539" max="1539" width="42.42578125" style="1562" customWidth="1"/>
    <col min="1540" max="1540" width="5" style="1562" customWidth="1"/>
    <col min="1541" max="1541" width="12.85546875" style="1562" customWidth="1"/>
    <col min="1542" max="1542" width="10.140625" style="1562" customWidth="1"/>
    <col min="1543" max="1543" width="11.42578125" style="1562" customWidth="1"/>
    <col min="1544" max="1544" width="9.7109375" style="1562" customWidth="1"/>
    <col min="1545" max="1545" width="10.85546875" style="1562" customWidth="1"/>
    <col min="1546" max="1548" width="0" style="1562" hidden="1" customWidth="1"/>
    <col min="1549" max="1549" width="9.140625" style="1562"/>
    <col min="1550" max="1550" width="11" style="1562" bestFit="1" customWidth="1"/>
    <col min="1551" max="1793" width="9.140625" style="1562"/>
    <col min="1794" max="1794" width="6.140625" style="1562" customWidth="1"/>
    <col min="1795" max="1795" width="42.42578125" style="1562" customWidth="1"/>
    <col min="1796" max="1796" width="5" style="1562" customWidth="1"/>
    <col min="1797" max="1797" width="12.85546875" style="1562" customWidth="1"/>
    <col min="1798" max="1798" width="10.140625" style="1562" customWidth="1"/>
    <col min="1799" max="1799" width="11.42578125" style="1562" customWidth="1"/>
    <col min="1800" max="1800" width="9.7109375" style="1562" customWidth="1"/>
    <col min="1801" max="1801" width="10.85546875" style="1562" customWidth="1"/>
    <col min="1802" max="1804" width="0" style="1562" hidden="1" customWidth="1"/>
    <col min="1805" max="1805" width="9.140625" style="1562"/>
    <col min="1806" max="1806" width="11" style="1562" bestFit="1" customWidth="1"/>
    <col min="1807" max="2049" width="9.140625" style="1562"/>
    <col min="2050" max="2050" width="6.140625" style="1562" customWidth="1"/>
    <col min="2051" max="2051" width="42.42578125" style="1562" customWidth="1"/>
    <col min="2052" max="2052" width="5" style="1562" customWidth="1"/>
    <col min="2053" max="2053" width="12.85546875" style="1562" customWidth="1"/>
    <col min="2054" max="2054" width="10.140625" style="1562" customWidth="1"/>
    <col min="2055" max="2055" width="11.42578125" style="1562" customWidth="1"/>
    <col min="2056" max="2056" width="9.7109375" style="1562" customWidth="1"/>
    <col min="2057" max="2057" width="10.85546875" style="1562" customWidth="1"/>
    <col min="2058" max="2060" width="0" style="1562" hidden="1" customWidth="1"/>
    <col min="2061" max="2061" width="9.140625" style="1562"/>
    <col min="2062" max="2062" width="11" style="1562" bestFit="1" customWidth="1"/>
    <col min="2063" max="2305" width="9.140625" style="1562"/>
    <col min="2306" max="2306" width="6.140625" style="1562" customWidth="1"/>
    <col min="2307" max="2307" width="42.42578125" style="1562" customWidth="1"/>
    <col min="2308" max="2308" width="5" style="1562" customWidth="1"/>
    <col min="2309" max="2309" width="12.85546875" style="1562" customWidth="1"/>
    <col min="2310" max="2310" width="10.140625" style="1562" customWidth="1"/>
    <col min="2311" max="2311" width="11.42578125" style="1562" customWidth="1"/>
    <col min="2312" max="2312" width="9.7109375" style="1562" customWidth="1"/>
    <col min="2313" max="2313" width="10.85546875" style="1562" customWidth="1"/>
    <col min="2314" max="2316" width="0" style="1562" hidden="1" customWidth="1"/>
    <col min="2317" max="2317" width="9.140625" style="1562"/>
    <col min="2318" max="2318" width="11" style="1562" bestFit="1" customWidth="1"/>
    <col min="2319" max="2561" width="9.140625" style="1562"/>
    <col min="2562" max="2562" width="6.140625" style="1562" customWidth="1"/>
    <col min="2563" max="2563" width="42.42578125" style="1562" customWidth="1"/>
    <col min="2564" max="2564" width="5" style="1562" customWidth="1"/>
    <col min="2565" max="2565" width="12.85546875" style="1562" customWidth="1"/>
    <col min="2566" max="2566" width="10.140625" style="1562" customWidth="1"/>
    <col min="2567" max="2567" width="11.42578125" style="1562" customWidth="1"/>
    <col min="2568" max="2568" width="9.7109375" style="1562" customWidth="1"/>
    <col min="2569" max="2569" width="10.85546875" style="1562" customWidth="1"/>
    <col min="2570" max="2572" width="0" style="1562" hidden="1" customWidth="1"/>
    <col min="2573" max="2573" width="9.140625" style="1562"/>
    <col min="2574" max="2574" width="11" style="1562" bestFit="1" customWidth="1"/>
    <col min="2575" max="2817" width="9.140625" style="1562"/>
    <col min="2818" max="2818" width="6.140625" style="1562" customWidth="1"/>
    <col min="2819" max="2819" width="42.42578125" style="1562" customWidth="1"/>
    <col min="2820" max="2820" width="5" style="1562" customWidth="1"/>
    <col min="2821" max="2821" width="12.85546875" style="1562" customWidth="1"/>
    <col min="2822" max="2822" width="10.140625" style="1562" customWidth="1"/>
    <col min="2823" max="2823" width="11.42578125" style="1562" customWidth="1"/>
    <col min="2824" max="2824" width="9.7109375" style="1562" customWidth="1"/>
    <col min="2825" max="2825" width="10.85546875" style="1562" customWidth="1"/>
    <col min="2826" max="2828" width="0" style="1562" hidden="1" customWidth="1"/>
    <col min="2829" max="2829" width="9.140625" style="1562"/>
    <col min="2830" max="2830" width="11" style="1562" bestFit="1" customWidth="1"/>
    <col min="2831" max="3073" width="9.140625" style="1562"/>
    <col min="3074" max="3074" width="6.140625" style="1562" customWidth="1"/>
    <col min="3075" max="3075" width="42.42578125" style="1562" customWidth="1"/>
    <col min="3076" max="3076" width="5" style="1562" customWidth="1"/>
    <col min="3077" max="3077" width="12.85546875" style="1562" customWidth="1"/>
    <col min="3078" max="3078" width="10.140625" style="1562" customWidth="1"/>
    <col min="3079" max="3079" width="11.42578125" style="1562" customWidth="1"/>
    <col min="3080" max="3080" width="9.7109375" style="1562" customWidth="1"/>
    <col min="3081" max="3081" width="10.85546875" style="1562" customWidth="1"/>
    <col min="3082" max="3084" width="0" style="1562" hidden="1" customWidth="1"/>
    <col min="3085" max="3085" width="9.140625" style="1562"/>
    <col min="3086" max="3086" width="11" style="1562" bestFit="1" customWidth="1"/>
    <col min="3087" max="3329" width="9.140625" style="1562"/>
    <col min="3330" max="3330" width="6.140625" style="1562" customWidth="1"/>
    <col min="3331" max="3331" width="42.42578125" style="1562" customWidth="1"/>
    <col min="3332" max="3332" width="5" style="1562" customWidth="1"/>
    <col min="3333" max="3333" width="12.85546875" style="1562" customWidth="1"/>
    <col min="3334" max="3334" width="10.140625" style="1562" customWidth="1"/>
    <col min="3335" max="3335" width="11.42578125" style="1562" customWidth="1"/>
    <col min="3336" max="3336" width="9.7109375" style="1562" customWidth="1"/>
    <col min="3337" max="3337" width="10.85546875" style="1562" customWidth="1"/>
    <col min="3338" max="3340" width="0" style="1562" hidden="1" customWidth="1"/>
    <col min="3341" max="3341" width="9.140625" style="1562"/>
    <col min="3342" max="3342" width="11" style="1562" bestFit="1" customWidth="1"/>
    <col min="3343" max="3585" width="9.140625" style="1562"/>
    <col min="3586" max="3586" width="6.140625" style="1562" customWidth="1"/>
    <col min="3587" max="3587" width="42.42578125" style="1562" customWidth="1"/>
    <col min="3588" max="3588" width="5" style="1562" customWidth="1"/>
    <col min="3589" max="3589" width="12.85546875" style="1562" customWidth="1"/>
    <col min="3590" max="3590" width="10.140625" style="1562" customWidth="1"/>
    <col min="3591" max="3591" width="11.42578125" style="1562" customWidth="1"/>
    <col min="3592" max="3592" width="9.7109375" style="1562" customWidth="1"/>
    <col min="3593" max="3593" width="10.85546875" style="1562" customWidth="1"/>
    <col min="3594" max="3596" width="0" style="1562" hidden="1" customWidth="1"/>
    <col min="3597" max="3597" width="9.140625" style="1562"/>
    <col min="3598" max="3598" width="11" style="1562" bestFit="1" customWidth="1"/>
    <col min="3599" max="3841" width="9.140625" style="1562"/>
    <col min="3842" max="3842" width="6.140625" style="1562" customWidth="1"/>
    <col min="3843" max="3843" width="42.42578125" style="1562" customWidth="1"/>
    <col min="3844" max="3844" width="5" style="1562" customWidth="1"/>
    <col min="3845" max="3845" width="12.85546875" style="1562" customWidth="1"/>
    <col min="3846" max="3846" width="10.140625" style="1562" customWidth="1"/>
    <col min="3847" max="3847" width="11.42578125" style="1562" customWidth="1"/>
    <col min="3848" max="3848" width="9.7109375" style="1562" customWidth="1"/>
    <col min="3849" max="3849" width="10.85546875" style="1562" customWidth="1"/>
    <col min="3850" max="3852" width="0" style="1562" hidden="1" customWidth="1"/>
    <col min="3853" max="3853" width="9.140625" style="1562"/>
    <col min="3854" max="3854" width="11" style="1562" bestFit="1" customWidth="1"/>
    <col min="3855" max="4097" width="9.140625" style="1562"/>
    <col min="4098" max="4098" width="6.140625" style="1562" customWidth="1"/>
    <col min="4099" max="4099" width="42.42578125" style="1562" customWidth="1"/>
    <col min="4100" max="4100" width="5" style="1562" customWidth="1"/>
    <col min="4101" max="4101" width="12.85546875" style="1562" customWidth="1"/>
    <col min="4102" max="4102" width="10.140625" style="1562" customWidth="1"/>
    <col min="4103" max="4103" width="11.42578125" style="1562" customWidth="1"/>
    <col min="4104" max="4104" width="9.7109375" style="1562" customWidth="1"/>
    <col min="4105" max="4105" width="10.85546875" style="1562" customWidth="1"/>
    <col min="4106" max="4108" width="0" style="1562" hidden="1" customWidth="1"/>
    <col min="4109" max="4109" width="9.140625" style="1562"/>
    <col min="4110" max="4110" width="11" style="1562" bestFit="1" customWidth="1"/>
    <col min="4111" max="4353" width="9.140625" style="1562"/>
    <col min="4354" max="4354" width="6.140625" style="1562" customWidth="1"/>
    <col min="4355" max="4355" width="42.42578125" style="1562" customWidth="1"/>
    <col min="4356" max="4356" width="5" style="1562" customWidth="1"/>
    <col min="4357" max="4357" width="12.85546875" style="1562" customWidth="1"/>
    <col min="4358" max="4358" width="10.140625" style="1562" customWidth="1"/>
    <col min="4359" max="4359" width="11.42578125" style="1562" customWidth="1"/>
    <col min="4360" max="4360" width="9.7109375" style="1562" customWidth="1"/>
    <col min="4361" max="4361" width="10.85546875" style="1562" customWidth="1"/>
    <col min="4362" max="4364" width="0" style="1562" hidden="1" customWidth="1"/>
    <col min="4365" max="4365" width="9.140625" style="1562"/>
    <col min="4366" max="4366" width="11" style="1562" bestFit="1" customWidth="1"/>
    <col min="4367" max="4609" width="9.140625" style="1562"/>
    <col min="4610" max="4610" width="6.140625" style="1562" customWidth="1"/>
    <col min="4611" max="4611" width="42.42578125" style="1562" customWidth="1"/>
    <col min="4612" max="4612" width="5" style="1562" customWidth="1"/>
    <col min="4613" max="4613" width="12.85546875" style="1562" customWidth="1"/>
    <col min="4614" max="4614" width="10.140625" style="1562" customWidth="1"/>
    <col min="4615" max="4615" width="11.42578125" style="1562" customWidth="1"/>
    <col min="4616" max="4616" width="9.7109375" style="1562" customWidth="1"/>
    <col min="4617" max="4617" width="10.85546875" style="1562" customWidth="1"/>
    <col min="4618" max="4620" width="0" style="1562" hidden="1" customWidth="1"/>
    <col min="4621" max="4621" width="9.140625" style="1562"/>
    <col min="4622" max="4622" width="11" style="1562" bestFit="1" customWidth="1"/>
    <col min="4623" max="4865" width="9.140625" style="1562"/>
    <col min="4866" max="4866" width="6.140625" style="1562" customWidth="1"/>
    <col min="4867" max="4867" width="42.42578125" style="1562" customWidth="1"/>
    <col min="4868" max="4868" width="5" style="1562" customWidth="1"/>
    <col min="4869" max="4869" width="12.85546875" style="1562" customWidth="1"/>
    <col min="4870" max="4870" width="10.140625" style="1562" customWidth="1"/>
    <col min="4871" max="4871" width="11.42578125" style="1562" customWidth="1"/>
    <col min="4872" max="4872" width="9.7109375" style="1562" customWidth="1"/>
    <col min="4873" max="4873" width="10.85546875" style="1562" customWidth="1"/>
    <col min="4874" max="4876" width="0" style="1562" hidden="1" customWidth="1"/>
    <col min="4877" max="4877" width="9.140625" style="1562"/>
    <col min="4878" max="4878" width="11" style="1562" bestFit="1" customWidth="1"/>
    <col min="4879" max="5121" width="9.140625" style="1562"/>
    <col min="5122" max="5122" width="6.140625" style="1562" customWidth="1"/>
    <col min="5123" max="5123" width="42.42578125" style="1562" customWidth="1"/>
    <col min="5124" max="5124" width="5" style="1562" customWidth="1"/>
    <col min="5125" max="5125" width="12.85546875" style="1562" customWidth="1"/>
    <col min="5126" max="5126" width="10.140625" style="1562" customWidth="1"/>
    <col min="5127" max="5127" width="11.42578125" style="1562" customWidth="1"/>
    <col min="5128" max="5128" width="9.7109375" style="1562" customWidth="1"/>
    <col min="5129" max="5129" width="10.85546875" style="1562" customWidth="1"/>
    <col min="5130" max="5132" width="0" style="1562" hidden="1" customWidth="1"/>
    <col min="5133" max="5133" width="9.140625" style="1562"/>
    <col min="5134" max="5134" width="11" style="1562" bestFit="1" customWidth="1"/>
    <col min="5135" max="5377" width="9.140625" style="1562"/>
    <col min="5378" max="5378" width="6.140625" style="1562" customWidth="1"/>
    <col min="5379" max="5379" width="42.42578125" style="1562" customWidth="1"/>
    <col min="5380" max="5380" width="5" style="1562" customWidth="1"/>
    <col min="5381" max="5381" width="12.85546875" style="1562" customWidth="1"/>
    <col min="5382" max="5382" width="10.140625" style="1562" customWidth="1"/>
    <col min="5383" max="5383" width="11.42578125" style="1562" customWidth="1"/>
    <col min="5384" max="5384" width="9.7109375" style="1562" customWidth="1"/>
    <col min="5385" max="5385" width="10.85546875" style="1562" customWidth="1"/>
    <col min="5386" max="5388" width="0" style="1562" hidden="1" customWidth="1"/>
    <col min="5389" max="5389" width="9.140625" style="1562"/>
    <col min="5390" max="5390" width="11" style="1562" bestFit="1" customWidth="1"/>
    <col min="5391" max="5633" width="9.140625" style="1562"/>
    <col min="5634" max="5634" width="6.140625" style="1562" customWidth="1"/>
    <col min="5635" max="5635" width="42.42578125" style="1562" customWidth="1"/>
    <col min="5636" max="5636" width="5" style="1562" customWidth="1"/>
    <col min="5637" max="5637" width="12.85546875" style="1562" customWidth="1"/>
    <col min="5638" max="5638" width="10.140625" style="1562" customWidth="1"/>
    <col min="5639" max="5639" width="11.42578125" style="1562" customWidth="1"/>
    <col min="5640" max="5640" width="9.7109375" style="1562" customWidth="1"/>
    <col min="5641" max="5641" width="10.85546875" style="1562" customWidth="1"/>
    <col min="5642" max="5644" width="0" style="1562" hidden="1" customWidth="1"/>
    <col min="5645" max="5645" width="9.140625" style="1562"/>
    <col min="5646" max="5646" width="11" style="1562" bestFit="1" customWidth="1"/>
    <col min="5647" max="5889" width="9.140625" style="1562"/>
    <col min="5890" max="5890" width="6.140625" style="1562" customWidth="1"/>
    <col min="5891" max="5891" width="42.42578125" style="1562" customWidth="1"/>
    <col min="5892" max="5892" width="5" style="1562" customWidth="1"/>
    <col min="5893" max="5893" width="12.85546875" style="1562" customWidth="1"/>
    <col min="5894" max="5894" width="10.140625" style="1562" customWidth="1"/>
    <col min="5895" max="5895" width="11.42578125" style="1562" customWidth="1"/>
    <col min="5896" max="5896" width="9.7109375" style="1562" customWidth="1"/>
    <col min="5897" max="5897" width="10.85546875" style="1562" customWidth="1"/>
    <col min="5898" max="5900" width="0" style="1562" hidden="1" customWidth="1"/>
    <col min="5901" max="5901" width="9.140625" style="1562"/>
    <col min="5902" max="5902" width="11" style="1562" bestFit="1" customWidth="1"/>
    <col min="5903" max="6145" width="9.140625" style="1562"/>
    <col min="6146" max="6146" width="6.140625" style="1562" customWidth="1"/>
    <col min="6147" max="6147" width="42.42578125" style="1562" customWidth="1"/>
    <col min="6148" max="6148" width="5" style="1562" customWidth="1"/>
    <col min="6149" max="6149" width="12.85546875" style="1562" customWidth="1"/>
    <col min="6150" max="6150" width="10.140625" style="1562" customWidth="1"/>
    <col min="6151" max="6151" width="11.42578125" style="1562" customWidth="1"/>
    <col min="6152" max="6152" width="9.7109375" style="1562" customWidth="1"/>
    <col min="6153" max="6153" width="10.85546875" style="1562" customWidth="1"/>
    <col min="6154" max="6156" width="0" style="1562" hidden="1" customWidth="1"/>
    <col min="6157" max="6157" width="9.140625" style="1562"/>
    <col min="6158" max="6158" width="11" style="1562" bestFit="1" customWidth="1"/>
    <col min="6159" max="6401" width="9.140625" style="1562"/>
    <col min="6402" max="6402" width="6.140625" style="1562" customWidth="1"/>
    <col min="6403" max="6403" width="42.42578125" style="1562" customWidth="1"/>
    <col min="6404" max="6404" width="5" style="1562" customWidth="1"/>
    <col min="6405" max="6405" width="12.85546875" style="1562" customWidth="1"/>
    <col min="6406" max="6406" width="10.140625" style="1562" customWidth="1"/>
    <col min="6407" max="6407" width="11.42578125" style="1562" customWidth="1"/>
    <col min="6408" max="6408" width="9.7109375" style="1562" customWidth="1"/>
    <col min="6409" max="6409" width="10.85546875" style="1562" customWidth="1"/>
    <col min="6410" max="6412" width="0" style="1562" hidden="1" customWidth="1"/>
    <col min="6413" max="6413" width="9.140625" style="1562"/>
    <col min="6414" max="6414" width="11" style="1562" bestFit="1" customWidth="1"/>
    <col min="6415" max="6657" width="9.140625" style="1562"/>
    <col min="6658" max="6658" width="6.140625" style="1562" customWidth="1"/>
    <col min="6659" max="6659" width="42.42578125" style="1562" customWidth="1"/>
    <col min="6660" max="6660" width="5" style="1562" customWidth="1"/>
    <col min="6661" max="6661" width="12.85546875" style="1562" customWidth="1"/>
    <col min="6662" max="6662" width="10.140625" style="1562" customWidth="1"/>
    <col min="6663" max="6663" width="11.42578125" style="1562" customWidth="1"/>
    <col min="6664" max="6664" width="9.7109375" style="1562" customWidth="1"/>
    <col min="6665" max="6665" width="10.85546875" style="1562" customWidth="1"/>
    <col min="6666" max="6668" width="0" style="1562" hidden="1" customWidth="1"/>
    <col min="6669" max="6669" width="9.140625" style="1562"/>
    <col min="6670" max="6670" width="11" style="1562" bestFit="1" customWidth="1"/>
    <col min="6671" max="6913" width="9.140625" style="1562"/>
    <col min="6914" max="6914" width="6.140625" style="1562" customWidth="1"/>
    <col min="6915" max="6915" width="42.42578125" style="1562" customWidth="1"/>
    <col min="6916" max="6916" width="5" style="1562" customWidth="1"/>
    <col min="6917" max="6917" width="12.85546875" style="1562" customWidth="1"/>
    <col min="6918" max="6918" width="10.140625" style="1562" customWidth="1"/>
    <col min="6919" max="6919" width="11.42578125" style="1562" customWidth="1"/>
    <col min="6920" max="6920" width="9.7109375" style="1562" customWidth="1"/>
    <col min="6921" max="6921" width="10.85546875" style="1562" customWidth="1"/>
    <col min="6922" max="6924" width="0" style="1562" hidden="1" customWidth="1"/>
    <col min="6925" max="6925" width="9.140625" style="1562"/>
    <col min="6926" max="6926" width="11" style="1562" bestFit="1" customWidth="1"/>
    <col min="6927" max="7169" width="9.140625" style="1562"/>
    <col min="7170" max="7170" width="6.140625" style="1562" customWidth="1"/>
    <col min="7171" max="7171" width="42.42578125" style="1562" customWidth="1"/>
    <col min="7172" max="7172" width="5" style="1562" customWidth="1"/>
    <col min="7173" max="7173" width="12.85546875" style="1562" customWidth="1"/>
    <col min="7174" max="7174" width="10.140625" style="1562" customWidth="1"/>
    <col min="7175" max="7175" width="11.42578125" style="1562" customWidth="1"/>
    <col min="7176" max="7176" width="9.7109375" style="1562" customWidth="1"/>
    <col min="7177" max="7177" width="10.85546875" style="1562" customWidth="1"/>
    <col min="7178" max="7180" width="0" style="1562" hidden="1" customWidth="1"/>
    <col min="7181" max="7181" width="9.140625" style="1562"/>
    <col min="7182" max="7182" width="11" style="1562" bestFit="1" customWidth="1"/>
    <col min="7183" max="7425" width="9.140625" style="1562"/>
    <col min="7426" max="7426" width="6.140625" style="1562" customWidth="1"/>
    <col min="7427" max="7427" width="42.42578125" style="1562" customWidth="1"/>
    <col min="7428" max="7428" width="5" style="1562" customWidth="1"/>
    <col min="7429" max="7429" width="12.85546875" style="1562" customWidth="1"/>
    <col min="7430" max="7430" width="10.140625" style="1562" customWidth="1"/>
    <col min="7431" max="7431" width="11.42578125" style="1562" customWidth="1"/>
    <col min="7432" max="7432" width="9.7109375" style="1562" customWidth="1"/>
    <col min="7433" max="7433" width="10.85546875" style="1562" customWidth="1"/>
    <col min="7434" max="7436" width="0" style="1562" hidden="1" customWidth="1"/>
    <col min="7437" max="7437" width="9.140625" style="1562"/>
    <col min="7438" max="7438" width="11" style="1562" bestFit="1" customWidth="1"/>
    <col min="7439" max="7681" width="9.140625" style="1562"/>
    <col min="7682" max="7682" width="6.140625" style="1562" customWidth="1"/>
    <col min="7683" max="7683" width="42.42578125" style="1562" customWidth="1"/>
    <col min="7684" max="7684" width="5" style="1562" customWidth="1"/>
    <col min="7685" max="7685" width="12.85546875" style="1562" customWidth="1"/>
    <col min="7686" max="7686" width="10.140625" style="1562" customWidth="1"/>
    <col min="7687" max="7687" width="11.42578125" style="1562" customWidth="1"/>
    <col min="7688" max="7688" width="9.7109375" style="1562" customWidth="1"/>
    <col min="7689" max="7689" width="10.85546875" style="1562" customWidth="1"/>
    <col min="7690" max="7692" width="0" style="1562" hidden="1" customWidth="1"/>
    <col min="7693" max="7693" width="9.140625" style="1562"/>
    <col min="7694" max="7694" width="11" style="1562" bestFit="1" customWidth="1"/>
    <col min="7695" max="7937" width="9.140625" style="1562"/>
    <col min="7938" max="7938" width="6.140625" style="1562" customWidth="1"/>
    <col min="7939" max="7939" width="42.42578125" style="1562" customWidth="1"/>
    <col min="7940" max="7940" width="5" style="1562" customWidth="1"/>
    <col min="7941" max="7941" width="12.85546875" style="1562" customWidth="1"/>
    <col min="7942" max="7942" width="10.140625" style="1562" customWidth="1"/>
    <col min="7943" max="7943" width="11.42578125" style="1562" customWidth="1"/>
    <col min="7944" max="7944" width="9.7109375" style="1562" customWidth="1"/>
    <col min="7945" max="7945" width="10.85546875" style="1562" customWidth="1"/>
    <col min="7946" max="7948" width="0" style="1562" hidden="1" customWidth="1"/>
    <col min="7949" max="7949" width="9.140625" style="1562"/>
    <col min="7950" max="7950" width="11" style="1562" bestFit="1" customWidth="1"/>
    <col min="7951" max="8193" width="9.140625" style="1562"/>
    <col min="8194" max="8194" width="6.140625" style="1562" customWidth="1"/>
    <col min="8195" max="8195" width="42.42578125" style="1562" customWidth="1"/>
    <col min="8196" max="8196" width="5" style="1562" customWidth="1"/>
    <col min="8197" max="8197" width="12.85546875" style="1562" customWidth="1"/>
    <col min="8198" max="8198" width="10.140625" style="1562" customWidth="1"/>
    <col min="8199" max="8199" width="11.42578125" style="1562" customWidth="1"/>
    <col min="8200" max="8200" width="9.7109375" style="1562" customWidth="1"/>
    <col min="8201" max="8201" width="10.85546875" style="1562" customWidth="1"/>
    <col min="8202" max="8204" width="0" style="1562" hidden="1" customWidth="1"/>
    <col min="8205" max="8205" width="9.140625" style="1562"/>
    <col min="8206" max="8206" width="11" style="1562" bestFit="1" customWidth="1"/>
    <col min="8207" max="8449" width="9.140625" style="1562"/>
    <col min="8450" max="8450" width="6.140625" style="1562" customWidth="1"/>
    <col min="8451" max="8451" width="42.42578125" style="1562" customWidth="1"/>
    <col min="8452" max="8452" width="5" style="1562" customWidth="1"/>
    <col min="8453" max="8453" width="12.85546875" style="1562" customWidth="1"/>
    <col min="8454" max="8454" width="10.140625" style="1562" customWidth="1"/>
    <col min="8455" max="8455" width="11.42578125" style="1562" customWidth="1"/>
    <col min="8456" max="8456" width="9.7109375" style="1562" customWidth="1"/>
    <col min="8457" max="8457" width="10.85546875" style="1562" customWidth="1"/>
    <col min="8458" max="8460" width="0" style="1562" hidden="1" customWidth="1"/>
    <col min="8461" max="8461" width="9.140625" style="1562"/>
    <col min="8462" max="8462" width="11" style="1562" bestFit="1" customWidth="1"/>
    <col min="8463" max="8705" width="9.140625" style="1562"/>
    <col min="8706" max="8706" width="6.140625" style="1562" customWidth="1"/>
    <col min="8707" max="8707" width="42.42578125" style="1562" customWidth="1"/>
    <col min="8708" max="8708" width="5" style="1562" customWidth="1"/>
    <col min="8709" max="8709" width="12.85546875" style="1562" customWidth="1"/>
    <col min="8710" max="8710" width="10.140625" style="1562" customWidth="1"/>
    <col min="8711" max="8711" width="11.42578125" style="1562" customWidth="1"/>
    <col min="8712" max="8712" width="9.7109375" style="1562" customWidth="1"/>
    <col min="8713" max="8713" width="10.85546875" style="1562" customWidth="1"/>
    <col min="8714" max="8716" width="0" style="1562" hidden="1" customWidth="1"/>
    <col min="8717" max="8717" width="9.140625" style="1562"/>
    <col min="8718" max="8718" width="11" style="1562" bestFit="1" customWidth="1"/>
    <col min="8719" max="8961" width="9.140625" style="1562"/>
    <col min="8962" max="8962" width="6.140625" style="1562" customWidth="1"/>
    <col min="8963" max="8963" width="42.42578125" style="1562" customWidth="1"/>
    <col min="8964" max="8964" width="5" style="1562" customWidth="1"/>
    <col min="8965" max="8965" width="12.85546875" style="1562" customWidth="1"/>
    <col min="8966" max="8966" width="10.140625" style="1562" customWidth="1"/>
    <col min="8967" max="8967" width="11.42578125" style="1562" customWidth="1"/>
    <col min="8968" max="8968" width="9.7109375" style="1562" customWidth="1"/>
    <col min="8969" max="8969" width="10.85546875" style="1562" customWidth="1"/>
    <col min="8970" max="8972" width="0" style="1562" hidden="1" customWidth="1"/>
    <col min="8973" max="8973" width="9.140625" style="1562"/>
    <col min="8974" max="8974" width="11" style="1562" bestFit="1" customWidth="1"/>
    <col min="8975" max="9217" width="9.140625" style="1562"/>
    <col min="9218" max="9218" width="6.140625" style="1562" customWidth="1"/>
    <col min="9219" max="9219" width="42.42578125" style="1562" customWidth="1"/>
    <col min="9220" max="9220" width="5" style="1562" customWidth="1"/>
    <col min="9221" max="9221" width="12.85546875" style="1562" customWidth="1"/>
    <col min="9222" max="9222" width="10.140625" style="1562" customWidth="1"/>
    <col min="9223" max="9223" width="11.42578125" style="1562" customWidth="1"/>
    <col min="9224" max="9224" width="9.7109375" style="1562" customWidth="1"/>
    <col min="9225" max="9225" width="10.85546875" style="1562" customWidth="1"/>
    <col min="9226" max="9228" width="0" style="1562" hidden="1" customWidth="1"/>
    <col min="9229" max="9229" width="9.140625" style="1562"/>
    <col min="9230" max="9230" width="11" style="1562" bestFit="1" customWidth="1"/>
    <col min="9231" max="9473" width="9.140625" style="1562"/>
    <col min="9474" max="9474" width="6.140625" style="1562" customWidth="1"/>
    <col min="9475" max="9475" width="42.42578125" style="1562" customWidth="1"/>
    <col min="9476" max="9476" width="5" style="1562" customWidth="1"/>
    <col min="9477" max="9477" width="12.85546875" style="1562" customWidth="1"/>
    <col min="9478" max="9478" width="10.140625" style="1562" customWidth="1"/>
    <col min="9479" max="9479" width="11.42578125" style="1562" customWidth="1"/>
    <col min="9480" max="9480" width="9.7109375" style="1562" customWidth="1"/>
    <col min="9481" max="9481" width="10.85546875" style="1562" customWidth="1"/>
    <col min="9482" max="9484" width="0" style="1562" hidden="1" customWidth="1"/>
    <col min="9485" max="9485" width="9.140625" style="1562"/>
    <col min="9486" max="9486" width="11" style="1562" bestFit="1" customWidth="1"/>
    <col min="9487" max="9729" width="9.140625" style="1562"/>
    <col min="9730" max="9730" width="6.140625" style="1562" customWidth="1"/>
    <col min="9731" max="9731" width="42.42578125" style="1562" customWidth="1"/>
    <col min="9732" max="9732" width="5" style="1562" customWidth="1"/>
    <col min="9733" max="9733" width="12.85546875" style="1562" customWidth="1"/>
    <col min="9734" max="9734" width="10.140625" style="1562" customWidth="1"/>
    <col min="9735" max="9735" width="11.42578125" style="1562" customWidth="1"/>
    <col min="9736" max="9736" width="9.7109375" style="1562" customWidth="1"/>
    <col min="9737" max="9737" width="10.85546875" style="1562" customWidth="1"/>
    <col min="9738" max="9740" width="0" style="1562" hidden="1" customWidth="1"/>
    <col min="9741" max="9741" width="9.140625" style="1562"/>
    <col min="9742" max="9742" width="11" style="1562" bestFit="1" customWidth="1"/>
    <col min="9743" max="9985" width="9.140625" style="1562"/>
    <col min="9986" max="9986" width="6.140625" style="1562" customWidth="1"/>
    <col min="9987" max="9987" width="42.42578125" style="1562" customWidth="1"/>
    <col min="9988" max="9988" width="5" style="1562" customWidth="1"/>
    <col min="9989" max="9989" width="12.85546875" style="1562" customWidth="1"/>
    <col min="9990" max="9990" width="10.140625" style="1562" customWidth="1"/>
    <col min="9991" max="9991" width="11.42578125" style="1562" customWidth="1"/>
    <col min="9992" max="9992" width="9.7109375" style="1562" customWidth="1"/>
    <col min="9993" max="9993" width="10.85546875" style="1562" customWidth="1"/>
    <col min="9994" max="9996" width="0" style="1562" hidden="1" customWidth="1"/>
    <col min="9997" max="9997" width="9.140625" style="1562"/>
    <col min="9998" max="9998" width="11" style="1562" bestFit="1" customWidth="1"/>
    <col min="9999" max="10241" width="9.140625" style="1562"/>
    <col min="10242" max="10242" width="6.140625" style="1562" customWidth="1"/>
    <col min="10243" max="10243" width="42.42578125" style="1562" customWidth="1"/>
    <col min="10244" max="10244" width="5" style="1562" customWidth="1"/>
    <col min="10245" max="10245" width="12.85546875" style="1562" customWidth="1"/>
    <col min="10246" max="10246" width="10.140625" style="1562" customWidth="1"/>
    <col min="10247" max="10247" width="11.42578125" style="1562" customWidth="1"/>
    <col min="10248" max="10248" width="9.7109375" style="1562" customWidth="1"/>
    <col min="10249" max="10249" width="10.85546875" style="1562" customWidth="1"/>
    <col min="10250" max="10252" width="0" style="1562" hidden="1" customWidth="1"/>
    <col min="10253" max="10253" width="9.140625" style="1562"/>
    <col min="10254" max="10254" width="11" style="1562" bestFit="1" customWidth="1"/>
    <col min="10255" max="10497" width="9.140625" style="1562"/>
    <col min="10498" max="10498" width="6.140625" style="1562" customWidth="1"/>
    <col min="10499" max="10499" width="42.42578125" style="1562" customWidth="1"/>
    <col min="10500" max="10500" width="5" style="1562" customWidth="1"/>
    <col min="10501" max="10501" width="12.85546875" style="1562" customWidth="1"/>
    <col min="10502" max="10502" width="10.140625" style="1562" customWidth="1"/>
    <col min="10503" max="10503" width="11.42578125" style="1562" customWidth="1"/>
    <col min="10504" max="10504" width="9.7109375" style="1562" customWidth="1"/>
    <col min="10505" max="10505" width="10.85546875" style="1562" customWidth="1"/>
    <col min="10506" max="10508" width="0" style="1562" hidden="1" customWidth="1"/>
    <col min="10509" max="10509" width="9.140625" style="1562"/>
    <col min="10510" max="10510" width="11" style="1562" bestFit="1" customWidth="1"/>
    <col min="10511" max="10753" width="9.140625" style="1562"/>
    <col min="10754" max="10754" width="6.140625" style="1562" customWidth="1"/>
    <col min="10755" max="10755" width="42.42578125" style="1562" customWidth="1"/>
    <col min="10756" max="10756" width="5" style="1562" customWidth="1"/>
    <col min="10757" max="10757" width="12.85546875" style="1562" customWidth="1"/>
    <col min="10758" max="10758" width="10.140625" style="1562" customWidth="1"/>
    <col min="10759" max="10759" width="11.42578125" style="1562" customWidth="1"/>
    <col min="10760" max="10760" width="9.7109375" style="1562" customWidth="1"/>
    <col min="10761" max="10761" width="10.85546875" style="1562" customWidth="1"/>
    <col min="10762" max="10764" width="0" style="1562" hidden="1" customWidth="1"/>
    <col min="10765" max="10765" width="9.140625" style="1562"/>
    <col min="10766" max="10766" width="11" style="1562" bestFit="1" customWidth="1"/>
    <col min="10767" max="11009" width="9.140625" style="1562"/>
    <col min="11010" max="11010" width="6.140625" style="1562" customWidth="1"/>
    <col min="11011" max="11011" width="42.42578125" style="1562" customWidth="1"/>
    <col min="11012" max="11012" width="5" style="1562" customWidth="1"/>
    <col min="11013" max="11013" width="12.85546875" style="1562" customWidth="1"/>
    <col min="11014" max="11014" width="10.140625" style="1562" customWidth="1"/>
    <col min="11015" max="11015" width="11.42578125" style="1562" customWidth="1"/>
    <col min="11016" max="11016" width="9.7109375" style="1562" customWidth="1"/>
    <col min="11017" max="11017" width="10.85546875" style="1562" customWidth="1"/>
    <col min="11018" max="11020" width="0" style="1562" hidden="1" customWidth="1"/>
    <col min="11021" max="11021" width="9.140625" style="1562"/>
    <col min="11022" max="11022" width="11" style="1562" bestFit="1" customWidth="1"/>
    <col min="11023" max="11265" width="9.140625" style="1562"/>
    <col min="11266" max="11266" width="6.140625" style="1562" customWidth="1"/>
    <col min="11267" max="11267" width="42.42578125" style="1562" customWidth="1"/>
    <col min="11268" max="11268" width="5" style="1562" customWidth="1"/>
    <col min="11269" max="11269" width="12.85546875" style="1562" customWidth="1"/>
    <col min="11270" max="11270" width="10.140625" style="1562" customWidth="1"/>
    <col min="11271" max="11271" width="11.42578125" style="1562" customWidth="1"/>
    <col min="11272" max="11272" width="9.7109375" style="1562" customWidth="1"/>
    <col min="11273" max="11273" width="10.85546875" style="1562" customWidth="1"/>
    <col min="11274" max="11276" width="0" style="1562" hidden="1" customWidth="1"/>
    <col min="11277" max="11277" width="9.140625" style="1562"/>
    <col min="11278" max="11278" width="11" style="1562" bestFit="1" customWidth="1"/>
    <col min="11279" max="11521" width="9.140625" style="1562"/>
    <col min="11522" max="11522" width="6.140625" style="1562" customWidth="1"/>
    <col min="11523" max="11523" width="42.42578125" style="1562" customWidth="1"/>
    <col min="11524" max="11524" width="5" style="1562" customWidth="1"/>
    <col min="11525" max="11525" width="12.85546875" style="1562" customWidth="1"/>
    <col min="11526" max="11526" width="10.140625" style="1562" customWidth="1"/>
    <col min="11527" max="11527" width="11.42578125" style="1562" customWidth="1"/>
    <col min="11528" max="11528" width="9.7109375" style="1562" customWidth="1"/>
    <col min="11529" max="11529" width="10.85546875" style="1562" customWidth="1"/>
    <col min="11530" max="11532" width="0" style="1562" hidden="1" customWidth="1"/>
    <col min="11533" max="11533" width="9.140625" style="1562"/>
    <col min="11534" max="11534" width="11" style="1562" bestFit="1" customWidth="1"/>
    <col min="11535" max="11777" width="9.140625" style="1562"/>
    <col min="11778" max="11778" width="6.140625" style="1562" customWidth="1"/>
    <col min="11779" max="11779" width="42.42578125" style="1562" customWidth="1"/>
    <col min="11780" max="11780" width="5" style="1562" customWidth="1"/>
    <col min="11781" max="11781" width="12.85546875" style="1562" customWidth="1"/>
    <col min="11782" max="11782" width="10.140625" style="1562" customWidth="1"/>
    <col min="11783" max="11783" width="11.42578125" style="1562" customWidth="1"/>
    <col min="11784" max="11784" width="9.7109375" style="1562" customWidth="1"/>
    <col min="11785" max="11785" width="10.85546875" style="1562" customWidth="1"/>
    <col min="11786" max="11788" width="0" style="1562" hidden="1" customWidth="1"/>
    <col min="11789" max="11789" width="9.140625" style="1562"/>
    <col min="11790" max="11790" width="11" style="1562" bestFit="1" customWidth="1"/>
    <col min="11791" max="12033" width="9.140625" style="1562"/>
    <col min="12034" max="12034" width="6.140625" style="1562" customWidth="1"/>
    <col min="12035" max="12035" width="42.42578125" style="1562" customWidth="1"/>
    <col min="12036" max="12036" width="5" style="1562" customWidth="1"/>
    <col min="12037" max="12037" width="12.85546875" style="1562" customWidth="1"/>
    <col min="12038" max="12038" width="10.140625" style="1562" customWidth="1"/>
    <col min="12039" max="12039" width="11.42578125" style="1562" customWidth="1"/>
    <col min="12040" max="12040" width="9.7109375" style="1562" customWidth="1"/>
    <col min="12041" max="12041" width="10.85546875" style="1562" customWidth="1"/>
    <col min="12042" max="12044" width="0" style="1562" hidden="1" customWidth="1"/>
    <col min="12045" max="12045" width="9.140625" style="1562"/>
    <col min="12046" max="12046" width="11" style="1562" bestFit="1" customWidth="1"/>
    <col min="12047" max="12289" width="9.140625" style="1562"/>
    <col min="12290" max="12290" width="6.140625" style="1562" customWidth="1"/>
    <col min="12291" max="12291" width="42.42578125" style="1562" customWidth="1"/>
    <col min="12292" max="12292" width="5" style="1562" customWidth="1"/>
    <col min="12293" max="12293" width="12.85546875" style="1562" customWidth="1"/>
    <col min="12294" max="12294" width="10.140625" style="1562" customWidth="1"/>
    <col min="12295" max="12295" width="11.42578125" style="1562" customWidth="1"/>
    <col min="12296" max="12296" width="9.7109375" style="1562" customWidth="1"/>
    <col min="12297" max="12297" width="10.85546875" style="1562" customWidth="1"/>
    <col min="12298" max="12300" width="0" style="1562" hidden="1" customWidth="1"/>
    <col min="12301" max="12301" width="9.140625" style="1562"/>
    <col min="12302" max="12302" width="11" style="1562" bestFit="1" customWidth="1"/>
    <col min="12303" max="12545" width="9.140625" style="1562"/>
    <col min="12546" max="12546" width="6.140625" style="1562" customWidth="1"/>
    <col min="12547" max="12547" width="42.42578125" style="1562" customWidth="1"/>
    <col min="12548" max="12548" width="5" style="1562" customWidth="1"/>
    <col min="12549" max="12549" width="12.85546875" style="1562" customWidth="1"/>
    <col min="12550" max="12550" width="10.140625" style="1562" customWidth="1"/>
    <col min="12551" max="12551" width="11.42578125" style="1562" customWidth="1"/>
    <col min="12552" max="12552" width="9.7109375" style="1562" customWidth="1"/>
    <col min="12553" max="12553" width="10.85546875" style="1562" customWidth="1"/>
    <col min="12554" max="12556" width="0" style="1562" hidden="1" customWidth="1"/>
    <col min="12557" max="12557" width="9.140625" style="1562"/>
    <col min="12558" max="12558" width="11" style="1562" bestFit="1" customWidth="1"/>
    <col min="12559" max="12801" width="9.140625" style="1562"/>
    <col min="12802" max="12802" width="6.140625" style="1562" customWidth="1"/>
    <col min="12803" max="12803" width="42.42578125" style="1562" customWidth="1"/>
    <col min="12804" max="12804" width="5" style="1562" customWidth="1"/>
    <col min="12805" max="12805" width="12.85546875" style="1562" customWidth="1"/>
    <col min="12806" max="12806" width="10.140625" style="1562" customWidth="1"/>
    <col min="12807" max="12807" width="11.42578125" style="1562" customWidth="1"/>
    <col min="12808" max="12808" width="9.7109375" style="1562" customWidth="1"/>
    <col min="12809" max="12809" width="10.85546875" style="1562" customWidth="1"/>
    <col min="12810" max="12812" width="0" style="1562" hidden="1" customWidth="1"/>
    <col min="12813" max="12813" width="9.140625" style="1562"/>
    <col min="12814" max="12814" width="11" style="1562" bestFit="1" customWidth="1"/>
    <col min="12815" max="13057" width="9.140625" style="1562"/>
    <col min="13058" max="13058" width="6.140625" style="1562" customWidth="1"/>
    <col min="13059" max="13059" width="42.42578125" style="1562" customWidth="1"/>
    <col min="13060" max="13060" width="5" style="1562" customWidth="1"/>
    <col min="13061" max="13061" width="12.85546875" style="1562" customWidth="1"/>
    <col min="13062" max="13062" width="10.140625" style="1562" customWidth="1"/>
    <col min="13063" max="13063" width="11.42578125" style="1562" customWidth="1"/>
    <col min="13064" max="13064" width="9.7109375" style="1562" customWidth="1"/>
    <col min="13065" max="13065" width="10.85546875" style="1562" customWidth="1"/>
    <col min="13066" max="13068" width="0" style="1562" hidden="1" customWidth="1"/>
    <col min="13069" max="13069" width="9.140625" style="1562"/>
    <col min="13070" max="13070" width="11" style="1562" bestFit="1" customWidth="1"/>
    <col min="13071" max="13313" width="9.140625" style="1562"/>
    <col min="13314" max="13314" width="6.140625" style="1562" customWidth="1"/>
    <col min="13315" max="13315" width="42.42578125" style="1562" customWidth="1"/>
    <col min="13316" max="13316" width="5" style="1562" customWidth="1"/>
    <col min="13317" max="13317" width="12.85546875" style="1562" customWidth="1"/>
    <col min="13318" max="13318" width="10.140625" style="1562" customWidth="1"/>
    <col min="13319" max="13319" width="11.42578125" style="1562" customWidth="1"/>
    <col min="13320" max="13320" width="9.7109375" style="1562" customWidth="1"/>
    <col min="13321" max="13321" width="10.85546875" style="1562" customWidth="1"/>
    <col min="13322" max="13324" width="0" style="1562" hidden="1" customWidth="1"/>
    <col min="13325" max="13325" width="9.140625" style="1562"/>
    <col min="13326" max="13326" width="11" style="1562" bestFit="1" customWidth="1"/>
    <col min="13327" max="13569" width="9.140625" style="1562"/>
    <col min="13570" max="13570" width="6.140625" style="1562" customWidth="1"/>
    <col min="13571" max="13571" width="42.42578125" style="1562" customWidth="1"/>
    <col min="13572" max="13572" width="5" style="1562" customWidth="1"/>
    <col min="13573" max="13573" width="12.85546875" style="1562" customWidth="1"/>
    <col min="13574" max="13574" width="10.140625" style="1562" customWidth="1"/>
    <col min="13575" max="13575" width="11.42578125" style="1562" customWidth="1"/>
    <col min="13576" max="13576" width="9.7109375" style="1562" customWidth="1"/>
    <col min="13577" max="13577" width="10.85546875" style="1562" customWidth="1"/>
    <col min="13578" max="13580" width="0" style="1562" hidden="1" customWidth="1"/>
    <col min="13581" max="13581" width="9.140625" style="1562"/>
    <col min="13582" max="13582" width="11" style="1562" bestFit="1" customWidth="1"/>
    <col min="13583" max="13825" width="9.140625" style="1562"/>
    <col min="13826" max="13826" width="6.140625" style="1562" customWidth="1"/>
    <col min="13827" max="13827" width="42.42578125" style="1562" customWidth="1"/>
    <col min="13828" max="13828" width="5" style="1562" customWidth="1"/>
    <col min="13829" max="13829" width="12.85546875" style="1562" customWidth="1"/>
    <col min="13830" max="13830" width="10.140625" style="1562" customWidth="1"/>
    <col min="13831" max="13831" width="11.42578125" style="1562" customWidth="1"/>
    <col min="13832" max="13832" width="9.7109375" style="1562" customWidth="1"/>
    <col min="13833" max="13833" width="10.85546875" style="1562" customWidth="1"/>
    <col min="13834" max="13836" width="0" style="1562" hidden="1" customWidth="1"/>
    <col min="13837" max="13837" width="9.140625" style="1562"/>
    <col min="13838" max="13838" width="11" style="1562" bestFit="1" customWidth="1"/>
    <col min="13839" max="14081" width="9.140625" style="1562"/>
    <col min="14082" max="14082" width="6.140625" style="1562" customWidth="1"/>
    <col min="14083" max="14083" width="42.42578125" style="1562" customWidth="1"/>
    <col min="14084" max="14084" width="5" style="1562" customWidth="1"/>
    <col min="14085" max="14085" width="12.85546875" style="1562" customWidth="1"/>
    <col min="14086" max="14086" width="10.140625" style="1562" customWidth="1"/>
    <col min="14087" max="14087" width="11.42578125" style="1562" customWidth="1"/>
    <col min="14088" max="14088" width="9.7109375" style="1562" customWidth="1"/>
    <col min="14089" max="14089" width="10.85546875" style="1562" customWidth="1"/>
    <col min="14090" max="14092" width="0" style="1562" hidden="1" customWidth="1"/>
    <col min="14093" max="14093" width="9.140625" style="1562"/>
    <col min="14094" max="14094" width="11" style="1562" bestFit="1" customWidth="1"/>
    <col min="14095" max="14337" width="9.140625" style="1562"/>
    <col min="14338" max="14338" width="6.140625" style="1562" customWidth="1"/>
    <col min="14339" max="14339" width="42.42578125" style="1562" customWidth="1"/>
    <col min="14340" max="14340" width="5" style="1562" customWidth="1"/>
    <col min="14341" max="14341" width="12.85546875" style="1562" customWidth="1"/>
    <col min="14342" max="14342" width="10.140625" style="1562" customWidth="1"/>
    <col min="14343" max="14343" width="11.42578125" style="1562" customWidth="1"/>
    <col min="14344" max="14344" width="9.7109375" style="1562" customWidth="1"/>
    <col min="14345" max="14345" width="10.85546875" style="1562" customWidth="1"/>
    <col min="14346" max="14348" width="0" style="1562" hidden="1" customWidth="1"/>
    <col min="14349" max="14349" width="9.140625" style="1562"/>
    <col min="14350" max="14350" width="11" style="1562" bestFit="1" customWidth="1"/>
    <col min="14351" max="14593" width="9.140625" style="1562"/>
    <col min="14594" max="14594" width="6.140625" style="1562" customWidth="1"/>
    <col min="14595" max="14595" width="42.42578125" style="1562" customWidth="1"/>
    <col min="14596" max="14596" width="5" style="1562" customWidth="1"/>
    <col min="14597" max="14597" width="12.85546875" style="1562" customWidth="1"/>
    <col min="14598" max="14598" width="10.140625" style="1562" customWidth="1"/>
    <col min="14599" max="14599" width="11.42578125" style="1562" customWidth="1"/>
    <col min="14600" max="14600" width="9.7109375" style="1562" customWidth="1"/>
    <col min="14601" max="14601" width="10.85546875" style="1562" customWidth="1"/>
    <col min="14602" max="14604" width="0" style="1562" hidden="1" customWidth="1"/>
    <col min="14605" max="14605" width="9.140625" style="1562"/>
    <col min="14606" max="14606" width="11" style="1562" bestFit="1" customWidth="1"/>
    <col min="14607" max="14849" width="9.140625" style="1562"/>
    <col min="14850" max="14850" width="6.140625" style="1562" customWidth="1"/>
    <col min="14851" max="14851" width="42.42578125" style="1562" customWidth="1"/>
    <col min="14852" max="14852" width="5" style="1562" customWidth="1"/>
    <col min="14853" max="14853" width="12.85546875" style="1562" customWidth="1"/>
    <col min="14854" max="14854" width="10.140625" style="1562" customWidth="1"/>
    <col min="14855" max="14855" width="11.42578125" style="1562" customWidth="1"/>
    <col min="14856" max="14856" width="9.7109375" style="1562" customWidth="1"/>
    <col min="14857" max="14857" width="10.85546875" style="1562" customWidth="1"/>
    <col min="14858" max="14860" width="0" style="1562" hidden="1" customWidth="1"/>
    <col min="14861" max="14861" width="9.140625" style="1562"/>
    <col min="14862" max="14862" width="11" style="1562" bestFit="1" customWidth="1"/>
    <col min="14863" max="15105" width="9.140625" style="1562"/>
    <col min="15106" max="15106" width="6.140625" style="1562" customWidth="1"/>
    <col min="15107" max="15107" width="42.42578125" style="1562" customWidth="1"/>
    <col min="15108" max="15108" width="5" style="1562" customWidth="1"/>
    <col min="15109" max="15109" width="12.85546875" style="1562" customWidth="1"/>
    <col min="15110" max="15110" width="10.140625" style="1562" customWidth="1"/>
    <col min="15111" max="15111" width="11.42578125" style="1562" customWidth="1"/>
    <col min="15112" max="15112" width="9.7109375" style="1562" customWidth="1"/>
    <col min="15113" max="15113" width="10.85546875" style="1562" customWidth="1"/>
    <col min="15114" max="15116" width="0" style="1562" hidden="1" customWidth="1"/>
    <col min="15117" max="15117" width="9.140625" style="1562"/>
    <col min="15118" max="15118" width="11" style="1562" bestFit="1" customWidth="1"/>
    <col min="15119" max="15361" width="9.140625" style="1562"/>
    <col min="15362" max="15362" width="6.140625" style="1562" customWidth="1"/>
    <col min="15363" max="15363" width="42.42578125" style="1562" customWidth="1"/>
    <col min="15364" max="15364" width="5" style="1562" customWidth="1"/>
    <col min="15365" max="15365" width="12.85546875" style="1562" customWidth="1"/>
    <col min="15366" max="15366" width="10.140625" style="1562" customWidth="1"/>
    <col min="15367" max="15367" width="11.42578125" style="1562" customWidth="1"/>
    <col min="15368" max="15368" width="9.7109375" style="1562" customWidth="1"/>
    <col min="15369" max="15369" width="10.85546875" style="1562" customWidth="1"/>
    <col min="15370" max="15372" width="0" style="1562" hidden="1" customWidth="1"/>
    <col min="15373" max="15373" width="9.140625" style="1562"/>
    <col min="15374" max="15374" width="11" style="1562" bestFit="1" customWidth="1"/>
    <col min="15375" max="15617" width="9.140625" style="1562"/>
    <col min="15618" max="15618" width="6.140625" style="1562" customWidth="1"/>
    <col min="15619" max="15619" width="42.42578125" style="1562" customWidth="1"/>
    <col min="15620" max="15620" width="5" style="1562" customWidth="1"/>
    <col min="15621" max="15621" width="12.85546875" style="1562" customWidth="1"/>
    <col min="15622" max="15622" width="10.140625" style="1562" customWidth="1"/>
    <col min="15623" max="15623" width="11.42578125" style="1562" customWidth="1"/>
    <col min="15624" max="15624" width="9.7109375" style="1562" customWidth="1"/>
    <col min="15625" max="15625" width="10.85546875" style="1562" customWidth="1"/>
    <col min="15626" max="15628" width="0" style="1562" hidden="1" customWidth="1"/>
    <col min="15629" max="15629" width="9.140625" style="1562"/>
    <col min="15630" max="15630" width="11" style="1562" bestFit="1" customWidth="1"/>
    <col min="15631" max="15873" width="9.140625" style="1562"/>
    <col min="15874" max="15874" width="6.140625" style="1562" customWidth="1"/>
    <col min="15875" max="15875" width="42.42578125" style="1562" customWidth="1"/>
    <col min="15876" max="15876" width="5" style="1562" customWidth="1"/>
    <col min="15877" max="15877" width="12.85546875" style="1562" customWidth="1"/>
    <col min="15878" max="15878" width="10.140625" style="1562" customWidth="1"/>
    <col min="15879" max="15879" width="11.42578125" style="1562" customWidth="1"/>
    <col min="15880" max="15880" width="9.7109375" style="1562" customWidth="1"/>
    <col min="15881" max="15881" width="10.85546875" style="1562" customWidth="1"/>
    <col min="15882" max="15884" width="0" style="1562" hidden="1" customWidth="1"/>
    <col min="15885" max="15885" width="9.140625" style="1562"/>
    <col min="15886" max="15886" width="11" style="1562" bestFit="1" customWidth="1"/>
    <col min="15887" max="16129" width="9.140625" style="1562"/>
    <col min="16130" max="16130" width="6.140625" style="1562" customWidth="1"/>
    <col min="16131" max="16131" width="42.42578125" style="1562" customWidth="1"/>
    <col min="16132" max="16132" width="5" style="1562" customWidth="1"/>
    <col min="16133" max="16133" width="12.85546875" style="1562" customWidth="1"/>
    <col min="16134" max="16134" width="10.140625" style="1562" customWidth="1"/>
    <col min="16135" max="16135" width="11.42578125" style="1562" customWidth="1"/>
    <col min="16136" max="16136" width="9.7109375" style="1562" customWidth="1"/>
    <col min="16137" max="16137" width="10.85546875" style="1562" customWidth="1"/>
    <col min="16138" max="16140" width="0" style="1562" hidden="1" customWidth="1"/>
    <col min="16141" max="16141" width="9.140625" style="1562"/>
    <col min="16142" max="16142" width="11" style="1562" bestFit="1" customWidth="1"/>
    <col min="16143" max="16384" width="9.140625" style="1562"/>
  </cols>
  <sheetData>
    <row r="1" spans="2:16" s="340" customFormat="1">
      <c r="B1" s="1286" t="s">
        <v>1257</v>
      </c>
      <c r="C1" s="1286"/>
      <c r="D1" s="1286"/>
      <c r="E1" s="1286"/>
      <c r="F1" s="1286"/>
      <c r="G1" s="1286"/>
      <c r="H1" s="2207"/>
      <c r="I1" s="2207"/>
      <c r="N1" s="341"/>
      <c r="O1" s="341"/>
    </row>
    <row r="2" spans="2:16" s="340" customFormat="1">
      <c r="B2" s="1286" t="s">
        <v>1208</v>
      </c>
      <c r="C2" s="1286"/>
      <c r="D2" s="1286"/>
      <c r="E2" s="1286"/>
      <c r="F2" s="1286"/>
      <c r="G2" s="1286"/>
      <c r="H2" s="2054"/>
      <c r="I2" s="2054"/>
      <c r="N2" s="341"/>
      <c r="O2" s="341"/>
    </row>
    <row r="3" spans="2:16" s="340" customFormat="1">
      <c r="B3" s="1286" t="s">
        <v>1258</v>
      </c>
      <c r="C3" s="1286"/>
      <c r="D3" s="1286"/>
      <c r="E3" s="1286"/>
      <c r="F3" s="1286"/>
      <c r="G3" s="1286"/>
      <c r="H3" s="2054" t="s">
        <v>1785</v>
      </c>
      <c r="I3" s="2054"/>
      <c r="N3" s="1560"/>
      <c r="O3" s="1560"/>
    </row>
    <row r="4" spans="2:16" s="340" customFormat="1">
      <c r="B4" s="1286" t="s">
        <v>1209</v>
      </c>
      <c r="C4" s="1286"/>
      <c r="D4" s="1286"/>
      <c r="E4" s="1286"/>
      <c r="F4" s="1286"/>
      <c r="G4" s="1286"/>
      <c r="H4" s="1286"/>
      <c r="I4" s="1286"/>
      <c r="N4" s="341"/>
      <c r="O4" s="341"/>
      <c r="P4" s="341"/>
    </row>
    <row r="5" spans="2:16" s="340" customFormat="1">
      <c r="B5" s="1286"/>
      <c r="C5" s="1286"/>
      <c r="D5" s="1286"/>
      <c r="E5" s="1286"/>
      <c r="F5" s="1286"/>
      <c r="G5" s="1286"/>
      <c r="H5" s="1286"/>
      <c r="I5" s="1286"/>
      <c r="N5" s="341"/>
      <c r="O5" s="341"/>
      <c r="P5" s="341"/>
    </row>
    <row r="6" spans="2:16" s="1561" customFormat="1" ht="15.75" customHeight="1">
      <c r="B6" s="2055" t="s">
        <v>1492</v>
      </c>
      <c r="C6" s="2055" t="s">
        <v>0</v>
      </c>
      <c r="D6" s="2055" t="s">
        <v>1491</v>
      </c>
      <c r="E6" s="2055" t="s">
        <v>1489</v>
      </c>
      <c r="F6" s="2055"/>
      <c r="G6" s="2055"/>
      <c r="H6" s="2055" t="s">
        <v>1308</v>
      </c>
      <c r="I6" s="2055"/>
      <c r="J6" s="2208"/>
    </row>
    <row r="7" spans="2:16" s="1561" customFormat="1" ht="15.75" customHeight="1">
      <c r="B7" s="2146"/>
      <c r="C7" s="2146"/>
      <c r="D7" s="2146"/>
      <c r="E7" s="1419" t="s">
        <v>1487</v>
      </c>
      <c r="F7" s="1419" t="s">
        <v>1488</v>
      </c>
      <c r="G7" s="1419" t="s">
        <v>1486</v>
      </c>
      <c r="H7" s="1420" t="s">
        <v>1487</v>
      </c>
      <c r="I7" s="1419" t="s">
        <v>1486</v>
      </c>
      <c r="J7" s="2209"/>
    </row>
    <row r="8" spans="2:16" ht="15.75" customHeight="1">
      <c r="B8" s="1496"/>
      <c r="C8" s="1551" t="s">
        <v>1485</v>
      </c>
      <c r="D8" s="1493"/>
      <c r="E8" s="1493"/>
      <c r="F8" s="1493"/>
      <c r="G8" s="1493"/>
      <c r="H8" s="1484"/>
      <c r="I8" s="1552"/>
    </row>
    <row r="9" spans="2:16" ht="15.75" customHeight="1">
      <c r="B9" s="1501"/>
      <c r="C9" s="1548" t="s">
        <v>1484</v>
      </c>
      <c r="D9" s="1451"/>
      <c r="E9" s="1451"/>
      <c r="F9" s="1451"/>
      <c r="G9" s="1455"/>
      <c r="H9" s="1451"/>
      <c r="I9" s="1550"/>
    </row>
    <row r="10" spans="2:16" ht="15.75" customHeight="1">
      <c r="B10" s="1498">
        <v>1.1000000000000001</v>
      </c>
      <c r="C10" s="1453" t="s">
        <v>1483</v>
      </c>
      <c r="D10" s="1451" t="s">
        <v>3398</v>
      </c>
      <c r="E10" s="1451">
        <v>342</v>
      </c>
      <c r="F10" s="1451">
        <v>8</v>
      </c>
      <c r="G10" s="1451">
        <f>E10*F10</f>
        <v>2736</v>
      </c>
      <c r="H10" s="1451">
        <f>'Admin. Sub TOS'!D14</f>
        <v>375.4975</v>
      </c>
      <c r="I10" s="1550">
        <f>F10*H10</f>
        <v>3003.98</v>
      </c>
    </row>
    <row r="11" spans="2:16" ht="15.75" customHeight="1">
      <c r="B11" s="1498">
        <v>1.2</v>
      </c>
      <c r="C11" s="1453" t="s">
        <v>1482</v>
      </c>
      <c r="D11" s="1451" t="s">
        <v>3399</v>
      </c>
      <c r="E11" s="1451">
        <v>446</v>
      </c>
      <c r="F11" s="1451">
        <v>70</v>
      </c>
      <c r="G11" s="1451">
        <f t="shared" ref="G11:G71" si="0">E11*F11</f>
        <v>31220</v>
      </c>
      <c r="H11" s="1451">
        <f>'Admin. Sub TOS'!D30+'Admin. Sub TOS'!D42</f>
        <v>164.81037499999999</v>
      </c>
      <c r="I11" s="1550">
        <f t="shared" ref="I11:I71" si="1">F11*H11</f>
        <v>11536.72625</v>
      </c>
    </row>
    <row r="12" spans="2:16" ht="15.75" customHeight="1">
      <c r="B12" s="1498">
        <v>1.3</v>
      </c>
      <c r="C12" s="1453" t="s">
        <v>1597</v>
      </c>
      <c r="D12" s="1451" t="s">
        <v>3399</v>
      </c>
      <c r="E12" s="1451">
        <f>E11/3</f>
        <v>148.66666666666666</v>
      </c>
      <c r="F12" s="1451">
        <v>70</v>
      </c>
      <c r="G12" s="1451">
        <f t="shared" si="0"/>
        <v>10406.666666666666</v>
      </c>
      <c r="H12" s="1451"/>
      <c r="I12" s="1550">
        <f t="shared" si="1"/>
        <v>0</v>
      </c>
    </row>
    <row r="13" spans="2:16" ht="15.75" customHeight="1">
      <c r="B13" s="1498">
        <v>1.4</v>
      </c>
      <c r="C13" s="1453" t="s">
        <v>1480</v>
      </c>
      <c r="D13" s="1451" t="s">
        <v>3399</v>
      </c>
      <c r="E13" s="1451">
        <f>E12+E11</f>
        <v>594.66666666666663</v>
      </c>
      <c r="F13" s="1451">
        <v>56.6</v>
      </c>
      <c r="G13" s="1451">
        <f t="shared" si="0"/>
        <v>33658.133333333331</v>
      </c>
      <c r="H13" s="1451">
        <f>'Admin. Sub TOS'!H21</f>
        <v>209.54649999999998</v>
      </c>
      <c r="I13" s="1550">
        <f t="shared" si="1"/>
        <v>11860.331899999999</v>
      </c>
    </row>
    <row r="14" spans="2:16" ht="15.75" customHeight="1">
      <c r="B14" s="1498">
        <v>1.5</v>
      </c>
      <c r="C14" s="1453" t="s">
        <v>1479</v>
      </c>
      <c r="D14" s="1451" t="s">
        <v>3399</v>
      </c>
      <c r="E14" s="1451">
        <f>E13+(E10*0.3)</f>
        <v>697.26666666666665</v>
      </c>
      <c r="F14" s="1451">
        <v>70</v>
      </c>
      <c r="G14" s="1451">
        <f t="shared" si="0"/>
        <v>48808.666666666664</v>
      </c>
      <c r="H14" s="1451">
        <f>'Admin. Sub TOS'!H34</f>
        <v>67.91312499999998</v>
      </c>
      <c r="I14" s="1550">
        <f t="shared" si="1"/>
        <v>4753.9187499999989</v>
      </c>
    </row>
    <row r="15" spans="2:16" ht="15.75" customHeight="1">
      <c r="B15" s="1499">
        <v>1.6</v>
      </c>
      <c r="C15" s="1483" t="s">
        <v>1497</v>
      </c>
      <c r="D15" s="1479" t="s">
        <v>3398</v>
      </c>
      <c r="E15" s="1479">
        <v>284</v>
      </c>
      <c r="F15" s="1479">
        <v>200</v>
      </c>
      <c r="G15" s="1479">
        <f t="shared" si="0"/>
        <v>56800</v>
      </c>
      <c r="H15" s="1479">
        <f>'Admin. Sub TOS'!H47</f>
        <v>261.48499999999996</v>
      </c>
      <c r="I15" s="1553">
        <f t="shared" si="1"/>
        <v>52296.999999999993</v>
      </c>
    </row>
    <row r="16" spans="2:16" ht="15.75" customHeight="1">
      <c r="B16" s="2174" t="s">
        <v>1330</v>
      </c>
      <c r="C16" s="2174"/>
      <c r="D16" s="2174"/>
      <c r="E16" s="1564"/>
      <c r="F16" s="1564"/>
      <c r="G16" s="1568">
        <f>SUM(G10:G15)</f>
        <v>183629.46666666665</v>
      </c>
      <c r="H16" s="1568"/>
      <c r="I16" s="1568">
        <f>SUM(I10:I15)</f>
        <v>83451.95689999999</v>
      </c>
    </row>
    <row r="17" spans="2:9" ht="15.75" customHeight="1">
      <c r="B17" s="1500"/>
      <c r="C17" s="1554" t="s">
        <v>1477</v>
      </c>
      <c r="D17" s="1484"/>
      <c r="E17" s="1484"/>
      <c r="F17" s="1484"/>
      <c r="G17" s="1484"/>
      <c r="H17" s="1484"/>
      <c r="I17" s="1555"/>
    </row>
    <row r="18" spans="2:9" ht="15.75" customHeight="1">
      <c r="B18" s="1498">
        <v>2.1</v>
      </c>
      <c r="C18" s="1453" t="s">
        <v>1476</v>
      </c>
      <c r="D18" s="1451" t="s">
        <v>3398</v>
      </c>
      <c r="E18" s="1451">
        <v>77</v>
      </c>
      <c r="F18" s="1451">
        <v>150</v>
      </c>
      <c r="G18" s="1451">
        <f t="shared" si="0"/>
        <v>11550</v>
      </c>
      <c r="H18" s="1451">
        <f>'Admin. Sub TOS'!H57</f>
        <v>59.62</v>
      </c>
      <c r="I18" s="1550">
        <f t="shared" si="1"/>
        <v>8943</v>
      </c>
    </row>
    <row r="19" spans="2:9" ht="15.75" customHeight="1">
      <c r="B19" s="1498">
        <v>2.2000000000000002</v>
      </c>
      <c r="C19" s="1453" t="s">
        <v>1475</v>
      </c>
      <c r="D19" s="1451" t="s">
        <v>3398</v>
      </c>
      <c r="E19" s="1451">
        <v>20</v>
      </c>
      <c r="F19" s="1451">
        <v>150</v>
      </c>
      <c r="G19" s="1451">
        <f t="shared" si="0"/>
        <v>3000</v>
      </c>
      <c r="H19" s="1451"/>
      <c r="I19" s="1550">
        <f t="shared" si="1"/>
        <v>0</v>
      </c>
    </row>
    <row r="20" spans="2:9" ht="15.75" customHeight="1">
      <c r="B20" s="1498">
        <v>2.2999999999999998</v>
      </c>
      <c r="C20" s="1453" t="s">
        <v>1474</v>
      </c>
      <c r="D20" s="1451" t="s">
        <v>3398</v>
      </c>
      <c r="E20" s="1451">
        <v>284</v>
      </c>
      <c r="F20" s="1451">
        <v>400</v>
      </c>
      <c r="G20" s="1451">
        <f t="shared" si="0"/>
        <v>113600</v>
      </c>
      <c r="H20" s="1451">
        <f>'Admin. Sub TOS'!D76</f>
        <v>261.48499999999996</v>
      </c>
      <c r="I20" s="1550">
        <f t="shared" si="1"/>
        <v>104593.99999999999</v>
      </c>
    </row>
    <row r="21" spans="2:9" ht="15.75" customHeight="1">
      <c r="B21" s="1498">
        <v>2.4</v>
      </c>
      <c r="C21" s="1453" t="s">
        <v>1473</v>
      </c>
      <c r="D21" s="1451" t="s">
        <v>3399</v>
      </c>
      <c r="E21" s="1451">
        <v>15</v>
      </c>
      <c r="F21" s="1451">
        <v>3200</v>
      </c>
      <c r="G21" s="1451">
        <f t="shared" si="0"/>
        <v>48000</v>
      </c>
      <c r="H21" s="1451">
        <f>'Admin. Sub TOS'!D87</f>
        <v>15.205</v>
      </c>
      <c r="I21" s="1550">
        <f t="shared" si="1"/>
        <v>48656</v>
      </c>
    </row>
    <row r="22" spans="2:9" ht="15.75" customHeight="1">
      <c r="B22" s="1498">
        <v>2.5</v>
      </c>
      <c r="C22" s="1453" t="s">
        <v>1471</v>
      </c>
      <c r="D22" s="1451" t="s">
        <v>3399</v>
      </c>
      <c r="E22" s="1451">
        <v>4</v>
      </c>
      <c r="F22" s="1451">
        <v>3200</v>
      </c>
      <c r="G22" s="1451">
        <f t="shared" si="0"/>
        <v>12800</v>
      </c>
      <c r="H22" s="1451"/>
      <c r="I22" s="1550">
        <f t="shared" si="1"/>
        <v>0</v>
      </c>
    </row>
    <row r="23" spans="2:9" ht="15.75" customHeight="1">
      <c r="B23" s="1498">
        <v>2.6</v>
      </c>
      <c r="C23" s="1453" t="s">
        <v>1470</v>
      </c>
      <c r="D23" s="1451" t="s">
        <v>3399</v>
      </c>
      <c r="E23" s="1451">
        <v>3.5</v>
      </c>
      <c r="F23" s="1451">
        <v>3200</v>
      </c>
      <c r="G23" s="1451">
        <f t="shared" si="0"/>
        <v>11200</v>
      </c>
      <c r="H23" s="1451"/>
      <c r="I23" s="1550">
        <f t="shared" si="1"/>
        <v>0</v>
      </c>
    </row>
    <row r="24" spans="2:9" ht="15.75" customHeight="1">
      <c r="B24" s="1498"/>
      <c r="C24" s="1453" t="s">
        <v>1568</v>
      </c>
      <c r="D24" s="1451"/>
      <c r="E24" s="1451"/>
      <c r="F24" s="1451"/>
      <c r="G24" s="1451">
        <f t="shared" si="0"/>
        <v>0</v>
      </c>
      <c r="H24" s="1451"/>
      <c r="I24" s="1550">
        <f t="shared" si="1"/>
        <v>0</v>
      </c>
    </row>
    <row r="25" spans="2:9" ht="15.75" customHeight="1">
      <c r="B25" s="1498">
        <v>2.7</v>
      </c>
      <c r="C25" s="1453" t="s">
        <v>1</v>
      </c>
      <c r="D25" s="1451" t="s">
        <v>3398</v>
      </c>
      <c r="E25" s="1451">
        <v>77</v>
      </c>
      <c r="F25" s="1451">
        <v>120</v>
      </c>
      <c r="G25" s="1451">
        <f t="shared" si="0"/>
        <v>9240</v>
      </c>
      <c r="H25" s="1451">
        <f>'Admin. Sub TOS'!D101</f>
        <v>119.04</v>
      </c>
      <c r="I25" s="1550">
        <f t="shared" si="1"/>
        <v>14284.800000000001</v>
      </c>
    </row>
    <row r="26" spans="2:9" ht="15.75" customHeight="1">
      <c r="B26" s="1498">
        <v>2.8</v>
      </c>
      <c r="C26" s="1453" t="s">
        <v>1471</v>
      </c>
      <c r="D26" s="1451" t="s">
        <v>3398</v>
      </c>
      <c r="E26" s="1451">
        <v>16</v>
      </c>
      <c r="F26" s="1451">
        <v>120</v>
      </c>
      <c r="G26" s="1451">
        <f t="shared" si="0"/>
        <v>1920</v>
      </c>
      <c r="H26" s="1451"/>
      <c r="I26" s="1550">
        <f t="shared" si="1"/>
        <v>0</v>
      </c>
    </row>
    <row r="27" spans="2:9" ht="15.75" customHeight="1">
      <c r="B27" s="1498">
        <v>2.9</v>
      </c>
      <c r="C27" s="1453" t="s">
        <v>1470</v>
      </c>
      <c r="D27" s="1451" t="s">
        <v>3398</v>
      </c>
      <c r="E27" s="1451">
        <v>65</v>
      </c>
      <c r="F27" s="1451">
        <v>120</v>
      </c>
      <c r="G27" s="1451">
        <f t="shared" si="0"/>
        <v>7800</v>
      </c>
      <c r="H27" s="1451"/>
      <c r="I27" s="1550">
        <f t="shared" si="1"/>
        <v>0</v>
      </c>
    </row>
    <row r="28" spans="2:9" ht="15.75" customHeight="1">
      <c r="B28" s="1501">
        <v>2.1</v>
      </c>
      <c r="C28" s="1453" t="s">
        <v>2</v>
      </c>
      <c r="D28" s="1451" t="s">
        <v>3398</v>
      </c>
      <c r="E28" s="1451">
        <v>5</v>
      </c>
      <c r="F28" s="1451">
        <v>150</v>
      </c>
      <c r="G28" s="1451">
        <f t="shared" si="0"/>
        <v>750</v>
      </c>
      <c r="H28" s="1451"/>
      <c r="I28" s="1550">
        <f t="shared" si="1"/>
        <v>0</v>
      </c>
    </row>
    <row r="29" spans="2:9" ht="15.75" customHeight="1">
      <c r="B29" s="1501"/>
      <c r="C29" s="1453" t="s">
        <v>1454</v>
      </c>
      <c r="D29" s="1451"/>
      <c r="E29" s="1451"/>
      <c r="F29" s="1451"/>
      <c r="G29" s="1451"/>
      <c r="H29" s="1451"/>
      <c r="I29" s="1550"/>
    </row>
    <row r="30" spans="2:9" ht="15.75" customHeight="1">
      <c r="B30" s="1501">
        <v>2.12</v>
      </c>
      <c r="C30" s="1453" t="s">
        <v>1468</v>
      </c>
      <c r="D30" s="1451" t="s">
        <v>1450</v>
      </c>
      <c r="E30" s="1451">
        <v>1121</v>
      </c>
      <c r="F30" s="1451">
        <v>36</v>
      </c>
      <c r="G30" s="1451">
        <f t="shared" si="0"/>
        <v>40356</v>
      </c>
      <c r="H30" s="1451">
        <f>'Admin. Sub TOS'!D105</f>
        <v>1213.146</v>
      </c>
      <c r="I30" s="1550">
        <f t="shared" si="1"/>
        <v>43673.256000000001</v>
      </c>
    </row>
    <row r="31" spans="2:9" ht="15.75" customHeight="1">
      <c r="B31" s="1501">
        <v>2.13</v>
      </c>
      <c r="C31" s="1453" t="s">
        <v>1467</v>
      </c>
      <c r="D31" s="1451" t="s">
        <v>1450</v>
      </c>
      <c r="E31" s="1451">
        <v>580</v>
      </c>
      <c r="F31" s="1451">
        <v>36</v>
      </c>
      <c r="G31" s="1451">
        <f t="shared" si="0"/>
        <v>20880</v>
      </c>
      <c r="H31" s="1451"/>
      <c r="I31" s="1550">
        <f t="shared" si="1"/>
        <v>0</v>
      </c>
    </row>
    <row r="32" spans="2:9" ht="15.75" customHeight="1">
      <c r="B32" s="1501">
        <v>2.14</v>
      </c>
      <c r="C32" s="1453" t="s">
        <v>1451</v>
      </c>
      <c r="D32" s="1451" t="s">
        <v>1450</v>
      </c>
      <c r="E32" s="1451">
        <v>1635</v>
      </c>
      <c r="F32" s="1451">
        <v>36</v>
      </c>
      <c r="G32" s="1451">
        <f t="shared" si="0"/>
        <v>58860</v>
      </c>
      <c r="H32" s="1451">
        <f>'Admin. Sub TOS'!D108</f>
        <v>1414.2342999999996</v>
      </c>
      <c r="I32" s="1550">
        <f t="shared" si="1"/>
        <v>50912.434799999988</v>
      </c>
    </row>
    <row r="33" spans="2:9" ht="15.75" customHeight="1">
      <c r="B33" s="1502">
        <v>2.15</v>
      </c>
      <c r="C33" s="1483" t="s">
        <v>1466</v>
      </c>
      <c r="D33" s="1479" t="s">
        <v>1406</v>
      </c>
      <c r="E33" s="1479">
        <v>221</v>
      </c>
      <c r="F33" s="1479">
        <v>30</v>
      </c>
      <c r="G33" s="1479">
        <f t="shared" si="0"/>
        <v>6630</v>
      </c>
      <c r="H33" s="1479">
        <f>'Admin. Sub TOS'!D118</f>
        <v>226.6</v>
      </c>
      <c r="I33" s="1553">
        <f t="shared" si="1"/>
        <v>6798</v>
      </c>
    </row>
    <row r="34" spans="2:9" ht="15.75" customHeight="1">
      <c r="B34" s="2058" t="s">
        <v>1330</v>
      </c>
      <c r="C34" s="2058"/>
      <c r="D34" s="2058"/>
      <c r="E34" s="1481"/>
      <c r="F34" s="1481"/>
      <c r="G34" s="1481">
        <f>SUM(G18:G33)</f>
        <v>346586</v>
      </c>
      <c r="H34" s="1481"/>
      <c r="I34" s="1481">
        <f>SUM(I18:I33)</f>
        <v>277861.49079999997</v>
      </c>
    </row>
    <row r="35" spans="2:9" ht="15.75" customHeight="1">
      <c r="B35" s="1500"/>
      <c r="C35" s="1554" t="s">
        <v>1465</v>
      </c>
      <c r="D35" s="1484"/>
      <c r="E35" s="1484"/>
      <c r="F35" s="1484"/>
      <c r="G35" s="1484"/>
      <c r="H35" s="1484"/>
      <c r="I35" s="1555"/>
    </row>
    <row r="36" spans="2:9" ht="15.75" customHeight="1">
      <c r="B36" s="1498">
        <v>3.1</v>
      </c>
      <c r="C36" s="1453" t="s">
        <v>1464</v>
      </c>
      <c r="D36" s="1451" t="s">
        <v>3399</v>
      </c>
      <c r="E36" s="1451">
        <v>114</v>
      </c>
      <c r="F36" s="1451">
        <v>1250</v>
      </c>
      <c r="G36" s="1451">
        <f t="shared" si="0"/>
        <v>142500</v>
      </c>
      <c r="H36" s="1451">
        <f>'Admin. Sub TOS'!H93:H93</f>
        <v>40.350200000000008</v>
      </c>
      <c r="I36" s="1550">
        <f t="shared" si="1"/>
        <v>50437.750000000007</v>
      </c>
    </row>
    <row r="37" spans="2:9" ht="15.75" customHeight="1">
      <c r="B37" s="1499">
        <v>3.2</v>
      </c>
      <c r="C37" s="1483" t="s">
        <v>1463</v>
      </c>
      <c r="D37" s="1479" t="s">
        <v>3399</v>
      </c>
      <c r="E37" s="1479">
        <v>15</v>
      </c>
      <c r="F37" s="1479">
        <v>1450</v>
      </c>
      <c r="G37" s="1479">
        <f t="shared" si="0"/>
        <v>21750</v>
      </c>
      <c r="H37" s="1479">
        <f>'Admin. Sub TOS'!H89</f>
        <v>4.9610000000000003</v>
      </c>
      <c r="I37" s="1553">
        <f t="shared" si="1"/>
        <v>7193.4500000000007</v>
      </c>
    </row>
    <row r="38" spans="2:9" ht="15.75" customHeight="1">
      <c r="B38" s="2058" t="s">
        <v>1330</v>
      </c>
      <c r="C38" s="2058"/>
      <c r="D38" s="2058"/>
      <c r="E38" s="1481"/>
      <c r="F38" s="1481"/>
      <c r="G38" s="1481">
        <f>SUM(G36:G37)</f>
        <v>164250</v>
      </c>
      <c r="H38" s="1481"/>
      <c r="I38" s="1481">
        <f>SUM(I36:I37)</f>
        <v>57631.200000000012</v>
      </c>
    </row>
    <row r="39" spans="2:9" ht="15.75" customHeight="1">
      <c r="B39" s="1500"/>
      <c r="C39" s="1566" t="s">
        <v>1462</v>
      </c>
      <c r="D39" s="1484"/>
      <c r="E39" s="1484"/>
      <c r="F39" s="1484"/>
      <c r="G39" s="1484"/>
      <c r="H39" s="1484"/>
      <c r="I39" s="1555"/>
    </row>
    <row r="40" spans="2:9" ht="15.75" customHeight="1">
      <c r="B40" s="1501"/>
      <c r="C40" s="1548" t="s">
        <v>1461</v>
      </c>
      <c r="D40" s="1451"/>
      <c r="E40" s="1451"/>
      <c r="F40" s="1451"/>
      <c r="G40" s="1451"/>
      <c r="H40" s="1451"/>
      <c r="I40" s="1550"/>
    </row>
    <row r="41" spans="2:9" ht="15.75" customHeight="1">
      <c r="B41" s="1501"/>
      <c r="C41" s="1453" t="s">
        <v>1460</v>
      </c>
      <c r="D41" s="1451"/>
      <c r="E41" s="1451"/>
      <c r="F41" s="1451"/>
      <c r="G41" s="1451"/>
      <c r="H41" s="1451"/>
      <c r="I41" s="1550"/>
    </row>
    <row r="42" spans="2:9" ht="15.75" customHeight="1">
      <c r="B42" s="1498">
        <v>1.1000000000000001</v>
      </c>
      <c r="C42" s="1453" t="s">
        <v>1459</v>
      </c>
      <c r="D42" s="1451" t="s">
        <v>3399</v>
      </c>
      <c r="E42" s="1451">
        <v>2.4</v>
      </c>
      <c r="F42" s="1451">
        <v>3200</v>
      </c>
      <c r="G42" s="1451">
        <f t="shared" si="0"/>
        <v>7680</v>
      </c>
      <c r="H42" s="1451">
        <f>'Admin Super TOS '!D12</f>
        <v>2.1840000000000002</v>
      </c>
      <c r="I42" s="1550">
        <f t="shared" si="1"/>
        <v>6988.8</v>
      </c>
    </row>
    <row r="43" spans="2:9" ht="15.75" customHeight="1">
      <c r="B43" s="1498">
        <v>1.2</v>
      </c>
      <c r="C43" s="1453" t="s">
        <v>1458</v>
      </c>
      <c r="D43" s="1451" t="s">
        <v>3399</v>
      </c>
      <c r="E43" s="1451">
        <v>9.3000000000000007</v>
      </c>
      <c r="F43" s="1451">
        <v>3200</v>
      </c>
      <c r="G43" s="1451">
        <f t="shared" si="0"/>
        <v>29760.000000000004</v>
      </c>
      <c r="H43" s="1451">
        <f>'Admin Super TOS '!D32</f>
        <v>9.1559999999999988</v>
      </c>
      <c r="I43" s="1550">
        <f t="shared" si="1"/>
        <v>29299.199999999997</v>
      </c>
    </row>
    <row r="44" spans="2:9" ht="15.75" customHeight="1">
      <c r="B44" s="1498">
        <v>1.3</v>
      </c>
      <c r="C44" s="1453" t="s">
        <v>3</v>
      </c>
      <c r="D44" s="1451" t="s">
        <v>3399</v>
      </c>
      <c r="E44" s="1451">
        <v>0.75</v>
      </c>
      <c r="F44" s="1451">
        <v>3200</v>
      </c>
      <c r="G44" s="1451">
        <f t="shared" si="0"/>
        <v>2400</v>
      </c>
      <c r="H44" s="1451"/>
      <c r="I44" s="1550">
        <f t="shared" si="1"/>
        <v>0</v>
      </c>
    </row>
    <row r="45" spans="2:9" ht="15.75" customHeight="1">
      <c r="B45" s="1498"/>
      <c r="C45" s="1453" t="s">
        <v>1568</v>
      </c>
      <c r="D45" s="1451"/>
      <c r="E45" s="1451"/>
      <c r="F45" s="1451"/>
      <c r="G45" s="1451"/>
      <c r="H45" s="1451"/>
      <c r="I45" s="1550"/>
    </row>
    <row r="46" spans="2:9" ht="15.75" customHeight="1">
      <c r="B46" s="1498">
        <v>1.4</v>
      </c>
      <c r="C46" s="1453" t="s">
        <v>1456</v>
      </c>
      <c r="D46" s="1451" t="s">
        <v>3398</v>
      </c>
      <c r="E46" s="1451">
        <v>48</v>
      </c>
      <c r="F46" s="1451">
        <v>130</v>
      </c>
      <c r="G46" s="1451">
        <f t="shared" si="0"/>
        <v>6240</v>
      </c>
      <c r="H46" s="1451">
        <f>'Admin Super TOS '!D37</f>
        <v>43.680000000000007</v>
      </c>
      <c r="I46" s="1550">
        <f t="shared" si="1"/>
        <v>5678.4000000000005</v>
      </c>
    </row>
    <row r="47" spans="2:9" ht="15.75" customHeight="1">
      <c r="B47" s="1498">
        <v>1.5</v>
      </c>
      <c r="C47" s="1453" t="s">
        <v>1455</v>
      </c>
      <c r="D47" s="1451" t="s">
        <v>3398</v>
      </c>
      <c r="E47" s="1451">
        <v>124</v>
      </c>
      <c r="F47" s="1451">
        <v>130</v>
      </c>
      <c r="G47" s="1451">
        <f t="shared" si="0"/>
        <v>16120</v>
      </c>
      <c r="H47" s="1451">
        <f>'Admin Super TOS '!D60</f>
        <v>119.96</v>
      </c>
      <c r="I47" s="1550">
        <f t="shared" si="1"/>
        <v>15594.8</v>
      </c>
    </row>
    <row r="48" spans="2:9" ht="15.75" customHeight="1">
      <c r="B48" s="1498">
        <v>1.6</v>
      </c>
      <c r="C48" s="1453" t="s">
        <v>3</v>
      </c>
      <c r="D48" s="1451" t="s">
        <v>3398</v>
      </c>
      <c r="E48" s="1451">
        <v>8</v>
      </c>
      <c r="F48" s="1451">
        <v>130</v>
      </c>
      <c r="G48" s="1451">
        <f t="shared" si="0"/>
        <v>1040</v>
      </c>
      <c r="H48" s="1451"/>
      <c r="I48" s="1550">
        <f t="shared" si="1"/>
        <v>0</v>
      </c>
    </row>
    <row r="49" spans="2:9" ht="15.75" customHeight="1">
      <c r="B49" s="1498"/>
      <c r="C49" s="1453" t="s">
        <v>1454</v>
      </c>
      <c r="D49" s="1451"/>
      <c r="E49" s="1451"/>
      <c r="F49" s="1451"/>
      <c r="G49" s="1451"/>
      <c r="H49" s="1451"/>
      <c r="I49" s="1550"/>
    </row>
    <row r="50" spans="2:9" ht="15.75" customHeight="1">
      <c r="B50" s="1498">
        <v>1.7</v>
      </c>
      <c r="C50" s="1453" t="s">
        <v>1452</v>
      </c>
      <c r="D50" s="1451" t="s">
        <v>1450</v>
      </c>
      <c r="E50" s="1451">
        <v>1077</v>
      </c>
      <c r="F50" s="1451">
        <v>36</v>
      </c>
      <c r="G50" s="1451">
        <f t="shared" si="0"/>
        <v>38772</v>
      </c>
      <c r="H50" s="1451">
        <f>'Admin Super TOS '!H9</f>
        <v>1288.0617600000005</v>
      </c>
      <c r="I50" s="1550">
        <f t="shared" si="1"/>
        <v>46370.223360000018</v>
      </c>
    </row>
    <row r="51" spans="2:9" ht="15.75" customHeight="1">
      <c r="B51" s="1498">
        <v>1.8</v>
      </c>
      <c r="C51" s="1453" t="s">
        <v>1451</v>
      </c>
      <c r="D51" s="1451" t="s">
        <v>1450</v>
      </c>
      <c r="E51" s="1451">
        <v>325</v>
      </c>
      <c r="F51" s="1451">
        <v>36</v>
      </c>
      <c r="G51" s="1451">
        <f t="shared" si="0"/>
        <v>11700</v>
      </c>
      <c r="H51" s="1451">
        <f>'Admin Super TOS '!H13</f>
        <v>366.28350000000006</v>
      </c>
      <c r="I51" s="1550">
        <f t="shared" si="1"/>
        <v>13186.206000000002</v>
      </c>
    </row>
    <row r="52" spans="2:9" ht="15.75" customHeight="1">
      <c r="B52" s="1499">
        <v>1.9</v>
      </c>
      <c r="C52" s="1483" t="s">
        <v>1499</v>
      </c>
      <c r="D52" s="1479" t="s">
        <v>1450</v>
      </c>
      <c r="E52" s="1479">
        <v>0</v>
      </c>
      <c r="F52" s="1479">
        <v>36</v>
      </c>
      <c r="G52" s="1479">
        <f t="shared" si="0"/>
        <v>0</v>
      </c>
      <c r="H52" s="1479"/>
      <c r="I52" s="1553">
        <f t="shared" si="1"/>
        <v>0</v>
      </c>
    </row>
    <row r="53" spans="2:9" ht="15.75" customHeight="1">
      <c r="B53" s="2058" t="s">
        <v>1330</v>
      </c>
      <c r="C53" s="2058"/>
      <c r="D53" s="2058"/>
      <c r="E53" s="1481"/>
      <c r="F53" s="1481"/>
      <c r="G53" s="1481">
        <f>SUM(G42:G52)</f>
        <v>113712</v>
      </c>
      <c r="H53" s="1481"/>
      <c r="I53" s="1481">
        <f>SUM(I42:I52)</f>
        <v>117117.62936000002</v>
      </c>
    </row>
    <row r="54" spans="2:9" ht="15.75" customHeight="1">
      <c r="B54" s="1500"/>
      <c r="C54" s="1556" t="s">
        <v>1449</v>
      </c>
      <c r="D54" s="1484"/>
      <c r="E54" s="1484"/>
      <c r="F54" s="1484"/>
      <c r="G54" s="1484"/>
      <c r="H54" s="1484"/>
      <c r="I54" s="1555"/>
    </row>
    <row r="55" spans="2:9" ht="15.75" customHeight="1">
      <c r="B55" s="1498">
        <v>2.1</v>
      </c>
      <c r="C55" s="1453" t="s">
        <v>1447</v>
      </c>
      <c r="D55" s="1451" t="s">
        <v>3398</v>
      </c>
      <c r="E55" s="1451">
        <v>230</v>
      </c>
      <c r="F55" s="1451">
        <v>350</v>
      </c>
      <c r="G55" s="1451">
        <f t="shared" si="0"/>
        <v>80500</v>
      </c>
      <c r="H55" s="1451">
        <f>'Admin Super TOS '!H53</f>
        <v>170.98599999999999</v>
      </c>
      <c r="I55" s="1550">
        <f t="shared" si="1"/>
        <v>59845.1</v>
      </c>
    </row>
    <row r="56" spans="2:9" ht="15.75" customHeight="1">
      <c r="B56" s="1499">
        <v>2.2000000000000002</v>
      </c>
      <c r="C56" s="1483" t="s">
        <v>1446</v>
      </c>
      <c r="D56" s="1479" t="s">
        <v>3398</v>
      </c>
      <c r="E56" s="1479">
        <v>115</v>
      </c>
      <c r="F56" s="1479">
        <v>320</v>
      </c>
      <c r="G56" s="1479">
        <f t="shared" si="0"/>
        <v>36800</v>
      </c>
      <c r="H56" s="1479">
        <f>'Admin Super TOS '!D88</f>
        <v>198.12</v>
      </c>
      <c r="I56" s="1553">
        <f t="shared" si="1"/>
        <v>63398.400000000001</v>
      </c>
    </row>
    <row r="57" spans="2:9" ht="15.75" customHeight="1">
      <c r="B57" s="2058" t="s">
        <v>1330</v>
      </c>
      <c r="C57" s="2058"/>
      <c r="D57" s="2058"/>
      <c r="E57" s="1481"/>
      <c r="F57" s="1481"/>
      <c r="G57" s="1481">
        <f>SUM(G55:G56)</f>
        <v>117300</v>
      </c>
      <c r="H57" s="1481"/>
      <c r="I57" s="1481">
        <f>SUM(I55:I56)</f>
        <v>123243.5</v>
      </c>
    </row>
    <row r="58" spans="2:9" ht="15.75" customHeight="1">
      <c r="B58" s="1500"/>
      <c r="C58" s="1554" t="s">
        <v>1443</v>
      </c>
      <c r="D58" s="1484"/>
      <c r="E58" s="1484"/>
      <c r="F58" s="1484"/>
      <c r="G58" s="1484"/>
      <c r="H58" s="1484"/>
      <c r="I58" s="1555"/>
    </row>
    <row r="59" spans="2:9" ht="15.75" customHeight="1">
      <c r="B59" s="1498">
        <v>3.1</v>
      </c>
      <c r="C59" s="1453" t="s">
        <v>1442</v>
      </c>
      <c r="D59" s="1451" t="s">
        <v>3398</v>
      </c>
      <c r="E59" s="1451">
        <v>342.46</v>
      </c>
      <c r="F59" s="1451">
        <v>360</v>
      </c>
      <c r="G59" s="1451">
        <f t="shared" si="0"/>
        <v>123285.59999999999</v>
      </c>
      <c r="H59" s="1451">
        <f>'Admin Super TOS '!D94</f>
        <v>342.22</v>
      </c>
      <c r="I59" s="1550">
        <f t="shared" si="1"/>
        <v>123199.20000000001</v>
      </c>
    </row>
    <row r="60" spans="2:9" ht="18" customHeight="1">
      <c r="B60" s="1498">
        <v>3.2</v>
      </c>
      <c r="C60" s="1456" t="s">
        <v>1575</v>
      </c>
      <c r="D60" s="1451" t="s">
        <v>3398</v>
      </c>
      <c r="E60" s="1451">
        <v>42</v>
      </c>
      <c r="F60" s="1451">
        <v>160</v>
      </c>
      <c r="G60" s="1451">
        <f t="shared" si="0"/>
        <v>6720</v>
      </c>
      <c r="H60" s="1451">
        <f>'Admin Super TOS '!D104</f>
        <v>38.620000000000005</v>
      </c>
      <c r="I60" s="1550">
        <f t="shared" si="1"/>
        <v>6179.2000000000007</v>
      </c>
    </row>
    <row r="61" spans="2:9" ht="15.75" customHeight="1">
      <c r="B61" s="1498">
        <v>3.3</v>
      </c>
      <c r="C61" s="1453" t="s">
        <v>1440</v>
      </c>
      <c r="D61" s="1451" t="s">
        <v>1406</v>
      </c>
      <c r="E61" s="1451">
        <v>70</v>
      </c>
      <c r="F61" s="1451">
        <v>110</v>
      </c>
      <c r="G61" s="1451">
        <f t="shared" si="0"/>
        <v>7700</v>
      </c>
      <c r="H61" s="1451">
        <f>'Admin Super TOS '!D113</f>
        <v>38.620000000000005</v>
      </c>
      <c r="I61" s="1550">
        <f t="shared" si="1"/>
        <v>4248.2000000000007</v>
      </c>
    </row>
    <row r="62" spans="2:9" ht="18" customHeight="1">
      <c r="B62" s="1499">
        <v>3.4</v>
      </c>
      <c r="C62" s="1490" t="s">
        <v>1439</v>
      </c>
      <c r="D62" s="1479" t="s">
        <v>1406</v>
      </c>
      <c r="E62" s="1479">
        <v>46</v>
      </c>
      <c r="F62" s="1479">
        <v>120</v>
      </c>
      <c r="G62" s="1479">
        <f t="shared" si="0"/>
        <v>5520</v>
      </c>
      <c r="H62" s="1479">
        <f>'Admin Super TOS '!D117</f>
        <v>48.2</v>
      </c>
      <c r="I62" s="1553">
        <f t="shared" si="1"/>
        <v>5784</v>
      </c>
    </row>
    <row r="63" spans="2:9" ht="15.75" customHeight="1">
      <c r="B63" s="2058" t="s">
        <v>1330</v>
      </c>
      <c r="C63" s="2058"/>
      <c r="D63" s="2058"/>
      <c r="E63" s="1481"/>
      <c r="F63" s="1481"/>
      <c r="G63" s="1481">
        <f>SUM(G59:G62)</f>
        <v>143225.59999999998</v>
      </c>
      <c r="H63" s="1481"/>
      <c r="I63" s="1481">
        <f>SUM(I59:I62)</f>
        <v>139410.6</v>
      </c>
    </row>
    <row r="64" spans="2:9" ht="15.75" customHeight="1">
      <c r="B64" s="1500"/>
      <c r="C64" s="1554" t="s">
        <v>1438</v>
      </c>
      <c r="D64" s="1484"/>
      <c r="E64" s="1484"/>
      <c r="F64" s="1484"/>
      <c r="G64" s="1484"/>
      <c r="H64" s="1484"/>
      <c r="I64" s="1555"/>
    </row>
    <row r="65" spans="2:9" ht="15.75" customHeight="1">
      <c r="B65" s="1498">
        <v>4.0999999999999996</v>
      </c>
      <c r="C65" s="1453" t="s">
        <v>1437</v>
      </c>
      <c r="D65" s="1451" t="s">
        <v>1406</v>
      </c>
      <c r="E65" s="1451">
        <v>446.56</v>
      </c>
      <c r="F65" s="1451">
        <v>23</v>
      </c>
      <c r="G65" s="1451">
        <f t="shared" si="0"/>
        <v>10270.879999999999</v>
      </c>
      <c r="H65" s="1451">
        <f>'Admin Super TOS '!H70</f>
        <v>509.76</v>
      </c>
      <c r="I65" s="1550">
        <f t="shared" si="1"/>
        <v>11724.48</v>
      </c>
    </row>
    <row r="66" spans="2:9" ht="15.75" customHeight="1">
      <c r="B66" s="1498">
        <v>4.2</v>
      </c>
      <c r="C66" s="1453" t="s">
        <v>1598</v>
      </c>
      <c r="D66" s="1451" t="s">
        <v>1406</v>
      </c>
      <c r="E66" s="1451">
        <v>276.8</v>
      </c>
      <c r="F66" s="1451">
        <v>16</v>
      </c>
      <c r="G66" s="1451">
        <f t="shared" si="0"/>
        <v>4428.8</v>
      </c>
      <c r="H66" s="1451">
        <f>'Admin Super TOS '!H79</f>
        <v>598.67999999999995</v>
      </c>
      <c r="I66" s="1550">
        <f t="shared" si="1"/>
        <v>9578.8799999999992</v>
      </c>
    </row>
    <row r="67" spans="2:9" ht="15.75" customHeight="1">
      <c r="B67" s="1498">
        <v>4.3</v>
      </c>
      <c r="C67" s="1453" t="s">
        <v>1435</v>
      </c>
      <c r="D67" s="1451" t="s">
        <v>1406</v>
      </c>
      <c r="E67" s="1451">
        <v>385.6</v>
      </c>
      <c r="F67" s="1451">
        <v>33</v>
      </c>
      <c r="G67" s="1451">
        <f t="shared" si="0"/>
        <v>12724.800000000001</v>
      </c>
      <c r="H67" s="1451">
        <f>'Admin Super TOS '!H84</f>
        <v>433.8</v>
      </c>
      <c r="I67" s="1550">
        <f t="shared" si="1"/>
        <v>14315.4</v>
      </c>
    </row>
    <row r="68" spans="2:9" ht="15.75" customHeight="1">
      <c r="B68" s="1498">
        <v>4.4000000000000004</v>
      </c>
      <c r="C68" s="1453" t="s">
        <v>1599</v>
      </c>
      <c r="D68" s="1451" t="s">
        <v>1406</v>
      </c>
      <c r="E68" s="1451">
        <v>48.2</v>
      </c>
      <c r="F68" s="1451">
        <v>70</v>
      </c>
      <c r="G68" s="1451">
        <f t="shared" si="0"/>
        <v>3374</v>
      </c>
      <c r="H68" s="1451">
        <f>'Admin Super TOS '!H92</f>
        <v>48.2</v>
      </c>
      <c r="I68" s="1550">
        <f t="shared" si="1"/>
        <v>3374</v>
      </c>
    </row>
    <row r="69" spans="2:9" ht="15.75" customHeight="1">
      <c r="B69" s="1498"/>
      <c r="C69" s="1453" t="s">
        <v>1433</v>
      </c>
      <c r="D69" s="1451"/>
      <c r="E69" s="1451"/>
      <c r="F69" s="1451"/>
      <c r="G69" s="1451"/>
      <c r="H69" s="1451"/>
      <c r="I69" s="1550"/>
    </row>
    <row r="70" spans="2:9" ht="15.75" customHeight="1">
      <c r="B70" s="1498">
        <v>4.5</v>
      </c>
      <c r="C70" s="1453" t="s">
        <v>1817</v>
      </c>
      <c r="D70" s="1451" t="s">
        <v>1818</v>
      </c>
      <c r="E70" s="1451">
        <v>2</v>
      </c>
      <c r="F70" s="1471">
        <v>4668.3</v>
      </c>
      <c r="G70" s="1451">
        <f t="shared" si="0"/>
        <v>9336.6</v>
      </c>
      <c r="H70" s="1451">
        <f>'Admin Super TOS '!H97</f>
        <v>2</v>
      </c>
      <c r="I70" s="1550">
        <f t="shared" si="1"/>
        <v>9336.6</v>
      </c>
    </row>
    <row r="71" spans="2:9" ht="15.75" customHeight="1">
      <c r="B71" s="1499">
        <v>4.5999999999999996</v>
      </c>
      <c r="C71" s="1483" t="s">
        <v>1819</v>
      </c>
      <c r="D71" s="1479" t="s">
        <v>1818</v>
      </c>
      <c r="E71" s="1479">
        <v>0</v>
      </c>
      <c r="F71" s="1479">
        <v>7261.8</v>
      </c>
      <c r="G71" s="1479">
        <f t="shared" si="0"/>
        <v>0</v>
      </c>
      <c r="H71" s="1479">
        <f>'Admin Super TOS '!H101</f>
        <v>5</v>
      </c>
      <c r="I71" s="1553">
        <f t="shared" si="1"/>
        <v>36309</v>
      </c>
    </row>
    <row r="72" spans="2:9" ht="15.75" customHeight="1">
      <c r="B72" s="2148" t="s">
        <v>1330</v>
      </c>
      <c r="C72" s="2149"/>
      <c r="D72" s="2150"/>
      <c r="E72" s="1481"/>
      <c r="F72" s="1481"/>
      <c r="G72" s="1481">
        <f>SUM(G65:G71)</f>
        <v>40135.08</v>
      </c>
      <c r="H72" s="1481"/>
      <c r="I72" s="1481">
        <f>SUM(I65:I71)</f>
        <v>84638.36</v>
      </c>
    </row>
    <row r="73" spans="2:9" ht="15.75" customHeight="1">
      <c r="B73" s="1500"/>
      <c r="C73" s="1554" t="s">
        <v>1428</v>
      </c>
      <c r="D73" s="1484"/>
      <c r="E73" s="1484"/>
      <c r="F73" s="1484"/>
      <c r="G73" s="1484"/>
      <c r="H73" s="1484"/>
      <c r="I73" s="1555"/>
    </row>
    <row r="74" spans="2:9" ht="15.75" customHeight="1">
      <c r="B74" s="1498"/>
      <c r="C74" s="1453" t="s">
        <v>1427</v>
      </c>
      <c r="D74" s="1451"/>
      <c r="E74" s="1451"/>
      <c r="F74" s="1451"/>
      <c r="G74" s="1451"/>
      <c r="H74" s="1451"/>
      <c r="I74" s="1550"/>
    </row>
    <row r="75" spans="2:9" ht="15.75" customHeight="1">
      <c r="B75" s="1498">
        <v>5.0999999999999996</v>
      </c>
      <c r="C75" s="1453" t="s">
        <v>1426</v>
      </c>
      <c r="D75" s="1451" t="s">
        <v>1416</v>
      </c>
      <c r="E75" s="1451">
        <v>16</v>
      </c>
      <c r="F75" s="1451">
        <v>3892.5</v>
      </c>
      <c r="G75" s="1451">
        <f t="shared" ref="G75:G112" si="2">E75*F75</f>
        <v>62280</v>
      </c>
      <c r="H75" s="1451">
        <f>'Admin Super TOS '!H107</f>
        <v>3</v>
      </c>
      <c r="I75" s="1550">
        <f t="shared" ref="I75:I108" si="3">F75*H75</f>
        <v>11677.5</v>
      </c>
    </row>
    <row r="76" spans="2:9" ht="15.75" customHeight="1">
      <c r="B76" s="1498">
        <v>5.3</v>
      </c>
      <c r="C76" s="1453" t="s">
        <v>2545</v>
      </c>
      <c r="D76" s="1451" t="s">
        <v>1416</v>
      </c>
      <c r="E76" s="1451">
        <v>2</v>
      </c>
      <c r="F76" s="1451"/>
      <c r="G76" s="1451"/>
      <c r="H76" s="1451"/>
      <c r="I76" s="1550">
        <f t="shared" si="3"/>
        <v>0</v>
      </c>
    </row>
    <row r="77" spans="2:9" ht="15.75" customHeight="1">
      <c r="B77" s="1498">
        <v>5.4</v>
      </c>
      <c r="C77" s="1453" t="s">
        <v>1600</v>
      </c>
      <c r="D77" s="1451" t="s">
        <v>1416</v>
      </c>
      <c r="E77" s="1451">
        <v>20</v>
      </c>
      <c r="F77" s="1451">
        <v>3892.5</v>
      </c>
      <c r="G77" s="1451">
        <f t="shared" si="2"/>
        <v>77850</v>
      </c>
      <c r="H77" s="1451"/>
      <c r="I77" s="1550">
        <f t="shared" si="3"/>
        <v>0</v>
      </c>
    </row>
    <row r="78" spans="2:9" ht="15.75" customHeight="1">
      <c r="B78" s="1498">
        <v>5.5</v>
      </c>
      <c r="C78" s="1453" t="s">
        <v>2546</v>
      </c>
      <c r="D78" s="1451" t="s">
        <v>1416</v>
      </c>
      <c r="E78" s="1451">
        <v>1</v>
      </c>
      <c r="F78" s="1451"/>
      <c r="G78" s="1451"/>
      <c r="H78" s="1451"/>
      <c r="I78" s="1550">
        <f t="shared" si="3"/>
        <v>0</v>
      </c>
    </row>
    <row r="79" spans="2:9" ht="15.75" customHeight="1">
      <c r="B79" s="1498" t="s">
        <v>2534</v>
      </c>
      <c r="C79" s="1453" t="s">
        <v>2547</v>
      </c>
      <c r="D79" s="1451" t="s">
        <v>1416</v>
      </c>
      <c r="E79" s="1451"/>
      <c r="F79" s="1451">
        <f>1500*1.2*1.73</f>
        <v>3114</v>
      </c>
      <c r="G79" s="1451"/>
      <c r="H79" s="1451">
        <f>'Admin Super TOS '!H111</f>
        <v>16</v>
      </c>
      <c r="I79" s="1550">
        <f t="shared" si="3"/>
        <v>49824</v>
      </c>
    </row>
    <row r="80" spans="2:9" ht="15.75" customHeight="1">
      <c r="B80" s="1498" t="s">
        <v>2534</v>
      </c>
      <c r="C80" s="1453" t="s">
        <v>2548</v>
      </c>
      <c r="D80" s="1451" t="s">
        <v>1416</v>
      </c>
      <c r="E80" s="1451"/>
      <c r="F80" s="1451">
        <f>1500*1.2*0.9</f>
        <v>1620</v>
      </c>
      <c r="G80" s="1451"/>
      <c r="H80" s="1451">
        <f>'Admin Super TOS '!H115</f>
        <v>2</v>
      </c>
      <c r="I80" s="1550">
        <f t="shared" si="3"/>
        <v>3240</v>
      </c>
    </row>
    <row r="81" spans="2:9" ht="15.75" customHeight="1">
      <c r="B81" s="1498"/>
      <c r="C81" s="1453" t="s">
        <v>1420</v>
      </c>
      <c r="D81" s="1451"/>
      <c r="E81" s="1451"/>
      <c r="F81" s="1451"/>
      <c r="G81" s="1451">
        <f t="shared" si="2"/>
        <v>0</v>
      </c>
      <c r="H81" s="1451"/>
      <c r="I81" s="1550">
        <f t="shared" si="3"/>
        <v>0</v>
      </c>
    </row>
    <row r="82" spans="2:9" ht="15.75" customHeight="1">
      <c r="B82" s="1499">
        <v>5.7</v>
      </c>
      <c r="C82" s="1483" t="s">
        <v>1419</v>
      </c>
      <c r="D82" s="1479" t="s">
        <v>1416</v>
      </c>
      <c r="E82" s="1479">
        <v>3</v>
      </c>
      <c r="F82" s="1479">
        <v>2450</v>
      </c>
      <c r="G82" s="1479">
        <f t="shared" si="2"/>
        <v>7350</v>
      </c>
      <c r="H82" s="1479">
        <f>'Admin Super TOS '!H120</f>
        <v>1</v>
      </c>
      <c r="I82" s="1553">
        <f t="shared" si="3"/>
        <v>2450</v>
      </c>
    </row>
    <row r="83" spans="2:9" ht="15.75" customHeight="1">
      <c r="B83" s="2058" t="s">
        <v>1330</v>
      </c>
      <c r="C83" s="2058"/>
      <c r="D83" s="2058"/>
      <c r="E83" s="1481"/>
      <c r="F83" s="1481"/>
      <c r="G83" s="1481">
        <f>SUM(G75:G82)</f>
        <v>147480</v>
      </c>
      <c r="H83" s="1481"/>
      <c r="I83" s="1481">
        <f>SUM(I75:I82)</f>
        <v>67191.5</v>
      </c>
    </row>
    <row r="84" spans="2:9" ht="15.75" customHeight="1">
      <c r="B84" s="1500"/>
      <c r="C84" s="1554" t="s">
        <v>1415</v>
      </c>
      <c r="D84" s="1484"/>
      <c r="E84" s="1484"/>
      <c r="F84" s="1484"/>
      <c r="G84" s="1484"/>
      <c r="H84" s="1484"/>
      <c r="I84" s="1555"/>
    </row>
    <row r="85" spans="2:9" ht="15.75" customHeight="1">
      <c r="B85" s="1498">
        <v>6.1</v>
      </c>
      <c r="C85" s="1453" t="s">
        <v>1414</v>
      </c>
      <c r="D85" s="1451" t="s">
        <v>3398</v>
      </c>
      <c r="E85" s="1451">
        <v>213</v>
      </c>
      <c r="F85" s="1451">
        <v>140</v>
      </c>
      <c r="G85" s="1451">
        <f t="shared" si="2"/>
        <v>29820</v>
      </c>
      <c r="H85" s="1451">
        <f>'Admin Super TOS '!D158</f>
        <v>158.946</v>
      </c>
      <c r="I85" s="1550">
        <f t="shared" si="3"/>
        <v>22252.44</v>
      </c>
    </row>
    <row r="86" spans="2:9" ht="15.75" customHeight="1">
      <c r="B86" s="1498">
        <v>6.2</v>
      </c>
      <c r="C86" s="1458" t="s">
        <v>1413</v>
      </c>
      <c r="D86" s="1451" t="s">
        <v>3398</v>
      </c>
      <c r="E86" s="1451">
        <v>790</v>
      </c>
      <c r="F86" s="1451">
        <v>150</v>
      </c>
      <c r="G86" s="1451">
        <f t="shared" si="2"/>
        <v>118500</v>
      </c>
      <c r="H86" s="1451">
        <f>'Admin Super TOS '!D233</f>
        <v>668.54700000000003</v>
      </c>
      <c r="I86" s="1550">
        <f t="shared" si="3"/>
        <v>100282.05</v>
      </c>
    </row>
    <row r="87" spans="2:9" s="1563" customFormat="1" ht="15.75" customHeight="1">
      <c r="B87" s="1498">
        <v>6.3</v>
      </c>
      <c r="C87" s="1453" t="s">
        <v>1412</v>
      </c>
      <c r="D87" s="1451" t="s">
        <v>3398</v>
      </c>
      <c r="E87" s="1451">
        <f>E20</f>
        <v>284</v>
      </c>
      <c r="F87" s="1451">
        <v>310</v>
      </c>
      <c r="G87" s="1451">
        <f t="shared" si="2"/>
        <v>88040</v>
      </c>
      <c r="H87" s="1451">
        <f>'Admin Super TOS '!H212</f>
        <v>266.66249999999997</v>
      </c>
      <c r="I87" s="1550">
        <f t="shared" si="3"/>
        <v>82665.374999999985</v>
      </c>
    </row>
    <row r="88" spans="2:9" ht="15" customHeight="1">
      <c r="B88" s="1501">
        <v>6.5</v>
      </c>
      <c r="C88" s="1459" t="s">
        <v>1601</v>
      </c>
      <c r="D88" s="1451" t="s">
        <v>3398</v>
      </c>
      <c r="E88" s="1451">
        <f>E86</f>
        <v>790</v>
      </c>
      <c r="F88" s="1451">
        <v>320</v>
      </c>
      <c r="G88" s="1451">
        <f t="shared" si="2"/>
        <v>252800</v>
      </c>
      <c r="H88" s="1451">
        <f>'Admin Super TOS '!D256</f>
        <v>261.13499999999999</v>
      </c>
      <c r="I88" s="1550">
        <f t="shared" si="3"/>
        <v>83563.199999999997</v>
      </c>
    </row>
    <row r="89" spans="2:9" ht="14.25" customHeight="1">
      <c r="B89" s="1501">
        <v>6.6</v>
      </c>
      <c r="C89" s="1459" t="s">
        <v>1409</v>
      </c>
      <c r="D89" s="1451" t="s">
        <v>1406</v>
      </c>
      <c r="E89" s="1451">
        <v>221</v>
      </c>
      <c r="F89" s="1451">
        <v>150</v>
      </c>
      <c r="G89" s="1451">
        <f t="shared" si="2"/>
        <v>33150</v>
      </c>
      <c r="H89" s="1451">
        <f>'Admin Super TOS '!D286</f>
        <v>189.59999999999997</v>
      </c>
      <c r="I89" s="1550">
        <f t="shared" si="3"/>
        <v>28439.999999999996</v>
      </c>
    </row>
    <row r="90" spans="2:9" ht="14.25" customHeight="1">
      <c r="B90" s="1501">
        <v>6.7</v>
      </c>
      <c r="C90" s="1459" t="s">
        <v>1510</v>
      </c>
      <c r="D90" s="1451" t="s">
        <v>1406</v>
      </c>
      <c r="E90" s="1451">
        <v>77.099999999999994</v>
      </c>
      <c r="F90" s="1451">
        <v>100</v>
      </c>
      <c r="G90" s="1451">
        <f t="shared" si="2"/>
        <v>7709.9999999999991</v>
      </c>
      <c r="H90" s="1451">
        <f>'Admin Super TOS '!D299</f>
        <v>278.69999999999993</v>
      </c>
      <c r="I90" s="1550">
        <f t="shared" si="3"/>
        <v>27869.999999999993</v>
      </c>
    </row>
    <row r="91" spans="2:9" ht="18" customHeight="1">
      <c r="B91" s="1501">
        <v>6.9</v>
      </c>
      <c r="C91" s="1459" t="s">
        <v>1511</v>
      </c>
      <c r="D91" s="1451" t="s">
        <v>3398</v>
      </c>
      <c r="E91" s="1451">
        <v>92</v>
      </c>
      <c r="F91" s="1451">
        <v>550</v>
      </c>
      <c r="G91" s="1451">
        <f t="shared" si="2"/>
        <v>50600</v>
      </c>
      <c r="H91" s="1451">
        <f>'Admin Super TOS '!H249</f>
        <v>73.44</v>
      </c>
      <c r="I91" s="1550">
        <f t="shared" si="3"/>
        <v>40392</v>
      </c>
    </row>
    <row r="92" spans="2:9" ht="18" customHeight="1">
      <c r="B92" s="1501">
        <v>6.12</v>
      </c>
      <c r="C92" s="1460" t="s">
        <v>3397</v>
      </c>
      <c r="D92" s="1451" t="s">
        <v>1402</v>
      </c>
      <c r="E92" s="1451">
        <v>86</v>
      </c>
      <c r="F92" s="1451">
        <v>100</v>
      </c>
      <c r="G92" s="1451">
        <f t="shared" si="2"/>
        <v>8600</v>
      </c>
      <c r="H92" s="1451">
        <f>'Admin Super TOS '!H260</f>
        <v>65.2</v>
      </c>
      <c r="I92" s="1550">
        <f t="shared" si="3"/>
        <v>6520</v>
      </c>
    </row>
    <row r="93" spans="2:9" ht="15.75" customHeight="1">
      <c r="B93" s="1502"/>
      <c r="C93" s="1486" t="s">
        <v>1403</v>
      </c>
      <c r="D93" s="1479" t="s">
        <v>1402</v>
      </c>
      <c r="E93" s="1479">
        <v>86</v>
      </c>
      <c r="F93" s="1479">
        <v>265</v>
      </c>
      <c r="G93" s="1479">
        <f t="shared" si="2"/>
        <v>22790</v>
      </c>
      <c r="H93" s="1479"/>
      <c r="I93" s="1553">
        <f t="shared" si="3"/>
        <v>0</v>
      </c>
    </row>
    <row r="94" spans="2:9" ht="15.75" customHeight="1">
      <c r="B94" s="2058" t="s">
        <v>1330</v>
      </c>
      <c r="C94" s="2058"/>
      <c r="D94" s="2058"/>
      <c r="E94" s="1481"/>
      <c r="F94" s="1481"/>
      <c r="G94" s="1481">
        <f>SUM(G85:G93)</f>
        <v>612010</v>
      </c>
      <c r="H94" s="1481"/>
      <c r="I94" s="1481">
        <f>SUM(I85:I93)</f>
        <v>391985.065</v>
      </c>
    </row>
    <row r="95" spans="2:9" ht="15.75" customHeight="1">
      <c r="B95" s="1500"/>
      <c r="C95" s="1554" t="s">
        <v>1401</v>
      </c>
      <c r="D95" s="1484"/>
      <c r="E95" s="1484"/>
      <c r="F95" s="1484"/>
      <c r="G95" s="1484"/>
      <c r="H95" s="1484"/>
      <c r="I95" s="1555"/>
    </row>
    <row r="96" spans="2:9" ht="15.75" customHeight="1">
      <c r="B96" s="1498">
        <v>7.1</v>
      </c>
      <c r="C96" s="1453" t="s">
        <v>1603</v>
      </c>
      <c r="D96" s="1451" t="s">
        <v>3398</v>
      </c>
      <c r="E96" s="1451">
        <v>790</v>
      </c>
      <c r="F96" s="1451">
        <f>28*2/3</f>
        <v>18.666666666666668</v>
      </c>
      <c r="G96" s="1451">
        <f t="shared" si="2"/>
        <v>14746.666666666668</v>
      </c>
      <c r="H96" s="1451">
        <f>'Admin Super TOS '!H265</f>
        <v>668.54700000000003</v>
      </c>
      <c r="I96" s="1550">
        <f t="shared" si="3"/>
        <v>12479.544000000002</v>
      </c>
    </row>
    <row r="97" spans="2:9" ht="15.75" customHeight="1">
      <c r="B97" s="1498">
        <v>7.2</v>
      </c>
      <c r="C97" s="1453" t="s">
        <v>1399</v>
      </c>
      <c r="D97" s="1451" t="s">
        <v>3398</v>
      </c>
      <c r="E97" s="1451">
        <f>E20</f>
        <v>284</v>
      </c>
      <c r="F97" s="1451">
        <f t="shared" ref="F97:F98" si="4">28*2/3</f>
        <v>18.666666666666668</v>
      </c>
      <c r="G97" s="1451">
        <f t="shared" si="2"/>
        <v>5301.3333333333339</v>
      </c>
      <c r="H97" s="1451">
        <f>'Admin Super TOS '!H268</f>
        <v>266.66249999999997</v>
      </c>
      <c r="I97" s="1550">
        <f t="shared" si="3"/>
        <v>4977.7</v>
      </c>
    </row>
    <row r="98" spans="2:9" ht="15.75" customHeight="1">
      <c r="B98" s="1499">
        <v>7.3</v>
      </c>
      <c r="C98" s="1483" t="s">
        <v>1398</v>
      </c>
      <c r="D98" s="1479" t="s">
        <v>3398</v>
      </c>
      <c r="E98" s="1479">
        <v>200</v>
      </c>
      <c r="F98" s="1451">
        <f t="shared" si="4"/>
        <v>18.666666666666668</v>
      </c>
      <c r="G98" s="1479">
        <f t="shared" si="2"/>
        <v>3733.3333333333335</v>
      </c>
      <c r="H98" s="1479">
        <f>'Admin Super TOS '!H271</f>
        <v>158.946</v>
      </c>
      <c r="I98" s="1553">
        <f t="shared" si="3"/>
        <v>2966.9920000000002</v>
      </c>
    </row>
    <row r="99" spans="2:9" ht="15.75" customHeight="1">
      <c r="B99" s="2058" t="s">
        <v>1330</v>
      </c>
      <c r="C99" s="2058"/>
      <c r="D99" s="2058"/>
      <c r="E99" s="1481"/>
      <c r="F99" s="1481"/>
      <c r="G99" s="1481">
        <f>SUM(G96:G98)</f>
        <v>23781.333333333332</v>
      </c>
      <c r="H99" s="1481"/>
      <c r="I99" s="1481">
        <f>SUM(I96:I98)</f>
        <v>20424.236000000004</v>
      </c>
    </row>
    <row r="100" spans="2:9" ht="15.75" customHeight="1">
      <c r="B100" s="1500"/>
      <c r="C100" s="1554" t="s">
        <v>1395</v>
      </c>
      <c r="D100" s="1484"/>
      <c r="E100" s="1484"/>
      <c r="F100" s="1484"/>
      <c r="G100" s="1484"/>
      <c r="H100" s="1484"/>
      <c r="I100" s="1555"/>
    </row>
    <row r="101" spans="2:9" ht="15.75" customHeight="1">
      <c r="B101" s="1498"/>
      <c r="C101" s="1453" t="s">
        <v>1379</v>
      </c>
      <c r="D101" s="1451" t="s">
        <v>1370</v>
      </c>
      <c r="E101" s="1451">
        <v>5</v>
      </c>
      <c r="F101" s="1451">
        <v>60</v>
      </c>
      <c r="G101" s="1451">
        <f t="shared" si="2"/>
        <v>300</v>
      </c>
      <c r="H101" s="1451">
        <f>'Admin Super TOS '!H276</f>
        <v>13</v>
      </c>
      <c r="I101" s="1550">
        <f t="shared" si="3"/>
        <v>780</v>
      </c>
    </row>
    <row r="102" spans="2:9" ht="15.75" customHeight="1">
      <c r="B102" s="1498"/>
      <c r="C102" s="1453" t="s">
        <v>1378</v>
      </c>
      <c r="D102" s="1451" t="s">
        <v>1370</v>
      </c>
      <c r="E102" s="1451">
        <v>8</v>
      </c>
      <c r="F102" s="1451">
        <v>65</v>
      </c>
      <c r="G102" s="1451">
        <f t="shared" si="2"/>
        <v>520</v>
      </c>
      <c r="H102" s="1451">
        <f>'Admin Super TOS '!H280</f>
        <v>8.6199999999999992</v>
      </c>
      <c r="I102" s="1550">
        <f t="shared" si="3"/>
        <v>560.29999999999995</v>
      </c>
    </row>
    <row r="103" spans="2:9" ht="15.75" customHeight="1">
      <c r="B103" s="1498"/>
      <c r="C103" s="1453" t="s">
        <v>1377</v>
      </c>
      <c r="D103" s="1451" t="s">
        <v>1370</v>
      </c>
      <c r="E103" s="1451">
        <v>9</v>
      </c>
      <c r="F103" s="1451">
        <v>70</v>
      </c>
      <c r="G103" s="1451">
        <f t="shared" si="2"/>
        <v>630</v>
      </c>
      <c r="H103" s="1451">
        <f>'Admin Super TOS '!H284</f>
        <v>15.26</v>
      </c>
      <c r="I103" s="1550">
        <f t="shared" si="3"/>
        <v>1068.2</v>
      </c>
    </row>
    <row r="104" spans="2:9" ht="15.75" customHeight="1">
      <c r="B104" s="1499"/>
      <c r="C104" s="1483" t="s">
        <v>1376</v>
      </c>
      <c r="D104" s="1479" t="s">
        <v>1370</v>
      </c>
      <c r="E104" s="1479">
        <v>5</v>
      </c>
      <c r="F104" s="1479">
        <v>80</v>
      </c>
      <c r="G104" s="1479">
        <f t="shared" si="2"/>
        <v>400</v>
      </c>
      <c r="H104" s="1479"/>
      <c r="I104" s="1553">
        <f t="shared" si="3"/>
        <v>0</v>
      </c>
    </row>
    <row r="105" spans="2:9" ht="15.75" customHeight="1">
      <c r="B105" s="2058" t="s">
        <v>1330</v>
      </c>
      <c r="C105" s="2058"/>
      <c r="D105" s="2058"/>
      <c r="E105" s="1481"/>
      <c r="F105" s="1481"/>
      <c r="G105" s="1481">
        <f>SUM(G101:G104)</f>
        <v>1850</v>
      </c>
      <c r="H105" s="1481"/>
      <c r="I105" s="1481">
        <f>SUM(I101:I104)</f>
        <v>2408.5</v>
      </c>
    </row>
    <row r="106" spans="2:9" ht="15.75" customHeight="1">
      <c r="B106" s="1500"/>
      <c r="C106" s="1554" t="s">
        <v>1368</v>
      </c>
      <c r="D106" s="1484"/>
      <c r="E106" s="1484"/>
      <c r="F106" s="1484"/>
      <c r="G106" s="1484"/>
      <c r="H106" s="1484"/>
      <c r="I106" s="1555"/>
    </row>
    <row r="107" spans="2:9" ht="15.75" customHeight="1">
      <c r="B107" s="1501">
        <v>1.02</v>
      </c>
      <c r="C107" s="1461" t="s">
        <v>1604</v>
      </c>
      <c r="D107" s="1462" t="s">
        <v>1332</v>
      </c>
      <c r="E107" s="1462">
        <v>1</v>
      </c>
      <c r="F107" s="1471">
        <v>7000</v>
      </c>
      <c r="G107" s="1451">
        <f t="shared" si="2"/>
        <v>7000</v>
      </c>
      <c r="H107" s="1451"/>
      <c r="I107" s="1550">
        <f t="shared" si="3"/>
        <v>0</v>
      </c>
    </row>
    <row r="108" spans="2:9" ht="15.75" customHeight="1">
      <c r="B108" s="1501">
        <v>2</v>
      </c>
      <c r="C108" s="1461" t="s">
        <v>1366</v>
      </c>
      <c r="D108" s="1462"/>
      <c r="E108" s="1462"/>
      <c r="F108" s="1451"/>
      <c r="G108" s="1451">
        <f t="shared" si="2"/>
        <v>0</v>
      </c>
      <c r="H108" s="1451"/>
      <c r="I108" s="1550">
        <f t="shared" si="3"/>
        <v>0</v>
      </c>
    </row>
    <row r="109" spans="2:9" ht="15.75" customHeight="1">
      <c r="B109" s="1501">
        <v>2.0099999999999998</v>
      </c>
      <c r="C109" s="1461" t="s">
        <v>3400</v>
      </c>
      <c r="D109" s="1462" t="s">
        <v>1332</v>
      </c>
      <c r="E109" s="1462">
        <v>21</v>
      </c>
      <c r="F109" s="1451">
        <v>250</v>
      </c>
      <c r="G109" s="1451">
        <f t="shared" si="2"/>
        <v>5250</v>
      </c>
      <c r="H109" s="1451">
        <f>'Admin Super TOS '!H290</f>
        <v>29</v>
      </c>
      <c r="I109" s="1550">
        <f>F109*H109</f>
        <v>7250</v>
      </c>
    </row>
    <row r="110" spans="2:9" ht="15.75" customHeight="1">
      <c r="B110" s="1501">
        <v>3</v>
      </c>
      <c r="C110" s="1461" t="s">
        <v>1365</v>
      </c>
      <c r="D110" s="1462"/>
      <c r="E110" s="1462"/>
      <c r="F110" s="1451"/>
      <c r="G110" s="1451">
        <f t="shared" si="2"/>
        <v>0</v>
      </c>
      <c r="H110" s="1451"/>
      <c r="I110" s="1550">
        <f t="shared" ref="I110:I140" si="5">F110*H110</f>
        <v>0</v>
      </c>
    </row>
    <row r="111" spans="2:9" ht="15.75" customHeight="1">
      <c r="B111" s="1501">
        <v>3.01</v>
      </c>
      <c r="C111" s="1461" t="s">
        <v>1364</v>
      </c>
      <c r="D111" s="1462" t="s">
        <v>1332</v>
      </c>
      <c r="E111" s="1462">
        <v>6</v>
      </c>
      <c r="F111" s="1451">
        <v>81.25</v>
      </c>
      <c r="G111" s="1451">
        <f t="shared" si="2"/>
        <v>487.5</v>
      </c>
      <c r="H111" s="1451">
        <f>'Admin Super TOS '!H295</f>
        <v>8</v>
      </c>
      <c r="I111" s="1550">
        <f t="shared" si="5"/>
        <v>650</v>
      </c>
    </row>
    <row r="112" spans="2:9" ht="15.75" customHeight="1">
      <c r="B112" s="1501">
        <v>3.02</v>
      </c>
      <c r="C112" s="1461" t="s">
        <v>1363</v>
      </c>
      <c r="D112" s="1462" t="s">
        <v>1360</v>
      </c>
      <c r="E112" s="1462">
        <v>5</v>
      </c>
      <c r="F112" s="1451">
        <v>131.25</v>
      </c>
      <c r="G112" s="1451">
        <f t="shared" si="2"/>
        <v>656.25</v>
      </c>
      <c r="H112" s="1451">
        <f>'Admin Super TOS '!H299</f>
        <v>4</v>
      </c>
      <c r="I112" s="1550">
        <f t="shared" si="5"/>
        <v>525</v>
      </c>
    </row>
    <row r="113" spans="2:9" ht="15.75" customHeight="1">
      <c r="B113" s="1501">
        <v>4</v>
      </c>
      <c r="C113" s="1461" t="s">
        <v>1359</v>
      </c>
      <c r="D113" s="1462"/>
      <c r="E113" s="1462"/>
      <c r="F113" s="1451"/>
      <c r="G113" s="1451">
        <f t="shared" ref="G113:G140" si="6">E113*F113</f>
        <v>0</v>
      </c>
      <c r="H113" s="1451"/>
      <c r="I113" s="1550">
        <f t="shared" si="5"/>
        <v>0</v>
      </c>
    </row>
    <row r="114" spans="2:9" ht="15.75" customHeight="1">
      <c r="B114" s="1501">
        <v>4.01</v>
      </c>
      <c r="C114" s="1461" t="s">
        <v>1358</v>
      </c>
      <c r="D114" s="1462" t="s">
        <v>1332</v>
      </c>
      <c r="E114" s="1462">
        <v>24</v>
      </c>
      <c r="F114" s="1451">
        <v>200</v>
      </c>
      <c r="G114" s="1451">
        <f t="shared" si="6"/>
        <v>4800</v>
      </c>
      <c r="H114" s="1451">
        <f>'Admin Super TOS '!D304</f>
        <v>19</v>
      </c>
      <c r="I114" s="1550">
        <f t="shared" si="5"/>
        <v>3800</v>
      </c>
    </row>
    <row r="115" spans="2:9" ht="15.75" customHeight="1">
      <c r="B115" s="1501">
        <v>4.0199999999999996</v>
      </c>
      <c r="C115" s="1461" t="s">
        <v>1563</v>
      </c>
      <c r="D115" s="1462" t="s">
        <v>1332</v>
      </c>
      <c r="E115" s="1462">
        <v>1</v>
      </c>
      <c r="F115" s="1451">
        <v>785</v>
      </c>
      <c r="G115" s="1451">
        <f t="shared" si="6"/>
        <v>785</v>
      </c>
      <c r="H115" s="1451"/>
      <c r="I115" s="1550">
        <f t="shared" si="5"/>
        <v>0</v>
      </c>
    </row>
    <row r="116" spans="2:9" ht="15.75" customHeight="1">
      <c r="B116" s="1501">
        <v>4.05</v>
      </c>
      <c r="C116" s="1461" t="s">
        <v>1564</v>
      </c>
      <c r="D116" s="1462" t="s">
        <v>1332</v>
      </c>
      <c r="E116" s="1462">
        <v>3</v>
      </c>
      <c r="F116" s="1451"/>
      <c r="G116" s="1451">
        <f t="shared" si="6"/>
        <v>0</v>
      </c>
      <c r="H116" s="1451"/>
      <c r="I116" s="1550">
        <f t="shared" si="5"/>
        <v>0</v>
      </c>
    </row>
    <row r="117" spans="2:9" ht="15.75" customHeight="1">
      <c r="B117" s="1501">
        <v>5</v>
      </c>
      <c r="C117" s="1461" t="s">
        <v>1356</v>
      </c>
      <c r="D117" s="1462"/>
      <c r="E117" s="1462"/>
      <c r="F117" s="1451"/>
      <c r="G117" s="1451">
        <f t="shared" si="6"/>
        <v>0</v>
      </c>
      <c r="H117" s="1451"/>
      <c r="I117" s="1550">
        <f t="shared" si="5"/>
        <v>0</v>
      </c>
    </row>
    <row r="118" spans="2:9" ht="15.75" customHeight="1">
      <c r="B118" s="1501">
        <v>5.01</v>
      </c>
      <c r="C118" s="1461" t="s">
        <v>1355</v>
      </c>
      <c r="D118" s="1462" t="s">
        <v>1332</v>
      </c>
      <c r="E118" s="1462">
        <v>24</v>
      </c>
      <c r="F118" s="1451">
        <v>90</v>
      </c>
      <c r="G118" s="1451">
        <f t="shared" si="6"/>
        <v>2160</v>
      </c>
      <c r="H118" s="1451">
        <f>'Admin Super TOS '!D309</f>
        <v>19</v>
      </c>
      <c r="I118" s="1550">
        <f t="shared" si="5"/>
        <v>1710</v>
      </c>
    </row>
    <row r="119" spans="2:9" ht="15.75" customHeight="1">
      <c r="B119" s="1501">
        <v>5.03</v>
      </c>
      <c r="C119" s="1461" t="s">
        <v>1354</v>
      </c>
      <c r="D119" s="1462" t="s">
        <v>1332</v>
      </c>
      <c r="E119" s="1462">
        <v>1</v>
      </c>
      <c r="F119" s="1451">
        <v>281.25</v>
      </c>
      <c r="G119" s="1451">
        <f t="shared" si="6"/>
        <v>281.25</v>
      </c>
      <c r="H119" s="1451"/>
      <c r="I119" s="1550">
        <f t="shared" si="5"/>
        <v>0</v>
      </c>
    </row>
    <row r="120" spans="2:9" ht="15.75" customHeight="1">
      <c r="B120" s="1501">
        <v>5.0599999999999996</v>
      </c>
      <c r="C120" s="1461" t="s">
        <v>1565</v>
      </c>
      <c r="D120" s="1462" t="s">
        <v>1332</v>
      </c>
      <c r="E120" s="1462">
        <v>3</v>
      </c>
      <c r="F120" s="1451"/>
      <c r="G120" s="1451">
        <f t="shared" si="6"/>
        <v>0</v>
      </c>
      <c r="H120" s="1451"/>
      <c r="I120" s="1550">
        <f t="shared" si="5"/>
        <v>0</v>
      </c>
    </row>
    <row r="121" spans="2:9" ht="15.75" customHeight="1">
      <c r="B121" s="1501">
        <v>6</v>
      </c>
      <c r="C121" s="1461" t="s">
        <v>1353</v>
      </c>
      <c r="D121" s="1462"/>
      <c r="E121" s="1462"/>
      <c r="F121" s="1451"/>
      <c r="G121" s="1451"/>
      <c r="H121" s="1451"/>
      <c r="I121" s="1550">
        <f t="shared" si="5"/>
        <v>0</v>
      </c>
    </row>
    <row r="122" spans="2:9" ht="15.75" customHeight="1">
      <c r="B122" s="1501">
        <v>6.01</v>
      </c>
      <c r="C122" s="1461" t="s">
        <v>1352</v>
      </c>
      <c r="D122" s="1462" t="s">
        <v>1332</v>
      </c>
      <c r="E122" s="1462">
        <v>6</v>
      </c>
      <c r="F122" s="1451">
        <v>266.25</v>
      </c>
      <c r="G122" s="1451">
        <f t="shared" si="6"/>
        <v>1597.5</v>
      </c>
      <c r="H122" s="1451">
        <f>'Admin Super TOS '!D314</f>
        <v>7</v>
      </c>
      <c r="I122" s="1550">
        <f t="shared" si="5"/>
        <v>1863.75</v>
      </c>
    </row>
    <row r="123" spans="2:9" ht="15.75" customHeight="1">
      <c r="B123" s="1501">
        <v>6.03</v>
      </c>
      <c r="C123" s="1461" t="s">
        <v>1351</v>
      </c>
      <c r="D123" s="1462" t="s">
        <v>1332</v>
      </c>
      <c r="E123" s="1462">
        <v>6</v>
      </c>
      <c r="F123" s="1451">
        <v>90</v>
      </c>
      <c r="G123" s="1451">
        <f t="shared" si="6"/>
        <v>540</v>
      </c>
      <c r="H123" s="1451"/>
      <c r="I123" s="1550">
        <f t="shared" si="5"/>
        <v>0</v>
      </c>
    </row>
    <row r="124" spans="2:9" ht="15.75" customHeight="1">
      <c r="B124" s="1501">
        <v>7</v>
      </c>
      <c r="C124" s="1461" t="s">
        <v>1350</v>
      </c>
      <c r="D124" s="1462"/>
      <c r="E124" s="1462"/>
      <c r="F124" s="1451"/>
      <c r="G124" s="1451">
        <f t="shared" si="6"/>
        <v>0</v>
      </c>
      <c r="H124" s="1451"/>
      <c r="I124" s="1550">
        <f t="shared" si="5"/>
        <v>0</v>
      </c>
    </row>
    <row r="125" spans="2:9" ht="15.75" customHeight="1">
      <c r="B125" s="1501">
        <v>7.01</v>
      </c>
      <c r="C125" s="1461" t="s">
        <v>1589</v>
      </c>
      <c r="D125" s="1462" t="s">
        <v>1332</v>
      </c>
      <c r="E125" s="1462">
        <v>6</v>
      </c>
      <c r="F125" s="1451">
        <v>1500</v>
      </c>
      <c r="G125" s="1451">
        <v>1500</v>
      </c>
      <c r="H125" s="1451">
        <f>'Admin Super TOS '!D319</f>
        <v>12</v>
      </c>
      <c r="I125" s="1550">
        <f t="shared" si="5"/>
        <v>18000</v>
      </c>
    </row>
    <row r="126" spans="2:9" ht="15.75" customHeight="1">
      <c r="B126" s="1501">
        <v>7.02</v>
      </c>
      <c r="C126" s="1461" t="s">
        <v>1590</v>
      </c>
      <c r="D126" s="1462" t="s">
        <v>1332</v>
      </c>
      <c r="E126" s="1462">
        <v>8</v>
      </c>
      <c r="F126" s="1451">
        <v>1200</v>
      </c>
      <c r="G126" s="1451">
        <v>1200</v>
      </c>
      <c r="H126" s="1451">
        <f>'Admin Super TOS '!D323</f>
        <v>10</v>
      </c>
      <c r="I126" s="1550">
        <f t="shared" si="5"/>
        <v>12000</v>
      </c>
    </row>
    <row r="127" spans="2:9" ht="15.75" customHeight="1">
      <c r="B127" s="1501">
        <v>7.03</v>
      </c>
      <c r="C127" s="1461" t="s">
        <v>1347</v>
      </c>
      <c r="D127" s="1462" t="s">
        <v>1332</v>
      </c>
      <c r="E127" s="1462">
        <v>5</v>
      </c>
      <c r="F127" s="1451">
        <v>406.25</v>
      </c>
      <c r="G127" s="1451">
        <v>406.25</v>
      </c>
      <c r="H127" s="1451">
        <f>'Admin Super TOS '!D327</f>
        <v>5</v>
      </c>
      <c r="I127" s="1550">
        <f t="shared" si="5"/>
        <v>2031.25</v>
      </c>
    </row>
    <row r="128" spans="2:9" ht="15.75" customHeight="1">
      <c r="B128" s="1501">
        <v>7.04</v>
      </c>
      <c r="C128" s="1461" t="s">
        <v>1346</v>
      </c>
      <c r="D128" s="1462" t="s">
        <v>1332</v>
      </c>
      <c r="E128" s="1462">
        <v>2</v>
      </c>
      <c r="F128" s="1451">
        <v>406.25</v>
      </c>
      <c r="G128" s="1451">
        <v>406.25</v>
      </c>
      <c r="H128" s="1451">
        <f>'Admin Super TOS '!D331</f>
        <v>2</v>
      </c>
      <c r="I128" s="1550">
        <f t="shared" si="5"/>
        <v>812.5</v>
      </c>
    </row>
    <row r="129" spans="2:9" ht="15.75" customHeight="1">
      <c r="B129" s="1501">
        <v>8</v>
      </c>
      <c r="C129" s="1461" t="s">
        <v>1344</v>
      </c>
      <c r="D129" s="1462"/>
      <c r="E129" s="1462"/>
      <c r="F129" s="1451"/>
      <c r="G129" s="1451"/>
      <c r="H129" s="1451"/>
      <c r="I129" s="1550">
        <f t="shared" si="5"/>
        <v>0</v>
      </c>
    </row>
    <row r="130" spans="2:9" ht="15.75" customHeight="1">
      <c r="B130" s="1501">
        <v>8.01</v>
      </c>
      <c r="C130" s="1461" t="s">
        <v>1343</v>
      </c>
      <c r="D130" s="1462" t="s">
        <v>1332</v>
      </c>
      <c r="E130" s="1462">
        <v>2</v>
      </c>
      <c r="F130" s="1451">
        <v>600</v>
      </c>
      <c r="G130" s="1451">
        <f t="shared" si="6"/>
        <v>1200</v>
      </c>
      <c r="H130" s="1451">
        <f>'Admin Super TOS '!D336</f>
        <v>1</v>
      </c>
      <c r="I130" s="1550">
        <f t="shared" si="5"/>
        <v>600</v>
      </c>
    </row>
    <row r="131" spans="2:9" ht="15.75" customHeight="1">
      <c r="B131" s="1501">
        <v>8.02</v>
      </c>
      <c r="C131" s="1461" t="s">
        <v>1342</v>
      </c>
      <c r="D131" s="1462" t="s">
        <v>1332</v>
      </c>
      <c r="E131" s="1462">
        <v>2</v>
      </c>
      <c r="F131" s="1451">
        <v>250</v>
      </c>
      <c r="G131" s="1451">
        <f t="shared" si="6"/>
        <v>500</v>
      </c>
      <c r="H131" s="1451"/>
      <c r="I131" s="1550">
        <f t="shared" si="5"/>
        <v>0</v>
      </c>
    </row>
    <row r="132" spans="2:9" ht="15.75" customHeight="1">
      <c r="B132" s="1501">
        <v>9</v>
      </c>
      <c r="C132" s="1461" t="s">
        <v>1341</v>
      </c>
      <c r="D132" s="1462"/>
      <c r="E132" s="1462"/>
      <c r="F132" s="1451"/>
      <c r="G132" s="1451">
        <f t="shared" si="6"/>
        <v>0</v>
      </c>
      <c r="H132" s="1451"/>
      <c r="I132" s="1550">
        <f t="shared" si="5"/>
        <v>0</v>
      </c>
    </row>
    <row r="133" spans="2:9" ht="15.75" customHeight="1">
      <c r="B133" s="1501">
        <v>9.01</v>
      </c>
      <c r="C133" s="1461" t="s">
        <v>1515</v>
      </c>
      <c r="D133" s="1462" t="s">
        <v>313</v>
      </c>
      <c r="E133" s="1462">
        <v>17</v>
      </c>
      <c r="F133" s="1451">
        <v>200</v>
      </c>
      <c r="G133" s="1451">
        <f t="shared" si="6"/>
        <v>3400</v>
      </c>
      <c r="H133" s="1451"/>
      <c r="I133" s="1550">
        <f t="shared" si="5"/>
        <v>0</v>
      </c>
    </row>
    <row r="134" spans="2:9" ht="15.75" customHeight="1">
      <c r="B134" s="1501">
        <v>10</v>
      </c>
      <c r="C134" s="1461" t="s">
        <v>1340</v>
      </c>
      <c r="D134" s="1462"/>
      <c r="E134" s="1462"/>
      <c r="F134" s="1451"/>
      <c r="G134" s="1451">
        <f t="shared" si="6"/>
        <v>0</v>
      </c>
      <c r="H134" s="1451"/>
      <c r="I134" s="1550">
        <f t="shared" si="5"/>
        <v>0</v>
      </c>
    </row>
    <row r="135" spans="2:9" ht="15.75" customHeight="1">
      <c r="B135" s="1501">
        <v>10.01</v>
      </c>
      <c r="C135" s="1461" t="s">
        <v>1517</v>
      </c>
      <c r="D135" s="1462"/>
      <c r="E135" s="1462"/>
      <c r="F135" s="1451"/>
      <c r="G135" s="1451">
        <f t="shared" si="6"/>
        <v>0</v>
      </c>
      <c r="H135" s="1451"/>
      <c r="I135" s="1550">
        <f t="shared" si="5"/>
        <v>0</v>
      </c>
    </row>
    <row r="136" spans="2:9" ht="15.75" customHeight="1">
      <c r="B136" s="1501"/>
      <c r="C136" s="1461" t="s">
        <v>1605</v>
      </c>
      <c r="D136" s="1462" t="s">
        <v>1338</v>
      </c>
      <c r="E136" s="1462">
        <v>15</v>
      </c>
      <c r="F136" s="1451">
        <v>40</v>
      </c>
      <c r="G136" s="1451">
        <f t="shared" si="6"/>
        <v>600</v>
      </c>
      <c r="H136" s="1451"/>
      <c r="I136" s="1550">
        <f t="shared" si="5"/>
        <v>0</v>
      </c>
    </row>
    <row r="137" spans="2:9" ht="15.75" customHeight="1">
      <c r="B137" s="1501">
        <v>10.02</v>
      </c>
      <c r="C137" s="1461" t="s">
        <v>1335</v>
      </c>
      <c r="D137" s="1462" t="s">
        <v>1336</v>
      </c>
      <c r="E137" s="1462">
        <v>12</v>
      </c>
      <c r="F137" s="1451">
        <v>50</v>
      </c>
      <c r="G137" s="1451">
        <f t="shared" si="6"/>
        <v>600</v>
      </c>
      <c r="H137" s="1451"/>
      <c r="I137" s="1550">
        <f t="shared" si="5"/>
        <v>0</v>
      </c>
    </row>
    <row r="138" spans="2:9" ht="15.75" customHeight="1">
      <c r="B138" s="1501">
        <v>11</v>
      </c>
      <c r="C138" s="1461" t="s">
        <v>1334</v>
      </c>
      <c r="D138" s="1462"/>
      <c r="E138" s="1462"/>
      <c r="F138" s="1451"/>
      <c r="G138" s="1451">
        <f t="shared" si="6"/>
        <v>0</v>
      </c>
      <c r="H138" s="1451"/>
      <c r="I138" s="1550">
        <f t="shared" si="5"/>
        <v>0</v>
      </c>
    </row>
    <row r="139" spans="2:9" ht="15.75" customHeight="1">
      <c r="B139" s="1501">
        <v>11.01</v>
      </c>
      <c r="C139" s="1461" t="s">
        <v>1333</v>
      </c>
      <c r="D139" s="1462" t="s">
        <v>1332</v>
      </c>
      <c r="E139" s="1462">
        <v>1</v>
      </c>
      <c r="F139" s="1451">
        <v>3000</v>
      </c>
      <c r="G139" s="1451">
        <f t="shared" si="6"/>
        <v>3000</v>
      </c>
      <c r="H139" s="1451"/>
      <c r="I139" s="1550">
        <f t="shared" si="5"/>
        <v>0</v>
      </c>
    </row>
    <row r="140" spans="2:9" ht="15.75" customHeight="1">
      <c r="B140" s="1501">
        <v>11.02</v>
      </c>
      <c r="C140" s="1461" t="s">
        <v>1519</v>
      </c>
      <c r="D140" s="1462" t="s">
        <v>1331</v>
      </c>
      <c r="E140" s="1462">
        <v>19</v>
      </c>
      <c r="F140" s="1451">
        <v>100</v>
      </c>
      <c r="G140" s="1451">
        <f t="shared" si="6"/>
        <v>1900</v>
      </c>
      <c r="H140" s="1451"/>
      <c r="I140" s="1550">
        <f t="shared" si="5"/>
        <v>0</v>
      </c>
    </row>
    <row r="141" spans="2:9" ht="15.75" customHeight="1">
      <c r="B141" s="1499"/>
      <c r="C141" s="1483"/>
      <c r="D141" s="1479"/>
      <c r="E141" s="1479"/>
      <c r="F141" s="1479"/>
      <c r="G141" s="1479"/>
      <c r="H141" s="1479"/>
      <c r="I141" s="1553"/>
    </row>
    <row r="142" spans="2:9" ht="15.75" customHeight="1">
      <c r="B142" s="2148" t="s">
        <v>1330</v>
      </c>
      <c r="C142" s="2149"/>
      <c r="D142" s="2150"/>
      <c r="E142" s="1481"/>
      <c r="F142" s="1481"/>
      <c r="G142" s="1481">
        <f>SUM(G107:G141)</f>
        <v>38270</v>
      </c>
      <c r="H142" s="1481"/>
      <c r="I142" s="1481">
        <f>SUM(I107:I141)</f>
        <v>49242.5</v>
      </c>
    </row>
  </sheetData>
  <mergeCells count="21">
    <mergeCell ref="B34:D34"/>
    <mergeCell ref="B16:D16"/>
    <mergeCell ref="B72:D72"/>
    <mergeCell ref="B63:D63"/>
    <mergeCell ref="B57:D57"/>
    <mergeCell ref="B53:D53"/>
    <mergeCell ref="B38:D38"/>
    <mergeCell ref="B142:D142"/>
    <mergeCell ref="B105:D105"/>
    <mergeCell ref="B99:D99"/>
    <mergeCell ref="B94:D94"/>
    <mergeCell ref="B83:D83"/>
    <mergeCell ref="H1:I1"/>
    <mergeCell ref="H2:I2"/>
    <mergeCell ref="H3:I3"/>
    <mergeCell ref="J6:J7"/>
    <mergeCell ref="B6:B7"/>
    <mergeCell ref="C6:C7"/>
    <mergeCell ref="D6:D7"/>
    <mergeCell ref="E6:G6"/>
    <mergeCell ref="H6:I6"/>
  </mergeCells>
  <printOptions horizontalCentered="1"/>
  <pageMargins left="0.5" right="0.25" top="0.5" bottom="0.5" header="0.25" footer="0.25"/>
  <pageSetup paperSize="9" scale="80" firstPageNumber="120" orientation="portrait" useFirstPageNumber="1" r:id="rId1"/>
  <headerFooter alignWithMargins="0">
    <oddHeader>Page &amp;P of &amp;N</oddHeader>
    <oddFooter>&amp;LContractor: - ______________&amp;CConsultant: - ______________&amp;RClient: - __________________</oddFooter>
  </headerFooter>
  <rowBreaks count="3" manualBreakCount="3">
    <brk id="57" max="12" man="1"/>
    <brk id="105" max="12" man="1"/>
    <brk id="143" max="12"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3"/>
  <sheetViews>
    <sheetView view="pageBreakPreview" zoomScale="115" zoomScaleNormal="115" zoomScaleSheetLayoutView="115" zoomScalePageLayoutView="85" workbookViewId="0">
      <selection activeCell="H1" sqref="H1:I1"/>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191"/>
      <c r="H1" s="821"/>
      <c r="I1" s="1192"/>
      <c r="J1" s="820"/>
    </row>
    <row r="2" spans="1:10">
      <c r="A2" s="834"/>
      <c r="B2" s="2059" t="s">
        <v>1917</v>
      </c>
      <c r="C2" s="2059"/>
      <c r="D2" s="2059"/>
      <c r="E2" s="2059"/>
      <c r="F2" s="819"/>
      <c r="G2" s="1191"/>
      <c r="J2" s="834"/>
    </row>
    <row r="3" spans="1:10">
      <c r="A3" s="834"/>
      <c r="B3" s="2059" t="s">
        <v>1920</v>
      </c>
      <c r="C3" s="2059"/>
      <c r="D3" s="2059"/>
      <c r="E3" s="2059"/>
      <c r="F3" s="2059"/>
      <c r="G3" s="1191"/>
      <c r="H3" s="2060" t="s">
        <v>3083</v>
      </c>
      <c r="I3" s="2060"/>
      <c r="J3" s="834"/>
    </row>
    <row r="4" spans="1:10">
      <c r="A4" s="834"/>
      <c r="B4" s="2059" t="s">
        <v>1921</v>
      </c>
      <c r="C4" s="2059"/>
      <c r="D4" s="2059"/>
      <c r="E4" s="2059"/>
      <c r="F4" s="819"/>
      <c r="G4" s="1191"/>
      <c r="H4" s="2061"/>
      <c r="I4" s="2061"/>
      <c r="J4" s="834"/>
    </row>
    <row r="5" spans="1:10">
      <c r="A5" s="834"/>
      <c r="B5" s="824"/>
      <c r="C5" s="1191"/>
      <c r="D5" s="1191"/>
      <c r="E5" s="825"/>
      <c r="F5" s="819"/>
      <c r="G5" s="1190"/>
      <c r="H5" s="827"/>
      <c r="I5" s="1190"/>
      <c r="J5" s="834"/>
    </row>
    <row r="6" spans="1:10">
      <c r="A6" s="1162"/>
      <c r="B6" s="909" t="s">
        <v>1884</v>
      </c>
      <c r="C6" s="911" t="s">
        <v>526</v>
      </c>
      <c r="D6" s="910" t="s">
        <v>1885</v>
      </c>
      <c r="E6" s="911" t="s">
        <v>1886</v>
      </c>
      <c r="F6" s="909" t="s">
        <v>1884</v>
      </c>
      <c r="G6" s="911" t="s">
        <v>526</v>
      </c>
      <c r="H6" s="910" t="s">
        <v>1885</v>
      </c>
      <c r="I6" s="911" t="s">
        <v>1886</v>
      </c>
      <c r="J6" s="1162"/>
    </row>
    <row r="7" spans="1:10">
      <c r="A7" s="834"/>
      <c r="B7" s="831"/>
      <c r="C7" s="829"/>
      <c r="D7" s="832"/>
      <c r="E7" s="844" t="s">
        <v>1887</v>
      </c>
      <c r="F7" s="831"/>
      <c r="G7" s="829"/>
      <c r="H7" s="832"/>
      <c r="I7" s="844" t="s">
        <v>3005</v>
      </c>
    </row>
    <row r="8" spans="1:10">
      <c r="A8" s="834"/>
      <c r="B8" s="831"/>
      <c r="C8" s="829"/>
      <c r="D8" s="832"/>
      <c r="E8" s="844" t="s">
        <v>1888</v>
      </c>
      <c r="F8" s="831">
        <v>1</v>
      </c>
      <c r="G8" s="829">
        <v>22.15</v>
      </c>
      <c r="H8" s="832"/>
      <c r="I8" s="833" t="s">
        <v>3094</v>
      </c>
    </row>
    <row r="9" spans="1:10">
      <c r="A9" s="834"/>
      <c r="B9" s="831"/>
      <c r="C9" s="829"/>
      <c r="D9" s="832"/>
      <c r="E9" s="844" t="s">
        <v>1889</v>
      </c>
      <c r="F9" s="831"/>
      <c r="G9" s="829">
        <v>12.25</v>
      </c>
      <c r="H9" s="832"/>
      <c r="I9" s="833" t="s">
        <v>3095</v>
      </c>
    </row>
    <row r="10" spans="1:10">
      <c r="A10" s="834"/>
      <c r="B10" s="831"/>
      <c r="C10" s="829"/>
      <c r="D10" s="832"/>
      <c r="E10" s="833" t="s">
        <v>3084</v>
      </c>
      <c r="F10" s="831"/>
      <c r="G10" s="829">
        <v>0.54</v>
      </c>
      <c r="H10" s="832">
        <f>F8*G8*G9*G10</f>
        <v>146.52224999999999</v>
      </c>
      <c r="I10" s="833"/>
    </row>
    <row r="11" spans="1:10">
      <c r="A11" s="834"/>
      <c r="B11" s="831">
        <v>1</v>
      </c>
      <c r="C11" s="829">
        <v>24.95</v>
      </c>
      <c r="D11" s="832"/>
      <c r="E11" s="833" t="s">
        <v>3085</v>
      </c>
      <c r="F11" s="831"/>
      <c r="G11" s="829"/>
      <c r="H11" s="832"/>
      <c r="I11" s="833"/>
    </row>
    <row r="12" spans="1:10">
      <c r="A12" s="834"/>
      <c r="B12" s="831"/>
      <c r="C12" s="829">
        <v>15.05</v>
      </c>
      <c r="D12" s="832">
        <f>C12*C11*B11</f>
        <v>375.4975</v>
      </c>
      <c r="E12" s="833"/>
      <c r="F12" s="831"/>
      <c r="G12" s="829"/>
      <c r="H12" s="832"/>
      <c r="I12" s="844" t="s">
        <v>1915</v>
      </c>
    </row>
    <row r="13" spans="1:10">
      <c r="A13" s="834"/>
      <c r="B13" s="831"/>
      <c r="C13" s="829"/>
      <c r="D13" s="832"/>
      <c r="E13" s="833"/>
      <c r="F13" s="831">
        <v>2</v>
      </c>
      <c r="G13" s="829">
        <v>22.15</v>
      </c>
      <c r="H13" s="832"/>
      <c r="I13" s="833" t="s">
        <v>1916</v>
      </c>
    </row>
    <row r="14" spans="1:10" ht="18">
      <c r="A14" s="834"/>
      <c r="B14" s="839"/>
      <c r="C14" s="935"/>
      <c r="D14" s="838">
        <f>D12</f>
        <v>375.4975</v>
      </c>
      <c r="E14" s="839" t="s">
        <v>3185</v>
      </c>
      <c r="F14" s="831"/>
      <c r="G14" s="829">
        <v>0.4</v>
      </c>
      <c r="H14" s="832"/>
      <c r="I14" s="833" t="s">
        <v>3096</v>
      </c>
    </row>
    <row r="15" spans="1:10">
      <c r="A15" s="834"/>
      <c r="B15" s="831"/>
      <c r="C15" s="829"/>
      <c r="D15" s="832"/>
      <c r="E15" s="833"/>
      <c r="F15" s="831"/>
      <c r="G15" s="829">
        <f>G10</f>
        <v>0.54</v>
      </c>
      <c r="H15" s="832">
        <f>F13*G13*G14*G15</f>
        <v>9.5687999999999995</v>
      </c>
      <c r="I15" s="833"/>
    </row>
    <row r="16" spans="1:10">
      <c r="A16" s="834"/>
      <c r="B16" s="831"/>
      <c r="C16" s="829"/>
      <c r="D16" s="832"/>
      <c r="E16" s="844" t="s">
        <v>1890</v>
      </c>
      <c r="F16" s="831"/>
      <c r="G16" s="829"/>
      <c r="H16" s="832"/>
      <c r="I16" s="833"/>
    </row>
    <row r="17" spans="1:10">
      <c r="A17" s="834"/>
      <c r="B17" s="831">
        <v>1</v>
      </c>
      <c r="C17" s="829">
        <v>21.65</v>
      </c>
      <c r="D17" s="832"/>
      <c r="E17" s="833" t="s">
        <v>3086</v>
      </c>
      <c r="F17" s="831">
        <v>3</v>
      </c>
      <c r="G17" s="829">
        <v>11.45</v>
      </c>
      <c r="H17" s="832"/>
      <c r="I17" s="833" t="s">
        <v>1916</v>
      </c>
    </row>
    <row r="18" spans="1:10">
      <c r="A18" s="834"/>
      <c r="B18" s="831"/>
      <c r="C18" s="829">
        <v>11.75</v>
      </c>
      <c r="D18" s="832"/>
      <c r="E18" s="833" t="s">
        <v>3087</v>
      </c>
      <c r="F18" s="831"/>
      <c r="G18" s="829">
        <v>0.4</v>
      </c>
      <c r="H18" s="832"/>
      <c r="I18" s="833" t="s">
        <v>3097</v>
      </c>
    </row>
    <row r="19" spans="1:10">
      <c r="A19" s="834"/>
      <c r="B19" s="831"/>
      <c r="C19" s="829">
        <v>0.23</v>
      </c>
      <c r="D19" s="832">
        <f>B17*C17*C18*C19</f>
        <v>58.509124999999997</v>
      </c>
      <c r="E19" s="833"/>
      <c r="F19" s="831"/>
      <c r="G19" s="829">
        <f>G10</f>
        <v>0.54</v>
      </c>
      <c r="H19" s="832">
        <f>F17*G17*G18*G19</f>
        <v>7.4196</v>
      </c>
      <c r="I19" s="833"/>
    </row>
    <row r="20" spans="1:10">
      <c r="A20" s="834"/>
      <c r="B20" s="831"/>
      <c r="C20" s="829"/>
      <c r="D20" s="832"/>
      <c r="E20" s="833"/>
      <c r="F20" s="831"/>
      <c r="G20" s="829"/>
      <c r="H20" s="832"/>
      <c r="I20" s="833"/>
    </row>
    <row r="21" spans="1:10" ht="18">
      <c r="A21" s="834"/>
      <c r="B21" s="831"/>
      <c r="C21" s="829"/>
      <c r="D21" s="832"/>
      <c r="E21" s="844" t="s">
        <v>1915</v>
      </c>
      <c r="F21" s="839"/>
      <c r="G21" s="935"/>
      <c r="H21" s="838">
        <f>D48+D52+D58+D63+H10-H15-H19</f>
        <v>209.54649999999998</v>
      </c>
      <c r="I21" s="839" t="s">
        <v>3160</v>
      </c>
    </row>
    <row r="22" spans="1:10">
      <c r="A22" s="834"/>
      <c r="B22" s="831">
        <v>2</v>
      </c>
      <c r="C22" s="829">
        <v>21.65</v>
      </c>
      <c r="D22" s="832"/>
      <c r="E22" s="833" t="s">
        <v>1916</v>
      </c>
      <c r="F22" s="831"/>
      <c r="G22" s="829"/>
      <c r="H22" s="832"/>
      <c r="I22" s="833"/>
    </row>
    <row r="23" spans="1:10">
      <c r="A23" s="834"/>
      <c r="B23" s="831"/>
      <c r="C23" s="829">
        <v>0.9</v>
      </c>
      <c r="D23" s="832"/>
      <c r="E23" s="833" t="s">
        <v>3086</v>
      </c>
      <c r="F23" s="831"/>
      <c r="G23" s="829"/>
      <c r="H23" s="832"/>
      <c r="I23" s="833" t="s">
        <v>2921</v>
      </c>
      <c r="J23" s="834"/>
    </row>
    <row r="24" spans="1:10">
      <c r="A24" s="834"/>
      <c r="B24" s="831"/>
      <c r="C24" s="829">
        <v>0.23</v>
      </c>
      <c r="D24" s="832">
        <f>B22*C22*C23*C24</f>
        <v>8.9631000000000007</v>
      </c>
      <c r="E24" s="833"/>
      <c r="F24" s="831">
        <v>1</v>
      </c>
      <c r="G24" s="829">
        <v>24.95</v>
      </c>
      <c r="H24" s="832"/>
      <c r="I24" s="833"/>
      <c r="J24" s="834"/>
    </row>
    <row r="25" spans="1:10">
      <c r="A25" s="834"/>
      <c r="B25" s="831"/>
      <c r="C25" s="829"/>
      <c r="D25" s="832"/>
      <c r="E25" s="833"/>
      <c r="F25" s="831"/>
      <c r="G25" s="829">
        <v>15.05</v>
      </c>
      <c r="H25" s="832"/>
      <c r="I25" s="833"/>
      <c r="J25" s="834"/>
    </row>
    <row r="26" spans="1:10">
      <c r="A26" s="834"/>
      <c r="B26" s="831">
        <v>3</v>
      </c>
      <c r="C26" s="829">
        <v>9.9499999999999993</v>
      </c>
      <c r="D26" s="832"/>
      <c r="E26" s="833" t="s">
        <v>1914</v>
      </c>
      <c r="F26" s="831"/>
      <c r="G26" s="829">
        <v>0.3</v>
      </c>
      <c r="H26" s="832">
        <f>F24*G24*G25*G26</f>
        <v>112.64924999999999</v>
      </c>
      <c r="I26" s="833" t="s">
        <v>1936</v>
      </c>
      <c r="J26" s="834"/>
    </row>
    <row r="27" spans="1:10">
      <c r="A27" s="834"/>
      <c r="B27" s="831"/>
      <c r="C27" s="829">
        <v>0.9</v>
      </c>
      <c r="D27" s="832"/>
      <c r="E27" s="833" t="s">
        <v>3088</v>
      </c>
      <c r="F27" s="435"/>
      <c r="G27" s="435"/>
      <c r="H27" s="435"/>
      <c r="I27" s="435"/>
      <c r="J27" s="834"/>
    </row>
    <row r="28" spans="1:10">
      <c r="A28" s="834"/>
      <c r="B28" s="831"/>
      <c r="C28" s="829">
        <v>0.23</v>
      </c>
      <c r="D28" s="832">
        <f>B26*C26*C27*C28</f>
        <v>6.1789499999999995</v>
      </c>
      <c r="E28" s="833"/>
      <c r="F28" s="831"/>
      <c r="G28" s="829"/>
      <c r="H28" s="832">
        <f>'Admin. Sub TOS'!D30</f>
        <v>43.367075</v>
      </c>
      <c r="I28" s="833" t="s">
        <v>1937</v>
      </c>
      <c r="J28" s="834"/>
    </row>
    <row r="29" spans="1:10">
      <c r="A29" s="834"/>
      <c r="B29" s="831"/>
      <c r="C29" s="829"/>
      <c r="D29" s="832"/>
      <c r="E29" s="833"/>
      <c r="F29" s="435"/>
      <c r="G29" s="435"/>
      <c r="H29" s="435"/>
      <c r="I29" s="435"/>
      <c r="J29" s="834"/>
    </row>
    <row r="30" spans="1:10" ht="18">
      <c r="A30" s="834"/>
      <c r="B30" s="839"/>
      <c r="C30" s="935"/>
      <c r="D30" s="838">
        <f>D19-D24-D28</f>
        <v>43.367075</v>
      </c>
      <c r="E30" s="839" t="s">
        <v>3162</v>
      </c>
      <c r="F30" s="831"/>
      <c r="G30" s="829"/>
      <c r="H30" s="832">
        <f>'Admin. Sub TOS'!D42</f>
        <v>121.44329999999999</v>
      </c>
      <c r="I30" s="833" t="s">
        <v>1938</v>
      </c>
      <c r="J30" s="834"/>
    </row>
    <row r="31" spans="1:10">
      <c r="A31" s="834"/>
      <c r="B31" s="831"/>
      <c r="C31" s="829"/>
      <c r="D31" s="832"/>
      <c r="E31" s="833"/>
      <c r="F31" s="435"/>
      <c r="G31" s="435"/>
      <c r="H31" s="435"/>
      <c r="I31" s="435"/>
      <c r="J31" s="834"/>
    </row>
    <row r="32" spans="1:10">
      <c r="A32" s="834"/>
      <c r="B32" s="831"/>
      <c r="C32" s="829"/>
      <c r="D32" s="832"/>
      <c r="E32" s="844" t="s">
        <v>2903</v>
      </c>
      <c r="F32" s="831"/>
      <c r="G32" s="829"/>
      <c r="H32" s="832">
        <f>'Admin. Sub TOS'!H21</f>
        <v>209.54649999999998</v>
      </c>
      <c r="I32" s="833" t="s">
        <v>1915</v>
      </c>
      <c r="J32" s="834"/>
    </row>
    <row r="33" spans="1:10" ht="18.75" customHeight="1">
      <c r="A33" s="834"/>
      <c r="B33" s="831"/>
      <c r="C33" s="829"/>
      <c r="D33" s="832"/>
      <c r="E33" s="844" t="s">
        <v>2904</v>
      </c>
      <c r="F33" s="435"/>
      <c r="G33" s="435"/>
      <c r="H33" s="435"/>
      <c r="I33" s="435"/>
      <c r="J33" s="834"/>
    </row>
    <row r="34" spans="1:10" ht="18">
      <c r="A34" s="834"/>
      <c r="B34" s="831">
        <v>4</v>
      </c>
      <c r="C34" s="829">
        <v>23.45</v>
      </c>
      <c r="D34" s="832"/>
      <c r="E34" s="833" t="s">
        <v>1916</v>
      </c>
      <c r="F34" s="839"/>
      <c r="G34" s="935"/>
      <c r="H34" s="838">
        <f>H26+H28+H30-H32</f>
        <v>67.91312499999998</v>
      </c>
      <c r="I34" s="839" t="s">
        <v>3161</v>
      </c>
      <c r="J34" s="834"/>
    </row>
    <row r="35" spans="1:10">
      <c r="A35" s="834"/>
      <c r="B35" s="831"/>
      <c r="C35" s="829">
        <v>0.9</v>
      </c>
      <c r="D35" s="832"/>
      <c r="E35" s="833" t="s">
        <v>3089</v>
      </c>
      <c r="F35" s="831"/>
      <c r="G35" s="829"/>
      <c r="H35" s="832"/>
      <c r="I35" s="833"/>
      <c r="J35" s="834"/>
    </row>
    <row r="36" spans="1:10" ht="18.75" customHeight="1">
      <c r="A36" s="834"/>
      <c r="B36" s="831"/>
      <c r="C36" s="829">
        <v>0.94</v>
      </c>
      <c r="D36" s="832">
        <f>B34*C34*C35*C36</f>
        <v>79.354799999999997</v>
      </c>
      <c r="E36" s="833"/>
      <c r="F36" s="831"/>
      <c r="G36" s="829"/>
      <c r="H36" s="832"/>
      <c r="I36" s="833" t="s">
        <v>2557</v>
      </c>
      <c r="J36" s="834"/>
    </row>
    <row r="37" spans="1:10">
      <c r="A37" s="834"/>
      <c r="B37" s="831"/>
      <c r="C37" s="829"/>
      <c r="D37" s="832"/>
      <c r="E37" s="833"/>
      <c r="F37" s="831">
        <v>1</v>
      </c>
      <c r="G37" s="829">
        <v>22.45</v>
      </c>
      <c r="H37" s="832"/>
      <c r="I37" s="833" t="s">
        <v>3098</v>
      </c>
      <c r="J37" s="834"/>
    </row>
    <row r="38" spans="1:10">
      <c r="A38" s="834"/>
      <c r="B38" s="831">
        <v>5</v>
      </c>
      <c r="C38" s="829">
        <v>9.9499999999999993</v>
      </c>
      <c r="D38" s="832"/>
      <c r="E38" s="833" t="s">
        <v>1914</v>
      </c>
      <c r="F38" s="831"/>
      <c r="G38" s="829">
        <v>12.55</v>
      </c>
      <c r="H38" s="832">
        <f>F37*G37*G38</f>
        <v>281.7475</v>
      </c>
      <c r="I38" s="833"/>
      <c r="J38" s="834"/>
    </row>
    <row r="39" spans="1:10">
      <c r="A39" s="834"/>
      <c r="B39" s="831"/>
      <c r="C39" s="829">
        <v>0.9</v>
      </c>
      <c r="D39" s="832"/>
      <c r="E39" s="833" t="s">
        <v>3090</v>
      </c>
      <c r="F39" s="831"/>
      <c r="G39" s="829"/>
      <c r="H39" s="832"/>
      <c r="I39" s="833"/>
      <c r="J39" s="834"/>
    </row>
    <row r="40" spans="1:10">
      <c r="A40" s="834"/>
      <c r="B40" s="831"/>
      <c r="C40" s="829">
        <v>0.94</v>
      </c>
      <c r="D40" s="832">
        <f>B38*C38*C39*C40</f>
        <v>42.088499999999996</v>
      </c>
      <c r="E40" s="833" t="s">
        <v>2195</v>
      </c>
      <c r="F40" s="831"/>
      <c r="G40" s="829"/>
      <c r="H40" s="832"/>
      <c r="I40" s="844" t="s">
        <v>1915</v>
      </c>
      <c r="J40" s="834"/>
    </row>
    <row r="41" spans="1:10">
      <c r="A41" s="834"/>
      <c r="B41" s="831"/>
      <c r="C41" s="829"/>
      <c r="D41" s="832"/>
      <c r="E41" s="833"/>
      <c r="F41" s="831">
        <v>2</v>
      </c>
      <c r="G41" s="829">
        <v>22.45</v>
      </c>
      <c r="H41" s="832"/>
      <c r="I41" s="833" t="s">
        <v>3099</v>
      </c>
      <c r="J41" s="834"/>
    </row>
    <row r="42" spans="1:10" ht="18">
      <c r="A42" s="834"/>
      <c r="B42" s="839"/>
      <c r="C42" s="935"/>
      <c r="D42" s="838">
        <f>D36+D40</f>
        <v>121.44329999999999</v>
      </c>
      <c r="E42" s="839" t="s">
        <v>3164</v>
      </c>
      <c r="F42" s="831"/>
      <c r="G42" s="829">
        <v>0.25</v>
      </c>
      <c r="H42" s="832">
        <f>F41*G41*G42</f>
        <v>11.225</v>
      </c>
      <c r="I42" s="833"/>
      <c r="J42" s="834"/>
    </row>
    <row r="43" spans="1:10">
      <c r="A43" s="834"/>
      <c r="B43" s="831"/>
      <c r="C43" s="829"/>
      <c r="D43" s="832"/>
      <c r="E43" s="844"/>
      <c r="F43" s="831"/>
      <c r="G43" s="829"/>
      <c r="H43" s="832"/>
      <c r="I43" s="833"/>
      <c r="J43" s="834"/>
    </row>
    <row r="44" spans="1:10">
      <c r="A44" s="834"/>
      <c r="B44" s="831"/>
      <c r="C44" s="829"/>
      <c r="D44" s="832"/>
      <c r="E44" s="844" t="s">
        <v>3091</v>
      </c>
      <c r="F44" s="831">
        <v>3</v>
      </c>
      <c r="G44" s="829">
        <v>12.05</v>
      </c>
      <c r="H44" s="832"/>
      <c r="I44" s="833" t="s">
        <v>3100</v>
      </c>
      <c r="J44" s="834"/>
    </row>
    <row r="45" spans="1:10">
      <c r="A45" s="834"/>
      <c r="B45" s="831"/>
      <c r="C45" s="829"/>
      <c r="D45" s="832"/>
      <c r="E45" s="844" t="s">
        <v>2907</v>
      </c>
      <c r="F45" s="831"/>
      <c r="G45" s="829">
        <v>0.25</v>
      </c>
      <c r="H45" s="832">
        <f>F44*G44*G45</f>
        <v>9.0375000000000014</v>
      </c>
      <c r="I45" s="833" t="s">
        <v>3101</v>
      </c>
      <c r="J45" s="834"/>
    </row>
    <row r="46" spans="1:10">
      <c r="A46" s="834"/>
      <c r="B46" s="831">
        <v>4</v>
      </c>
      <c r="C46" s="829">
        <v>23.45</v>
      </c>
      <c r="D46" s="832"/>
      <c r="E46" s="833" t="s">
        <v>1929</v>
      </c>
      <c r="F46" s="435"/>
      <c r="G46" s="435"/>
      <c r="H46" s="435"/>
      <c r="I46" s="435"/>
      <c r="J46" s="834"/>
    </row>
    <row r="47" spans="1:10" ht="18">
      <c r="A47" s="834"/>
      <c r="B47" s="831"/>
      <c r="C47" s="829">
        <v>0.9</v>
      </c>
      <c r="D47" s="832"/>
      <c r="E47" s="833"/>
      <c r="F47" s="839"/>
      <c r="G47" s="935"/>
      <c r="H47" s="838">
        <f>H38-H42-H45</f>
        <v>261.48499999999996</v>
      </c>
      <c r="I47" s="839" t="s">
        <v>3182</v>
      </c>
      <c r="J47" s="834"/>
    </row>
    <row r="48" spans="1:10">
      <c r="A48" s="834"/>
      <c r="B48" s="831"/>
      <c r="C48" s="829">
        <v>0.52</v>
      </c>
      <c r="D48" s="832">
        <f>B46*C46*C47*C48</f>
        <v>43.898400000000002</v>
      </c>
      <c r="E48" s="833"/>
      <c r="F48" s="435"/>
      <c r="G48" s="435"/>
      <c r="H48" s="435"/>
      <c r="I48" s="435"/>
      <c r="J48" s="834"/>
    </row>
    <row r="49" spans="1:10">
      <c r="A49" s="834"/>
      <c r="B49" s="831"/>
      <c r="C49" s="829"/>
      <c r="D49" s="832"/>
      <c r="E49" s="833"/>
      <c r="F49" s="831"/>
      <c r="G49" s="829"/>
      <c r="H49" s="832"/>
      <c r="I49" s="844" t="s">
        <v>1894</v>
      </c>
      <c r="J49" s="834"/>
    </row>
    <row r="50" spans="1:10">
      <c r="A50" s="834"/>
      <c r="B50" s="831">
        <v>5</v>
      </c>
      <c r="C50" s="829">
        <v>9.9499999999999993</v>
      </c>
      <c r="D50" s="832"/>
      <c r="E50" s="833" t="s">
        <v>3000</v>
      </c>
      <c r="F50" s="831"/>
      <c r="G50" s="829"/>
      <c r="H50" s="832"/>
      <c r="I50" s="844" t="s">
        <v>1939</v>
      </c>
      <c r="J50" s="834"/>
    </row>
    <row r="51" spans="1:10">
      <c r="A51" s="834"/>
      <c r="B51" s="831"/>
      <c r="C51" s="829">
        <v>0.9</v>
      </c>
      <c r="D51" s="832"/>
      <c r="E51" s="833" t="s">
        <v>3102</v>
      </c>
      <c r="F51" s="831">
        <v>4</v>
      </c>
      <c r="G51" s="829">
        <v>22.95</v>
      </c>
      <c r="H51" s="832"/>
      <c r="I51" s="833" t="s">
        <v>3103</v>
      </c>
      <c r="J51" s="834"/>
    </row>
    <row r="52" spans="1:10">
      <c r="A52" s="834"/>
      <c r="B52" s="831"/>
      <c r="C52" s="829">
        <v>0.52</v>
      </c>
      <c r="D52" s="832">
        <f>B50*C50*C51*C52</f>
        <v>23.283000000000001</v>
      </c>
      <c r="E52" s="833">
        <f>13.55-(4*0.9)</f>
        <v>9.9500000000000011</v>
      </c>
      <c r="F52" s="831"/>
      <c r="G52" s="829">
        <v>0.4</v>
      </c>
      <c r="H52" s="832">
        <f>G52*G51*F51</f>
        <v>36.72</v>
      </c>
      <c r="I52" s="833"/>
      <c r="J52" s="834"/>
    </row>
    <row r="53" spans="1:10">
      <c r="A53" s="834"/>
      <c r="B53" s="831"/>
      <c r="C53" s="829"/>
      <c r="D53" s="832"/>
      <c r="E53" s="833"/>
      <c r="F53" s="831"/>
      <c r="G53" s="829"/>
      <c r="H53" s="832"/>
      <c r="I53" s="833"/>
      <c r="J53" s="834"/>
    </row>
    <row r="54" spans="1:10">
      <c r="A54" s="834"/>
      <c r="B54" s="831"/>
      <c r="C54" s="829"/>
      <c r="D54" s="832"/>
      <c r="E54" s="844" t="s">
        <v>2200</v>
      </c>
      <c r="F54" s="831">
        <v>5</v>
      </c>
      <c r="G54" s="829">
        <v>11.45</v>
      </c>
      <c r="H54" s="832"/>
      <c r="I54" s="833" t="s">
        <v>3104</v>
      </c>
      <c r="J54" s="834"/>
    </row>
    <row r="55" spans="1:10">
      <c r="A55" s="834"/>
      <c r="B55" s="831"/>
      <c r="C55" s="829"/>
      <c r="D55" s="832"/>
      <c r="E55" s="833" t="s">
        <v>1916</v>
      </c>
      <c r="F55" s="831"/>
      <c r="G55" s="829">
        <v>0.4</v>
      </c>
      <c r="H55" s="832">
        <f>G55*G54*F54</f>
        <v>22.9</v>
      </c>
      <c r="I55" s="833"/>
      <c r="J55" s="834"/>
    </row>
    <row r="56" spans="1:10">
      <c r="A56" s="834"/>
      <c r="B56" s="831">
        <v>6</v>
      </c>
      <c r="C56" s="829">
        <v>20.95</v>
      </c>
      <c r="D56" s="832"/>
      <c r="E56" s="833" t="s">
        <v>3092</v>
      </c>
      <c r="F56" s="831"/>
      <c r="G56" s="829"/>
      <c r="H56" s="832"/>
      <c r="I56" s="833"/>
      <c r="J56" s="834"/>
    </row>
    <row r="57" spans="1:10" ht="18">
      <c r="A57" s="834"/>
      <c r="B57" s="831"/>
      <c r="C57" s="829">
        <v>0.25</v>
      </c>
      <c r="D57" s="832"/>
      <c r="E57" s="833" t="s">
        <v>2913</v>
      </c>
      <c r="F57" s="839"/>
      <c r="G57" s="935"/>
      <c r="H57" s="838">
        <f>H55+H52</f>
        <v>59.62</v>
      </c>
      <c r="I57" s="839" t="s">
        <v>3181</v>
      </c>
      <c r="J57" s="834"/>
    </row>
    <row r="58" spans="1:10">
      <c r="A58" s="834"/>
      <c r="B58" s="831"/>
      <c r="C58" s="829">
        <v>0.25</v>
      </c>
      <c r="D58" s="832">
        <f>B56*C56*C57*C58</f>
        <v>7.8562499999999993</v>
      </c>
      <c r="E58" s="833"/>
      <c r="F58" s="831"/>
      <c r="G58" s="829"/>
      <c r="H58" s="832"/>
      <c r="I58" s="833"/>
      <c r="J58" s="834"/>
    </row>
    <row r="59" spans="1:10">
      <c r="A59" s="834"/>
      <c r="B59" s="831"/>
      <c r="C59" s="829"/>
      <c r="D59" s="832"/>
      <c r="E59" s="833"/>
      <c r="F59" s="831"/>
      <c r="G59" s="829"/>
      <c r="H59" s="832"/>
      <c r="I59" s="844" t="s">
        <v>3022</v>
      </c>
      <c r="J59" s="834"/>
    </row>
    <row r="60" spans="1:10">
      <c r="A60" s="834"/>
      <c r="B60" s="831"/>
      <c r="C60" s="829"/>
      <c r="D60" s="832"/>
      <c r="E60" s="833" t="s">
        <v>1914</v>
      </c>
      <c r="F60" s="1193"/>
      <c r="G60" s="848"/>
      <c r="H60" s="843"/>
      <c r="I60" s="833" t="s">
        <v>3105</v>
      </c>
      <c r="J60" s="834"/>
    </row>
    <row r="61" spans="1:10">
      <c r="A61" s="834"/>
      <c r="B61" s="831">
        <v>8</v>
      </c>
      <c r="C61" s="829">
        <v>9.9499999999999993</v>
      </c>
      <c r="D61" s="832"/>
      <c r="E61" s="833" t="s">
        <v>3093</v>
      </c>
      <c r="F61" s="831">
        <v>1</v>
      </c>
      <c r="G61" s="829">
        <v>22.45</v>
      </c>
      <c r="H61" s="832"/>
      <c r="I61" s="833" t="s">
        <v>3106</v>
      </c>
      <c r="J61" s="834"/>
    </row>
    <row r="62" spans="1:10">
      <c r="A62" s="834"/>
      <c r="B62" s="831"/>
      <c r="C62" s="829">
        <v>0.25</v>
      </c>
      <c r="D62" s="832"/>
      <c r="E62" s="833" t="s">
        <v>2915</v>
      </c>
      <c r="F62" s="831"/>
      <c r="G62" s="829">
        <v>12.55</v>
      </c>
      <c r="H62" s="832">
        <f>F61*G61*G62</f>
        <v>281.7475</v>
      </c>
      <c r="I62" s="833"/>
      <c r="J62" s="834"/>
    </row>
    <row r="63" spans="1:10">
      <c r="A63" s="834"/>
      <c r="B63" s="831"/>
      <c r="C63" s="829">
        <v>0.25</v>
      </c>
      <c r="D63" s="832">
        <f>B61*C61*C62*C63</f>
        <v>4.9749999999999996</v>
      </c>
      <c r="E63" s="833"/>
      <c r="F63" s="831"/>
      <c r="G63" s="829"/>
      <c r="H63" s="832"/>
      <c r="I63" s="833"/>
      <c r="J63" s="834"/>
    </row>
    <row r="64" spans="1:10">
      <c r="A64" s="834"/>
      <c r="B64" s="831"/>
      <c r="C64" s="829"/>
      <c r="D64" s="832"/>
      <c r="E64" s="844"/>
      <c r="F64" s="831"/>
      <c r="G64" s="829"/>
      <c r="H64" s="832"/>
      <c r="I64" s="844"/>
      <c r="J64" s="834"/>
    </row>
    <row r="65" spans="1:10">
      <c r="A65" s="834"/>
      <c r="B65" s="849"/>
      <c r="C65" s="850"/>
      <c r="D65" s="851"/>
      <c r="E65" s="974"/>
      <c r="F65" s="849"/>
      <c r="G65" s="850"/>
      <c r="H65" s="851"/>
      <c r="I65" s="974"/>
      <c r="J65" s="834"/>
    </row>
    <row r="66" spans="1:10">
      <c r="A66" s="1162"/>
      <c r="B66" s="909" t="s">
        <v>1884</v>
      </c>
      <c r="C66" s="911" t="s">
        <v>526</v>
      </c>
      <c r="D66" s="910" t="s">
        <v>1885</v>
      </c>
      <c r="E66" s="911" t="s">
        <v>1886</v>
      </c>
      <c r="F66" s="909" t="s">
        <v>1884</v>
      </c>
      <c r="G66" s="911" t="s">
        <v>526</v>
      </c>
      <c r="H66" s="910" t="s">
        <v>1885</v>
      </c>
      <c r="I66" s="911" t="s">
        <v>1886</v>
      </c>
      <c r="J66" s="1162"/>
    </row>
    <row r="67" spans="1:10">
      <c r="A67" s="834"/>
      <c r="B67" s="831"/>
      <c r="C67" s="829"/>
      <c r="D67" s="832"/>
      <c r="E67" s="844" t="s">
        <v>1915</v>
      </c>
      <c r="F67" s="831"/>
      <c r="G67" s="829"/>
      <c r="H67" s="832"/>
      <c r="I67" s="844" t="s">
        <v>1843</v>
      </c>
    </row>
    <row r="68" spans="1:10">
      <c r="A68" s="834"/>
      <c r="B68" s="831"/>
      <c r="C68" s="829"/>
      <c r="D68" s="832"/>
      <c r="E68" s="833" t="s">
        <v>1916</v>
      </c>
      <c r="F68" s="831"/>
      <c r="G68" s="829"/>
      <c r="H68" s="832"/>
      <c r="I68" s="844" t="s">
        <v>1957</v>
      </c>
    </row>
    <row r="69" spans="1:10">
      <c r="A69" s="834"/>
      <c r="B69" s="831">
        <v>2</v>
      </c>
      <c r="C69" s="829">
        <v>22.45</v>
      </c>
      <c r="D69" s="832"/>
      <c r="E69" s="833" t="s">
        <v>3105</v>
      </c>
      <c r="F69" s="831">
        <v>4</v>
      </c>
      <c r="G69" s="829">
        <v>22.95</v>
      </c>
      <c r="H69" s="832"/>
      <c r="I69" s="833" t="s">
        <v>1951</v>
      </c>
    </row>
    <row r="70" spans="1:10">
      <c r="A70" s="834"/>
      <c r="B70" s="831"/>
      <c r="C70" s="829">
        <v>0.25</v>
      </c>
      <c r="D70" s="832">
        <f>B69*C69*C70</f>
        <v>11.225</v>
      </c>
      <c r="E70" s="833"/>
      <c r="F70" s="831"/>
      <c r="G70" s="829">
        <v>0.4</v>
      </c>
      <c r="H70" s="832"/>
      <c r="I70" s="833" t="s">
        <v>3103</v>
      </c>
    </row>
    <row r="71" spans="1:10">
      <c r="A71" s="834"/>
      <c r="B71" s="831"/>
      <c r="C71" s="829"/>
      <c r="D71" s="832"/>
      <c r="E71" s="833"/>
      <c r="F71" s="831"/>
      <c r="G71" s="829">
        <v>0.76</v>
      </c>
      <c r="H71" s="832">
        <f>G71*G70*G69*F69</f>
        <v>27.907200000000003</v>
      </c>
      <c r="I71" s="833"/>
    </row>
    <row r="72" spans="1:10">
      <c r="A72" s="834"/>
      <c r="B72" s="831"/>
      <c r="C72" s="829"/>
      <c r="D72" s="832"/>
      <c r="E72" s="833" t="s">
        <v>1914</v>
      </c>
      <c r="F72" s="831"/>
      <c r="G72" s="829"/>
      <c r="H72" s="832"/>
      <c r="I72" s="833"/>
    </row>
    <row r="73" spans="1:10">
      <c r="A73" s="834"/>
      <c r="B73" s="831">
        <v>3</v>
      </c>
      <c r="C73" s="829">
        <v>12.05</v>
      </c>
      <c r="D73" s="832"/>
      <c r="E73" s="833" t="s">
        <v>3107</v>
      </c>
      <c r="F73" s="831">
        <v>5</v>
      </c>
      <c r="G73" s="829">
        <v>11.45</v>
      </c>
      <c r="H73" s="832"/>
      <c r="I73" s="833" t="s">
        <v>1952</v>
      </c>
    </row>
    <row r="74" spans="1:10">
      <c r="A74" s="834"/>
      <c r="B74" s="831"/>
      <c r="C74" s="829">
        <v>0.25</v>
      </c>
      <c r="D74" s="832">
        <f>B73*C73*C74</f>
        <v>9.0375000000000014</v>
      </c>
      <c r="E74" s="833"/>
      <c r="F74" s="831"/>
      <c r="G74" s="829">
        <v>0.4</v>
      </c>
      <c r="H74" s="832"/>
      <c r="I74" s="833" t="s">
        <v>3104</v>
      </c>
    </row>
    <row r="75" spans="1:10">
      <c r="A75" s="834"/>
      <c r="B75" s="831"/>
      <c r="C75" s="829"/>
      <c r="D75" s="832"/>
      <c r="E75" s="833"/>
      <c r="F75" s="831"/>
      <c r="G75" s="829">
        <v>0.76</v>
      </c>
      <c r="H75" s="832">
        <f>G75*G74*G73*F73</f>
        <v>17.404000000000003</v>
      </c>
      <c r="I75" s="833"/>
    </row>
    <row r="76" spans="1:10" ht="18">
      <c r="A76" s="834"/>
      <c r="B76" s="839"/>
      <c r="C76" s="935"/>
      <c r="D76" s="838">
        <f>H62-D70-D74</f>
        <v>261.48499999999996</v>
      </c>
      <c r="E76" s="839" t="s">
        <v>3194</v>
      </c>
      <c r="F76" s="1193"/>
      <c r="G76" s="848"/>
      <c r="H76" s="843"/>
      <c r="I76" s="435"/>
    </row>
    <row r="77" spans="1:10" ht="18">
      <c r="A77" s="834"/>
      <c r="B77" s="831"/>
      <c r="C77" s="829"/>
      <c r="D77" s="832"/>
      <c r="E77" s="833"/>
      <c r="F77" s="831"/>
      <c r="G77" s="829"/>
      <c r="H77" s="832">
        <f>H71+H75</f>
        <v>45.311200000000007</v>
      </c>
      <c r="I77" s="833" t="s">
        <v>3193</v>
      </c>
    </row>
    <row r="78" spans="1:10">
      <c r="A78" s="834"/>
      <c r="B78" s="831"/>
      <c r="C78" s="829"/>
      <c r="D78" s="832"/>
      <c r="E78" s="844" t="s">
        <v>1942</v>
      </c>
      <c r="F78" s="831"/>
      <c r="G78" s="829"/>
      <c r="H78" s="832"/>
      <c r="I78" s="833"/>
    </row>
    <row r="79" spans="1:10">
      <c r="A79" s="834"/>
      <c r="B79" s="831">
        <v>4</v>
      </c>
      <c r="C79" s="829">
        <v>22.95</v>
      </c>
      <c r="D79" s="832"/>
      <c r="E79" s="833" t="s">
        <v>3108</v>
      </c>
      <c r="F79" s="831"/>
      <c r="G79" s="829"/>
      <c r="H79" s="832"/>
      <c r="I79" s="844" t="s">
        <v>1953</v>
      </c>
    </row>
    <row r="80" spans="1:10">
      <c r="A80" s="834"/>
      <c r="B80" s="831"/>
      <c r="C80" s="829">
        <v>0.25</v>
      </c>
      <c r="D80" s="832"/>
      <c r="E80" s="833"/>
      <c r="F80" s="831">
        <v>1</v>
      </c>
      <c r="G80" s="829">
        <v>17.8</v>
      </c>
      <c r="H80" s="832"/>
      <c r="I80" s="833" t="s">
        <v>3116</v>
      </c>
    </row>
    <row r="81" spans="1:10">
      <c r="A81" s="834"/>
      <c r="B81" s="831"/>
      <c r="C81" s="829">
        <v>0.4</v>
      </c>
      <c r="D81" s="832">
        <f>B79*C79*C80*C81</f>
        <v>9.18</v>
      </c>
      <c r="E81" s="833"/>
      <c r="F81" s="831"/>
      <c r="G81" s="829">
        <v>0.4</v>
      </c>
      <c r="H81" s="832"/>
      <c r="I81" s="833"/>
    </row>
    <row r="82" spans="1:10">
      <c r="A82" s="834"/>
      <c r="B82" s="831"/>
      <c r="C82" s="829"/>
      <c r="D82" s="832"/>
      <c r="E82" s="833"/>
      <c r="F82" s="831"/>
      <c r="G82" s="829">
        <v>0.45</v>
      </c>
      <c r="H82" s="832">
        <f>F80*G80*G81*G82</f>
        <v>3.2040000000000006</v>
      </c>
      <c r="I82" s="833"/>
    </row>
    <row r="83" spans="1:10">
      <c r="A83" s="834"/>
      <c r="B83" s="831">
        <v>5</v>
      </c>
      <c r="C83" s="829">
        <v>12.05</v>
      </c>
      <c r="D83" s="832"/>
      <c r="E83" s="833" t="s">
        <v>3109</v>
      </c>
      <c r="F83" s="831"/>
      <c r="G83" s="829"/>
      <c r="H83" s="832"/>
      <c r="I83" s="833"/>
      <c r="J83" s="834"/>
    </row>
    <row r="84" spans="1:10">
      <c r="A84" s="834"/>
      <c r="B84" s="831"/>
      <c r="C84" s="829">
        <v>0.25</v>
      </c>
      <c r="D84" s="832"/>
      <c r="E84" s="833"/>
      <c r="F84" s="831"/>
      <c r="G84" s="829"/>
      <c r="H84" s="832"/>
      <c r="I84" s="833" t="s">
        <v>3117</v>
      </c>
      <c r="J84" s="834"/>
    </row>
    <row r="85" spans="1:10">
      <c r="A85" s="834"/>
      <c r="B85" s="831"/>
      <c r="C85" s="829">
        <v>0.4</v>
      </c>
      <c r="D85" s="832">
        <f>B83*C83*C84*C85</f>
        <v>6.0250000000000004</v>
      </c>
      <c r="E85" s="833"/>
      <c r="F85" s="831">
        <v>1</v>
      </c>
      <c r="G85" s="829">
        <v>12.55</v>
      </c>
      <c r="H85" s="832"/>
      <c r="I85" s="833"/>
      <c r="J85" s="834"/>
    </row>
    <row r="86" spans="1:10">
      <c r="A86" s="834"/>
      <c r="B86" s="435"/>
      <c r="C86" s="1193"/>
      <c r="D86" s="1193"/>
      <c r="E86" s="435"/>
      <c r="F86" s="831"/>
      <c r="G86" s="829">
        <v>0.4</v>
      </c>
      <c r="H86" s="832"/>
      <c r="I86" s="833"/>
      <c r="J86" s="834"/>
    </row>
    <row r="87" spans="1:10" ht="18">
      <c r="A87" s="834"/>
      <c r="B87" s="839"/>
      <c r="C87" s="935"/>
      <c r="D87" s="838">
        <f>D81+D85</f>
        <v>15.205</v>
      </c>
      <c r="E87" s="839" t="s">
        <v>3192</v>
      </c>
      <c r="F87" s="831"/>
      <c r="G87" s="829">
        <v>0.35</v>
      </c>
      <c r="H87" s="832">
        <f>F85*G85*G86*G87</f>
        <v>1.7570000000000001</v>
      </c>
      <c r="I87" s="833"/>
      <c r="J87" s="834"/>
    </row>
    <row r="88" spans="1:10" ht="19.5" customHeight="1">
      <c r="A88" s="834"/>
      <c r="B88" s="435"/>
      <c r="C88" s="1193"/>
      <c r="D88" s="1193"/>
      <c r="E88" s="435"/>
      <c r="F88" s="1193"/>
      <c r="G88" s="848"/>
      <c r="H88" s="843"/>
      <c r="I88" s="435"/>
      <c r="J88" s="834"/>
    </row>
    <row r="89" spans="1:10" ht="18">
      <c r="A89" s="834"/>
      <c r="B89" s="831"/>
      <c r="C89" s="829"/>
      <c r="D89" s="832"/>
      <c r="E89" s="844" t="s">
        <v>3112</v>
      </c>
      <c r="F89" s="839"/>
      <c r="G89" s="935"/>
      <c r="H89" s="838">
        <f>H82+H87</f>
        <v>4.9610000000000003</v>
      </c>
      <c r="I89" s="839" t="s">
        <v>3204</v>
      </c>
      <c r="J89" s="834"/>
    </row>
    <row r="90" spans="1:10">
      <c r="A90" s="834"/>
      <c r="B90" s="831"/>
      <c r="C90" s="829"/>
      <c r="D90" s="832"/>
      <c r="E90" s="844" t="s">
        <v>1945</v>
      </c>
      <c r="F90" s="831"/>
      <c r="G90" s="829"/>
      <c r="H90" s="832"/>
      <c r="I90" s="833"/>
      <c r="J90" s="834"/>
    </row>
    <row r="91" spans="1:10">
      <c r="A91" s="834"/>
      <c r="B91" s="831">
        <v>8</v>
      </c>
      <c r="C91" s="829">
        <v>22.95</v>
      </c>
      <c r="D91" s="832"/>
      <c r="E91" s="833" t="s">
        <v>3110</v>
      </c>
      <c r="F91" s="831"/>
      <c r="G91" s="829"/>
      <c r="H91" s="832">
        <f>H77-H89</f>
        <v>40.350200000000008</v>
      </c>
      <c r="I91" s="833" t="s">
        <v>2987</v>
      </c>
      <c r="J91" s="834"/>
    </row>
    <row r="92" spans="1:10">
      <c r="A92" s="834"/>
      <c r="B92" s="831"/>
      <c r="C92" s="829">
        <v>0.4</v>
      </c>
      <c r="D92" s="832">
        <f>B91*C91*C92</f>
        <v>73.44</v>
      </c>
      <c r="E92" s="833"/>
      <c r="F92" s="1193"/>
      <c r="G92" s="848"/>
      <c r="H92" s="843"/>
      <c r="I92" s="435"/>
      <c r="J92" s="834"/>
    </row>
    <row r="93" spans="1:10" ht="18">
      <c r="A93" s="834"/>
      <c r="B93" s="831"/>
      <c r="C93" s="829"/>
      <c r="D93" s="832"/>
      <c r="E93" s="833"/>
      <c r="F93" s="839"/>
      <c r="G93" s="935"/>
      <c r="H93" s="838">
        <f>H91</f>
        <v>40.350200000000008</v>
      </c>
      <c r="I93" s="839" t="s">
        <v>3205</v>
      </c>
      <c r="J93" s="834"/>
    </row>
    <row r="94" spans="1:10">
      <c r="A94" s="834"/>
      <c r="B94" s="831">
        <v>10</v>
      </c>
      <c r="C94" s="829">
        <v>12.55</v>
      </c>
      <c r="D94" s="832"/>
      <c r="E94" s="833" t="s">
        <v>3111</v>
      </c>
      <c r="F94" s="831"/>
      <c r="G94" s="829"/>
      <c r="H94" s="832"/>
      <c r="I94" s="833"/>
      <c r="J94" s="834"/>
    </row>
    <row r="95" spans="1:10">
      <c r="A95" s="834"/>
      <c r="B95" s="831"/>
      <c r="C95" s="829">
        <v>0.4</v>
      </c>
      <c r="D95" s="832">
        <f>B94*C94*C95</f>
        <v>50.2</v>
      </c>
      <c r="E95" s="833"/>
      <c r="F95" s="831"/>
      <c r="G95" s="829"/>
      <c r="H95" s="832"/>
      <c r="I95" s="833"/>
      <c r="J95" s="834"/>
    </row>
    <row r="96" spans="1:10">
      <c r="A96" s="834"/>
      <c r="B96" s="831"/>
      <c r="C96" s="829"/>
      <c r="D96" s="832"/>
      <c r="E96" s="833"/>
      <c r="F96" s="831"/>
      <c r="G96" s="829"/>
      <c r="H96" s="832"/>
      <c r="I96" s="833"/>
      <c r="J96" s="834"/>
    </row>
    <row r="97" spans="1:10">
      <c r="A97" s="834"/>
      <c r="B97" s="831"/>
      <c r="C97" s="829"/>
      <c r="D97" s="832"/>
      <c r="E97" s="833"/>
      <c r="F97" s="831"/>
      <c r="G97" s="829"/>
      <c r="H97" s="832"/>
      <c r="I97" s="833"/>
      <c r="J97" s="834"/>
    </row>
    <row r="98" spans="1:10">
      <c r="A98" s="834"/>
      <c r="B98" s="831">
        <v>46</v>
      </c>
      <c r="C98" s="829">
        <v>0.4</v>
      </c>
      <c r="D98" s="832"/>
      <c r="E98" s="844" t="s">
        <v>1915</v>
      </c>
      <c r="F98" s="831"/>
      <c r="G98" s="829"/>
      <c r="H98" s="832"/>
      <c r="I98" s="833"/>
      <c r="J98" s="834"/>
    </row>
    <row r="99" spans="1:10">
      <c r="A99" s="834"/>
      <c r="B99" s="831"/>
      <c r="C99" s="829">
        <v>0.25</v>
      </c>
      <c r="D99" s="832">
        <f>B98*C98*C99</f>
        <v>4.6000000000000005</v>
      </c>
      <c r="E99" s="833"/>
      <c r="F99" s="831"/>
      <c r="G99" s="829"/>
      <c r="H99" s="832"/>
      <c r="I99" s="833"/>
      <c r="J99" s="834"/>
    </row>
    <row r="100" spans="1:10">
      <c r="A100" s="834"/>
      <c r="B100" s="435"/>
      <c r="C100" s="1193"/>
      <c r="D100" s="1193"/>
      <c r="E100" s="435"/>
      <c r="F100" s="831"/>
      <c r="G100" s="829"/>
      <c r="H100" s="832"/>
      <c r="I100" s="833"/>
      <c r="J100" s="834"/>
    </row>
    <row r="101" spans="1:10" ht="18">
      <c r="A101" s="834"/>
      <c r="B101" s="839"/>
      <c r="C101" s="935"/>
      <c r="D101" s="838">
        <f>D92+D95-D99</f>
        <v>119.04</v>
      </c>
      <c r="E101" s="839" t="s">
        <v>3191</v>
      </c>
      <c r="F101" s="831"/>
      <c r="G101" s="829"/>
      <c r="H101" s="832"/>
      <c r="I101" s="833"/>
      <c r="J101" s="834"/>
    </row>
    <row r="102" spans="1:10">
      <c r="A102" s="834"/>
      <c r="B102" s="831"/>
      <c r="C102" s="829"/>
      <c r="D102" s="832"/>
      <c r="E102" s="833"/>
      <c r="F102" s="831"/>
      <c r="G102" s="829"/>
      <c r="H102" s="832"/>
      <c r="I102" s="833"/>
      <c r="J102" s="834"/>
    </row>
    <row r="103" spans="1:10">
      <c r="A103" s="834"/>
      <c r="B103" s="831"/>
      <c r="C103" s="829"/>
      <c r="D103" s="832"/>
      <c r="E103" s="837" t="s">
        <v>1899</v>
      </c>
      <c r="F103" s="831"/>
      <c r="G103" s="829"/>
      <c r="H103" s="832"/>
      <c r="I103" s="833"/>
      <c r="J103" s="834"/>
    </row>
    <row r="104" spans="1:10">
      <c r="A104" s="834"/>
      <c r="B104" s="831"/>
      <c r="C104" s="829"/>
      <c r="D104" s="832"/>
      <c r="E104" s="844" t="s">
        <v>3174</v>
      </c>
      <c r="F104" s="831"/>
      <c r="G104" s="829"/>
      <c r="H104" s="832"/>
      <c r="I104" s="833"/>
      <c r="J104" s="834"/>
    </row>
    <row r="105" spans="1:10">
      <c r="A105" s="834"/>
      <c r="B105" s="839"/>
      <c r="C105" s="839"/>
      <c r="D105" s="838">
        <f>'[23]Admin. Reinf'!N34+'[23]Admin. Reinf'!N60</f>
        <v>1213.146</v>
      </c>
      <c r="E105" s="845" t="s">
        <v>3028</v>
      </c>
      <c r="F105" s="831"/>
      <c r="G105" s="829"/>
      <c r="H105" s="832"/>
      <c r="I105" s="833"/>
      <c r="J105" s="834"/>
    </row>
    <row r="106" spans="1:10">
      <c r="A106" s="834"/>
      <c r="B106" s="831"/>
      <c r="C106" s="829"/>
      <c r="D106" s="832"/>
      <c r="E106" s="833"/>
      <c r="F106" s="831"/>
      <c r="G106" s="829"/>
      <c r="H106" s="832"/>
      <c r="I106" s="833"/>
      <c r="J106" s="834"/>
    </row>
    <row r="107" spans="1:10">
      <c r="A107" s="834"/>
      <c r="B107" s="831"/>
      <c r="C107" s="829"/>
      <c r="D107" s="832"/>
      <c r="E107" s="844" t="s">
        <v>3190</v>
      </c>
      <c r="F107" s="831"/>
      <c r="G107" s="829"/>
      <c r="H107" s="832"/>
      <c r="I107" s="833"/>
      <c r="J107" s="834" t="e">
        <f>#REF!*#REF!</f>
        <v>#REF!</v>
      </c>
    </row>
    <row r="108" spans="1:10">
      <c r="A108" s="834"/>
      <c r="B108" s="839"/>
      <c r="C108" s="839"/>
      <c r="D108" s="838">
        <f>'[23]Admin. Reinf'!K34+'[23]Admin. Reinf'!K60</f>
        <v>1414.2342999999996</v>
      </c>
      <c r="E108" s="845" t="s">
        <v>3113</v>
      </c>
      <c r="F108" s="831"/>
      <c r="G108" s="829"/>
      <c r="H108" s="832"/>
      <c r="I108" s="833"/>
      <c r="J108" s="834"/>
    </row>
    <row r="109" spans="1:10">
      <c r="A109" s="834"/>
      <c r="B109" s="831"/>
      <c r="C109" s="829"/>
      <c r="D109" s="832"/>
      <c r="E109" s="833"/>
      <c r="F109" s="831"/>
      <c r="G109" s="829"/>
      <c r="H109" s="832"/>
      <c r="I109" s="833"/>
      <c r="J109" s="834"/>
    </row>
    <row r="110" spans="1:10">
      <c r="A110" s="834"/>
      <c r="B110" s="831"/>
      <c r="C110" s="829"/>
      <c r="D110" s="832"/>
      <c r="E110" s="844" t="s">
        <v>3115</v>
      </c>
      <c r="F110" s="831"/>
      <c r="G110" s="829"/>
      <c r="H110" s="832"/>
      <c r="I110" s="833"/>
      <c r="J110" s="834"/>
    </row>
    <row r="111" spans="1:10">
      <c r="A111" s="834"/>
      <c r="B111" s="831"/>
      <c r="C111" s="829"/>
      <c r="D111" s="832"/>
      <c r="E111" s="833" t="s">
        <v>1916</v>
      </c>
      <c r="F111" s="831"/>
      <c r="G111" s="829"/>
      <c r="H111" s="832"/>
      <c r="I111" s="833"/>
      <c r="J111" s="834"/>
    </row>
    <row r="112" spans="1:10">
      <c r="A112" s="834"/>
      <c r="B112" s="831">
        <v>6</v>
      </c>
      <c r="C112" s="829">
        <v>21.7</v>
      </c>
      <c r="D112" s="832"/>
      <c r="E112" s="833" t="s">
        <v>3114</v>
      </c>
      <c r="F112" s="831"/>
      <c r="G112" s="829"/>
      <c r="H112" s="832"/>
      <c r="I112" s="833"/>
      <c r="J112" s="834"/>
    </row>
    <row r="113" spans="1:11">
      <c r="A113" s="834"/>
      <c r="B113" s="831"/>
      <c r="C113" s="829"/>
      <c r="D113" s="832">
        <f>B112*C112</f>
        <v>130.19999999999999</v>
      </c>
      <c r="E113" s="833"/>
      <c r="F113" s="831"/>
      <c r="G113" s="829"/>
      <c r="H113" s="832"/>
      <c r="I113" s="833"/>
      <c r="J113" s="834"/>
    </row>
    <row r="114" spans="1:11">
      <c r="A114" s="834"/>
      <c r="B114" s="831"/>
      <c r="C114" s="829"/>
      <c r="D114" s="832"/>
      <c r="E114" s="833" t="s">
        <v>1914</v>
      </c>
      <c r="F114" s="831"/>
      <c r="G114" s="829"/>
      <c r="H114" s="832"/>
      <c r="I114" s="833"/>
      <c r="J114" s="834"/>
    </row>
    <row r="115" spans="1:11">
      <c r="A115" s="834"/>
      <c r="B115" s="831">
        <v>8</v>
      </c>
      <c r="C115" s="829">
        <v>12.05</v>
      </c>
      <c r="D115" s="832"/>
      <c r="E115" s="833" t="s">
        <v>3107</v>
      </c>
      <c r="F115" s="831"/>
      <c r="G115" s="829"/>
      <c r="H115" s="832"/>
      <c r="I115" s="833"/>
      <c r="J115" s="834"/>
    </row>
    <row r="116" spans="1:11">
      <c r="A116" s="834"/>
      <c r="B116" s="831"/>
      <c r="C116" s="829"/>
      <c r="D116" s="832">
        <f>B115*C115</f>
        <v>96.4</v>
      </c>
      <c r="E116" s="833"/>
      <c r="F116" s="831"/>
      <c r="G116" s="829"/>
      <c r="H116" s="832"/>
      <c r="I116" s="833"/>
      <c r="J116" s="834"/>
    </row>
    <row r="117" spans="1:11">
      <c r="A117" s="834"/>
      <c r="B117" s="831"/>
      <c r="C117" s="829"/>
      <c r="D117" s="832"/>
      <c r="E117" s="833"/>
      <c r="F117" s="831"/>
      <c r="G117" s="829"/>
      <c r="H117" s="832"/>
      <c r="I117" s="833"/>
      <c r="J117" s="834"/>
    </row>
    <row r="118" spans="1:11">
      <c r="A118" s="834"/>
      <c r="B118" s="839"/>
      <c r="C118" s="839"/>
      <c r="D118" s="838">
        <f>D116+D113</f>
        <v>226.6</v>
      </c>
      <c r="E118" s="845" t="s">
        <v>3031</v>
      </c>
      <c r="F118" s="831"/>
      <c r="G118" s="829"/>
      <c r="H118" s="832"/>
      <c r="I118" s="833"/>
      <c r="J118" s="834"/>
      <c r="K118" s="834"/>
    </row>
    <row r="119" spans="1:11">
      <c r="A119" s="834"/>
      <c r="B119" s="831"/>
      <c r="C119" s="829"/>
      <c r="D119" s="832"/>
      <c r="E119" s="833"/>
      <c r="F119" s="831"/>
      <c r="G119" s="829"/>
      <c r="H119" s="832"/>
      <c r="I119" s="833"/>
      <c r="J119" s="834" t="e">
        <f>SUM(J107:J118)</f>
        <v>#REF!</v>
      </c>
      <c r="K119" s="834"/>
    </row>
    <row r="120" spans="1:11" s="998" customFormat="1">
      <c r="A120" s="834"/>
      <c r="B120" s="831"/>
      <c r="C120" s="829"/>
      <c r="D120" s="832"/>
      <c r="E120" s="833"/>
      <c r="F120" s="831"/>
      <c r="G120" s="829"/>
      <c r="H120" s="832"/>
      <c r="I120" s="833"/>
      <c r="J120" s="834"/>
      <c r="K120" s="834"/>
    </row>
    <row r="121" spans="1:11" s="998" customFormat="1">
      <c r="A121" s="834"/>
      <c r="B121" s="831"/>
      <c r="C121" s="829"/>
      <c r="D121" s="832"/>
      <c r="E121" s="833"/>
      <c r="F121" s="831"/>
      <c r="G121" s="829"/>
      <c r="H121" s="832"/>
      <c r="I121" s="833"/>
      <c r="J121" s="834"/>
    </row>
    <row r="122" spans="1:11" s="998" customFormat="1">
      <c r="A122" s="834"/>
      <c r="B122" s="849"/>
      <c r="C122" s="850"/>
      <c r="D122" s="851"/>
      <c r="E122" s="1163"/>
      <c r="F122" s="849"/>
      <c r="G122" s="850"/>
      <c r="H122" s="851"/>
      <c r="I122" s="1163"/>
      <c r="J122" s="834"/>
    </row>
    <row r="123" spans="1:11">
      <c r="C123" s="103"/>
      <c r="D123" s="103"/>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5" max="9"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7"/>
  <sheetViews>
    <sheetView view="pageBreakPreview" zoomScale="115" zoomScaleNormal="115" zoomScaleSheetLayoutView="115" zoomScalePageLayoutView="85" workbookViewId="0">
      <selection activeCell="H1" sqref="H1:I1"/>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07"/>
      <c r="H1" s="907"/>
      <c r="I1" s="908"/>
      <c r="J1" s="820"/>
    </row>
    <row r="2" spans="1:10">
      <c r="A2" s="818"/>
      <c r="B2" s="2059" t="s">
        <v>1917</v>
      </c>
      <c r="C2" s="2059"/>
      <c r="D2" s="2059"/>
      <c r="E2" s="2059"/>
      <c r="F2" s="819"/>
      <c r="G2" s="907"/>
      <c r="J2" s="818"/>
    </row>
    <row r="3" spans="1:10">
      <c r="A3" s="818"/>
      <c r="B3" s="2059" t="s">
        <v>1920</v>
      </c>
      <c r="C3" s="2059"/>
      <c r="D3" s="2059"/>
      <c r="E3" s="2059"/>
      <c r="F3" s="2059"/>
      <c r="G3" s="907"/>
      <c r="H3" s="2060" t="s">
        <v>2543</v>
      </c>
      <c r="I3" s="2060"/>
      <c r="J3" s="818"/>
    </row>
    <row r="4" spans="1:10">
      <c r="A4" s="818"/>
      <c r="B4" s="2059" t="s">
        <v>1921</v>
      </c>
      <c r="C4" s="2059"/>
      <c r="D4" s="2059"/>
      <c r="E4" s="2059"/>
      <c r="F4" s="819"/>
      <c r="G4" s="907"/>
      <c r="H4" s="2089"/>
      <c r="I4" s="2089"/>
      <c r="J4" s="818"/>
    </row>
    <row r="5" spans="1:10">
      <c r="A5" s="818"/>
      <c r="B5" s="824"/>
      <c r="C5" s="907"/>
      <c r="D5" s="907"/>
      <c r="E5" s="825"/>
      <c r="F5" s="819"/>
      <c r="G5" s="907"/>
      <c r="H5" s="827"/>
      <c r="I5" s="906"/>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435"/>
      <c r="G7" s="938"/>
      <c r="H7" s="843"/>
      <c r="I7" s="435" t="s">
        <v>882</v>
      </c>
    </row>
    <row r="8" spans="1:10">
      <c r="A8" s="818"/>
      <c r="B8" s="831"/>
      <c r="C8" s="829"/>
      <c r="D8" s="832"/>
      <c r="E8" s="844" t="s">
        <v>25</v>
      </c>
      <c r="F8" s="435"/>
      <c r="G8" s="435"/>
      <c r="H8" s="435"/>
      <c r="I8" s="435"/>
    </row>
    <row r="9" spans="1:10">
      <c r="A9" s="818"/>
      <c r="B9" s="831">
        <v>20</v>
      </c>
      <c r="C9" s="829">
        <v>0.2</v>
      </c>
      <c r="D9" s="832"/>
      <c r="E9" s="844" t="s">
        <v>27</v>
      </c>
      <c r="F9" s="839"/>
      <c r="G9" s="935"/>
      <c r="H9" s="838">
        <f>'Admin. Reinf'!M92</f>
        <v>1288.0617600000005</v>
      </c>
      <c r="I9" s="845" t="s">
        <v>2120</v>
      </c>
    </row>
    <row r="10" spans="1:10">
      <c r="A10" s="818"/>
      <c r="B10" s="831"/>
      <c r="C10" s="829">
        <v>0.2</v>
      </c>
      <c r="D10" s="832"/>
      <c r="E10" s="833" t="s">
        <v>738</v>
      </c>
      <c r="F10" s="435"/>
      <c r="G10" s="938"/>
      <c r="H10" s="843"/>
      <c r="I10" s="435"/>
    </row>
    <row r="11" spans="1:10">
      <c r="A11" s="818"/>
      <c r="B11" s="831"/>
      <c r="C11" s="829">
        <v>2.73</v>
      </c>
      <c r="D11" s="832"/>
      <c r="E11" s="833"/>
      <c r="F11" s="435"/>
      <c r="G11" s="938"/>
      <c r="H11" s="843"/>
      <c r="I11" s="435" t="s">
        <v>883</v>
      </c>
    </row>
    <row r="12" spans="1:10">
      <c r="A12" s="818"/>
      <c r="B12" s="839"/>
      <c r="C12" s="935"/>
      <c r="D12" s="838">
        <f>B9*C9*C10*C11</f>
        <v>2.1840000000000002</v>
      </c>
      <c r="E12" s="839" t="s">
        <v>2116</v>
      </c>
      <c r="F12" s="435"/>
      <c r="G12" s="435"/>
      <c r="H12" s="435"/>
      <c r="I12" s="435"/>
    </row>
    <row r="13" spans="1:10">
      <c r="A13" s="818"/>
      <c r="B13" s="831"/>
      <c r="C13" s="829"/>
      <c r="D13" s="832"/>
      <c r="E13" s="833"/>
      <c r="F13" s="839"/>
      <c r="G13" s="935"/>
      <c r="H13" s="838">
        <f>'Admin. Reinf'!K92</f>
        <v>366.28350000000006</v>
      </c>
      <c r="I13" s="845" t="s">
        <v>2339</v>
      </c>
    </row>
    <row r="14" spans="1:10">
      <c r="A14" s="818"/>
      <c r="B14" s="831"/>
      <c r="C14" s="829"/>
      <c r="D14" s="832"/>
      <c r="E14" s="844" t="s">
        <v>29</v>
      </c>
      <c r="F14" s="831"/>
      <c r="G14" s="829"/>
      <c r="H14" s="832"/>
      <c r="I14" s="833"/>
    </row>
    <row r="15" spans="1:10">
      <c r="A15" s="818"/>
      <c r="B15" s="831">
        <v>2</v>
      </c>
      <c r="C15" s="829">
        <v>22.9</v>
      </c>
      <c r="D15" s="832"/>
      <c r="E15" s="833" t="s">
        <v>30</v>
      </c>
      <c r="F15" s="831"/>
      <c r="G15" s="829"/>
      <c r="H15" s="832"/>
      <c r="I15" s="833" t="s">
        <v>350</v>
      </c>
    </row>
    <row r="16" spans="1:10">
      <c r="A16" s="818"/>
      <c r="B16" s="831"/>
      <c r="C16" s="829">
        <v>0.3</v>
      </c>
      <c r="D16" s="832"/>
      <c r="E16" s="833" t="s">
        <v>737</v>
      </c>
      <c r="F16" s="831"/>
      <c r="G16" s="829">
        <v>21.9</v>
      </c>
      <c r="H16" s="832"/>
      <c r="I16" s="833" t="s">
        <v>65</v>
      </c>
    </row>
    <row r="17" spans="1:9">
      <c r="A17" s="818"/>
      <c r="B17" s="831"/>
      <c r="C17" s="829">
        <v>0.2</v>
      </c>
      <c r="D17" s="832"/>
      <c r="E17" s="833"/>
      <c r="F17" s="831">
        <v>1</v>
      </c>
      <c r="G17" s="829">
        <v>2.73</v>
      </c>
      <c r="H17" s="832"/>
      <c r="I17" s="833" t="s">
        <v>884</v>
      </c>
    </row>
    <row r="18" spans="1:9">
      <c r="A18" s="818"/>
      <c r="B18" s="831"/>
      <c r="C18" s="829"/>
      <c r="D18" s="832">
        <f>B15*C15*C16*C17</f>
        <v>2.7479999999999998</v>
      </c>
      <c r="E18" s="833"/>
      <c r="F18" s="831"/>
      <c r="G18" s="829"/>
      <c r="H18" s="832">
        <f>G16*G17*F17</f>
        <v>59.786999999999999</v>
      </c>
      <c r="I18" s="833"/>
    </row>
    <row r="19" spans="1:9">
      <c r="A19" s="818"/>
      <c r="B19" s="831">
        <v>2</v>
      </c>
      <c r="C19" s="829">
        <v>22.9</v>
      </c>
      <c r="D19" s="832"/>
      <c r="E19" s="833" t="s">
        <v>496</v>
      </c>
      <c r="F19" s="831"/>
      <c r="G19" s="829">
        <v>1.6</v>
      </c>
      <c r="H19" s="832"/>
      <c r="I19" s="833"/>
    </row>
    <row r="20" spans="1:9">
      <c r="A20" s="818"/>
      <c r="B20" s="831"/>
      <c r="C20" s="829">
        <v>0.3</v>
      </c>
      <c r="D20" s="832"/>
      <c r="E20" s="833" t="s">
        <v>740</v>
      </c>
      <c r="F20" s="831">
        <v>1</v>
      </c>
      <c r="G20" s="829">
        <v>1.63</v>
      </c>
      <c r="H20" s="832"/>
      <c r="I20" s="833" t="s">
        <v>886</v>
      </c>
    </row>
    <row r="21" spans="1:9">
      <c r="A21" s="818"/>
      <c r="B21" s="831"/>
      <c r="C21" s="829">
        <v>0.2</v>
      </c>
      <c r="D21" s="832"/>
      <c r="E21" s="833"/>
      <c r="F21" s="831"/>
      <c r="G21" s="829"/>
      <c r="H21" s="832">
        <f>-G19*G20*F20</f>
        <v>-2.6080000000000001</v>
      </c>
      <c r="I21" s="833"/>
    </row>
    <row r="22" spans="1:9">
      <c r="A22" s="818"/>
      <c r="B22" s="831"/>
      <c r="C22" s="829"/>
      <c r="D22" s="832">
        <f>B19*C19*C20*C21</f>
        <v>2.7479999999999998</v>
      </c>
      <c r="E22" s="833"/>
      <c r="F22" s="831"/>
      <c r="G22" s="829">
        <v>1.5</v>
      </c>
      <c r="H22" s="832"/>
      <c r="I22" s="833"/>
    </row>
    <row r="23" spans="1:9">
      <c r="A23" s="818"/>
      <c r="B23" s="831">
        <v>2</v>
      </c>
      <c r="C23" s="829">
        <v>12.2</v>
      </c>
      <c r="D23" s="832"/>
      <c r="E23" s="833" t="s">
        <v>37</v>
      </c>
      <c r="F23" s="831">
        <v>6</v>
      </c>
      <c r="G23" s="829">
        <v>1.63</v>
      </c>
      <c r="H23" s="832"/>
      <c r="I23" s="833" t="s">
        <v>352</v>
      </c>
    </row>
    <row r="24" spans="1:9">
      <c r="A24" s="818"/>
      <c r="B24" s="831"/>
      <c r="C24" s="829">
        <v>0.3</v>
      </c>
      <c r="D24" s="832"/>
      <c r="E24" s="833" t="s">
        <v>739</v>
      </c>
      <c r="F24" s="831"/>
      <c r="G24" s="829"/>
      <c r="H24" s="832">
        <f>-G22*G23*F23</f>
        <v>-14.669999999999998</v>
      </c>
      <c r="I24" s="833"/>
    </row>
    <row r="25" spans="1:9">
      <c r="A25" s="818"/>
      <c r="B25" s="831"/>
      <c r="C25" s="829">
        <v>0.2</v>
      </c>
      <c r="D25" s="832"/>
      <c r="E25" s="833"/>
      <c r="F25" s="831"/>
      <c r="G25" s="829">
        <v>1.2</v>
      </c>
      <c r="H25" s="832"/>
      <c r="I25" s="833"/>
    </row>
    <row r="26" spans="1:9">
      <c r="A26" s="818"/>
      <c r="B26" s="831"/>
      <c r="C26" s="829"/>
      <c r="D26" s="832">
        <f>B23*C23*C24*C25</f>
        <v>1.464</v>
      </c>
      <c r="E26" s="833"/>
      <c r="F26" s="831">
        <v>2</v>
      </c>
      <c r="G26" s="829">
        <v>0.6</v>
      </c>
      <c r="H26" s="832"/>
      <c r="I26" s="833" t="s">
        <v>887</v>
      </c>
    </row>
    <row r="27" spans="1:9">
      <c r="A27" s="818"/>
      <c r="B27" s="831">
        <v>3</v>
      </c>
      <c r="C27" s="829">
        <v>12.2</v>
      </c>
      <c r="D27" s="832"/>
      <c r="E27" s="833" t="s">
        <v>881</v>
      </c>
      <c r="F27" s="831"/>
      <c r="G27" s="829"/>
      <c r="H27" s="832">
        <f>-G25*G26*F26</f>
        <v>-1.44</v>
      </c>
      <c r="I27" s="833"/>
    </row>
    <row r="28" spans="1:9">
      <c r="A28" s="818"/>
      <c r="B28" s="831"/>
      <c r="C28" s="829">
        <v>0.3</v>
      </c>
      <c r="D28" s="832"/>
      <c r="E28" s="833" t="s">
        <v>742</v>
      </c>
      <c r="F28" s="831"/>
      <c r="G28" s="829">
        <v>21.9</v>
      </c>
      <c r="H28" s="832"/>
      <c r="I28" s="833"/>
    </row>
    <row r="29" spans="1:9">
      <c r="A29" s="818"/>
      <c r="B29" s="831"/>
      <c r="C29" s="829">
        <v>0.2</v>
      </c>
      <c r="D29" s="832"/>
      <c r="E29" s="833"/>
      <c r="F29" s="831">
        <v>1</v>
      </c>
      <c r="G29" s="829">
        <v>2.73</v>
      </c>
      <c r="H29" s="832"/>
      <c r="I29" s="833" t="s">
        <v>888</v>
      </c>
    </row>
    <row r="30" spans="1:9">
      <c r="A30" s="818"/>
      <c r="B30" s="831"/>
      <c r="C30" s="829"/>
      <c r="D30" s="832">
        <f>B27*C27*C28*C29</f>
        <v>2.1959999999999997</v>
      </c>
      <c r="E30" s="833">
        <f>SUM(D18:D30)</f>
        <v>9.1559999999999988</v>
      </c>
      <c r="F30" s="831"/>
      <c r="G30" s="829"/>
      <c r="H30" s="832">
        <f>G28*G29*F29</f>
        <v>59.786999999999999</v>
      </c>
      <c r="I30" s="833"/>
    </row>
    <row r="31" spans="1:9">
      <c r="A31" s="818"/>
      <c r="B31" s="831"/>
      <c r="C31" s="829"/>
      <c r="D31" s="832"/>
      <c r="E31" s="833"/>
      <c r="F31" s="831"/>
      <c r="G31" s="829">
        <v>1.6</v>
      </c>
      <c r="H31" s="832"/>
      <c r="I31" s="833"/>
    </row>
    <row r="32" spans="1:9">
      <c r="A32" s="818"/>
      <c r="B32" s="839"/>
      <c r="C32" s="935"/>
      <c r="D32" s="838">
        <f>SUM(D17:D31)</f>
        <v>9.1559999999999988</v>
      </c>
      <c r="E32" s="839" t="s">
        <v>2142</v>
      </c>
      <c r="F32" s="831">
        <v>2</v>
      </c>
      <c r="G32" s="829">
        <v>1.63</v>
      </c>
      <c r="H32" s="832"/>
      <c r="I32" s="833" t="s">
        <v>890</v>
      </c>
    </row>
    <row r="33" spans="1:9">
      <c r="A33" s="818"/>
      <c r="B33" s="831"/>
      <c r="C33" s="829"/>
      <c r="D33" s="832"/>
      <c r="E33" s="833"/>
      <c r="F33" s="831"/>
      <c r="G33" s="829"/>
      <c r="H33" s="832">
        <f>-G31*G32*F32</f>
        <v>-5.2160000000000002</v>
      </c>
      <c r="I33" s="833"/>
    </row>
    <row r="34" spans="1:9">
      <c r="A34" s="818"/>
      <c r="B34" s="831"/>
      <c r="C34" s="829"/>
      <c r="D34" s="832"/>
      <c r="E34" s="844" t="s">
        <v>32</v>
      </c>
      <c r="F34" s="831"/>
      <c r="G34" s="829">
        <v>1.5</v>
      </c>
      <c r="H34" s="832"/>
      <c r="I34" s="833"/>
    </row>
    <row r="35" spans="1:9">
      <c r="A35" s="818"/>
      <c r="B35" s="831">
        <v>20</v>
      </c>
      <c r="C35" s="829">
        <v>0.8</v>
      </c>
      <c r="D35" s="832"/>
      <c r="E35" s="844" t="s">
        <v>33</v>
      </c>
      <c r="F35" s="831">
        <v>7</v>
      </c>
      <c r="G35" s="829">
        <v>1.63</v>
      </c>
      <c r="H35" s="832"/>
      <c r="I35" s="833" t="s">
        <v>352</v>
      </c>
    </row>
    <row r="36" spans="1:9">
      <c r="A36" s="818"/>
      <c r="B36" s="831"/>
      <c r="C36" s="829">
        <v>2.73</v>
      </c>
      <c r="D36" s="832"/>
      <c r="E36" s="833" t="s">
        <v>414</v>
      </c>
      <c r="F36" s="831"/>
      <c r="G36" s="829"/>
      <c r="H36" s="832">
        <f>-G34*G35*F35</f>
        <v>-17.114999999999998</v>
      </c>
      <c r="I36" s="833"/>
    </row>
    <row r="37" spans="1:9">
      <c r="A37" s="818"/>
      <c r="B37" s="839"/>
      <c r="C37" s="935"/>
      <c r="D37" s="838">
        <f>C35*C36*B35</f>
        <v>43.680000000000007</v>
      </c>
      <c r="E37" s="839" t="s">
        <v>2117</v>
      </c>
      <c r="F37" s="831"/>
      <c r="G37" s="829">
        <v>12.2</v>
      </c>
      <c r="H37" s="832"/>
      <c r="I37" s="833"/>
    </row>
    <row r="38" spans="1:9">
      <c r="A38" s="818"/>
      <c r="B38" s="831"/>
      <c r="C38" s="829"/>
      <c r="D38" s="832"/>
      <c r="E38" s="833"/>
      <c r="F38" s="831">
        <v>2</v>
      </c>
      <c r="G38" s="829">
        <v>2.73</v>
      </c>
      <c r="H38" s="832"/>
      <c r="I38" s="833" t="s">
        <v>892</v>
      </c>
    </row>
    <row r="39" spans="1:9">
      <c r="A39" s="818"/>
      <c r="B39" s="831"/>
      <c r="C39" s="829"/>
      <c r="D39" s="832"/>
      <c r="E39" s="844" t="s">
        <v>38</v>
      </c>
      <c r="F39" s="831"/>
      <c r="G39" s="829"/>
      <c r="H39" s="832">
        <f>G37*G38*F38</f>
        <v>66.611999999999995</v>
      </c>
      <c r="I39" s="833"/>
    </row>
    <row r="40" spans="1:9">
      <c r="A40" s="818"/>
      <c r="B40" s="831">
        <v>2</v>
      </c>
      <c r="C40" s="829">
        <v>21.9</v>
      </c>
      <c r="D40" s="832"/>
      <c r="E40" s="833" t="s">
        <v>30</v>
      </c>
      <c r="F40" s="831"/>
      <c r="G40" s="829">
        <v>1.2</v>
      </c>
      <c r="H40" s="832"/>
      <c r="I40" s="833"/>
    </row>
    <row r="41" spans="1:9">
      <c r="A41" s="818"/>
      <c r="B41" s="831"/>
      <c r="C41" s="829">
        <v>0.8</v>
      </c>
      <c r="D41" s="832"/>
      <c r="E41" s="833" t="s">
        <v>880</v>
      </c>
      <c r="F41" s="831">
        <v>1</v>
      </c>
      <c r="G41" s="829">
        <v>2.73</v>
      </c>
      <c r="H41" s="832"/>
      <c r="I41" s="833" t="s">
        <v>893</v>
      </c>
    </row>
    <row r="42" spans="1:9">
      <c r="A42" s="818"/>
      <c r="B42" s="831"/>
      <c r="C42" s="829"/>
      <c r="D42" s="832">
        <f>B40*C41*C40</f>
        <v>35.04</v>
      </c>
      <c r="E42" s="833" t="s">
        <v>40</v>
      </c>
      <c r="F42" s="831"/>
      <c r="G42" s="829"/>
      <c r="H42" s="832">
        <f>-G40*G41*F41</f>
        <v>-3.2759999999999998</v>
      </c>
      <c r="I42" s="833"/>
    </row>
    <row r="43" spans="1:9">
      <c r="A43" s="818"/>
      <c r="B43" s="831"/>
      <c r="C43" s="829"/>
      <c r="D43" s="832"/>
      <c r="E43" s="833"/>
      <c r="F43" s="831"/>
      <c r="G43" s="829">
        <v>1.5</v>
      </c>
      <c r="H43" s="832"/>
      <c r="I43" s="833"/>
    </row>
    <row r="44" spans="1:9">
      <c r="A44" s="818"/>
      <c r="B44" s="831">
        <v>18</v>
      </c>
      <c r="C44" s="829">
        <v>0.3</v>
      </c>
      <c r="D44" s="832"/>
      <c r="E44" s="833"/>
      <c r="F44" s="831">
        <v>3</v>
      </c>
      <c r="G44" s="829">
        <v>1.63</v>
      </c>
      <c r="H44" s="832"/>
      <c r="I44" s="833" t="s">
        <v>79</v>
      </c>
    </row>
    <row r="45" spans="1:9">
      <c r="A45" s="818"/>
      <c r="B45" s="831"/>
      <c r="C45" s="829">
        <v>0.2</v>
      </c>
      <c r="D45" s="832"/>
      <c r="E45" s="833"/>
      <c r="F45" s="831"/>
      <c r="G45" s="829"/>
      <c r="H45" s="832">
        <f>-G43*G44*F44</f>
        <v>-7.3349999999999991</v>
      </c>
      <c r="I45" s="833"/>
    </row>
    <row r="46" spans="1:9">
      <c r="A46" s="818"/>
      <c r="B46" s="831"/>
      <c r="C46" s="829"/>
      <c r="D46" s="832">
        <f>C44*C45*B44</f>
        <v>1.08</v>
      </c>
      <c r="E46" s="833"/>
      <c r="F46" s="831"/>
      <c r="G46" s="829">
        <v>1.05</v>
      </c>
      <c r="H46" s="832"/>
      <c r="I46" s="833"/>
    </row>
    <row r="47" spans="1:9">
      <c r="A47" s="818"/>
      <c r="B47" s="831"/>
      <c r="C47" s="829"/>
      <c r="D47" s="832"/>
      <c r="E47" s="833"/>
      <c r="F47" s="831">
        <v>2</v>
      </c>
      <c r="G47" s="829">
        <v>13</v>
      </c>
      <c r="H47" s="832"/>
      <c r="I47" s="833" t="s">
        <v>911</v>
      </c>
    </row>
    <row r="48" spans="1:9">
      <c r="A48" s="818"/>
      <c r="B48" s="831">
        <v>2</v>
      </c>
      <c r="C48" s="829">
        <v>21.9</v>
      </c>
      <c r="D48" s="832"/>
      <c r="E48" s="833" t="s">
        <v>496</v>
      </c>
      <c r="F48" s="831"/>
      <c r="G48" s="829"/>
      <c r="H48" s="832">
        <f>G46*G47*F47</f>
        <v>27.3</v>
      </c>
      <c r="I48" s="833"/>
    </row>
    <row r="49" spans="1:10">
      <c r="A49" s="818"/>
      <c r="B49" s="831"/>
      <c r="C49" s="829">
        <v>0.8</v>
      </c>
      <c r="D49" s="832"/>
      <c r="E49" s="833" t="s">
        <v>468</v>
      </c>
      <c r="F49" s="831"/>
      <c r="G49" s="829">
        <v>22.9</v>
      </c>
      <c r="H49" s="832"/>
      <c r="I49" s="833"/>
    </row>
    <row r="50" spans="1:10">
      <c r="A50" s="818"/>
      <c r="B50" s="831"/>
      <c r="C50" s="829"/>
      <c r="D50" s="832">
        <f>B48*C49*C48</f>
        <v>35.04</v>
      </c>
      <c r="E50" s="833" t="s">
        <v>40</v>
      </c>
      <c r="F50" s="831">
        <v>2</v>
      </c>
      <c r="G50" s="829">
        <v>0.2</v>
      </c>
      <c r="H50" s="832"/>
      <c r="I50" s="833" t="s">
        <v>2413</v>
      </c>
    </row>
    <row r="51" spans="1:10">
      <c r="A51" s="818"/>
      <c r="B51" s="831"/>
      <c r="C51" s="829"/>
      <c r="D51" s="832"/>
      <c r="E51" s="833"/>
      <c r="F51" s="831"/>
      <c r="G51" s="829"/>
      <c r="H51" s="832">
        <f>G49*G50*F50</f>
        <v>9.16</v>
      </c>
      <c r="I51" s="833"/>
    </row>
    <row r="52" spans="1:10">
      <c r="A52" s="818"/>
      <c r="B52" s="831">
        <v>2</v>
      </c>
      <c r="C52" s="829">
        <v>12.2</v>
      </c>
      <c r="D52" s="832"/>
      <c r="E52" s="833" t="s">
        <v>37</v>
      </c>
      <c r="F52" s="831"/>
      <c r="G52" s="829"/>
      <c r="H52" s="832"/>
      <c r="I52" s="833"/>
    </row>
    <row r="53" spans="1:10">
      <c r="A53" s="818"/>
      <c r="B53" s="831"/>
      <c r="C53" s="829">
        <v>0.8</v>
      </c>
      <c r="D53" s="832"/>
      <c r="E53" s="833" t="s">
        <v>739</v>
      </c>
      <c r="F53" s="839"/>
      <c r="G53" s="935"/>
      <c r="H53" s="838">
        <f>SUM(H18:H52)</f>
        <v>170.98599999999999</v>
      </c>
      <c r="I53" s="839" t="s">
        <v>2122</v>
      </c>
    </row>
    <row r="54" spans="1:10">
      <c r="A54" s="818"/>
      <c r="B54" s="831"/>
      <c r="C54" s="829"/>
      <c r="D54" s="832">
        <f>B52*C53*C52</f>
        <v>19.52</v>
      </c>
      <c r="E54" s="833" t="s">
        <v>40</v>
      </c>
      <c r="F54" s="831"/>
      <c r="G54" s="829"/>
      <c r="H54" s="832"/>
      <c r="I54" s="833"/>
    </row>
    <row r="55" spans="1:10">
      <c r="A55" s="818"/>
      <c r="B55" s="831"/>
      <c r="C55" s="829"/>
      <c r="D55" s="832"/>
      <c r="E55" s="833"/>
      <c r="F55" s="831"/>
      <c r="G55" s="829"/>
      <c r="H55" s="832"/>
      <c r="I55" s="844" t="s">
        <v>86</v>
      </c>
    </row>
    <row r="56" spans="1:10">
      <c r="A56" s="818"/>
      <c r="B56" s="831">
        <v>3</v>
      </c>
      <c r="C56" s="829">
        <v>12.2</v>
      </c>
      <c r="D56" s="832"/>
      <c r="E56" s="833" t="s">
        <v>881</v>
      </c>
      <c r="F56" s="831">
        <v>2</v>
      </c>
      <c r="G56" s="829">
        <v>21.9</v>
      </c>
      <c r="H56" s="832"/>
      <c r="I56" s="833" t="s">
        <v>885</v>
      </c>
    </row>
    <row r="57" spans="1:10">
      <c r="A57" s="818"/>
      <c r="B57" s="831"/>
      <c r="C57" s="829">
        <v>0.8</v>
      </c>
      <c r="D57" s="832"/>
      <c r="E57" s="833" t="s">
        <v>742</v>
      </c>
      <c r="F57" s="831"/>
      <c r="G57" s="829">
        <v>2.73</v>
      </c>
      <c r="H57" s="832"/>
      <c r="I57" s="833"/>
    </row>
    <row r="58" spans="1:10">
      <c r="A58" s="818"/>
      <c r="B58" s="831"/>
      <c r="C58" s="829"/>
      <c r="D58" s="832">
        <f>B56*C57*C56</f>
        <v>29.28</v>
      </c>
      <c r="E58" s="833" t="s">
        <v>40</v>
      </c>
      <c r="F58" s="831"/>
      <c r="G58" s="829"/>
      <c r="H58" s="832">
        <f>G56*G57*F56</f>
        <v>119.574</v>
      </c>
      <c r="I58" s="833"/>
    </row>
    <row r="59" spans="1:10">
      <c r="A59" s="818"/>
      <c r="B59" s="831"/>
      <c r="C59" s="829"/>
      <c r="D59" s="832"/>
      <c r="E59" s="833"/>
      <c r="F59" s="831">
        <v>5</v>
      </c>
      <c r="G59" s="829">
        <v>1.4</v>
      </c>
      <c r="H59" s="832"/>
      <c r="I59" s="833" t="s">
        <v>501</v>
      </c>
    </row>
    <row r="60" spans="1:10">
      <c r="A60" s="818"/>
      <c r="B60" s="839"/>
      <c r="C60" s="935"/>
      <c r="D60" s="838">
        <f>SUM(D41:D58)</f>
        <v>119.96</v>
      </c>
      <c r="E60" s="839" t="s">
        <v>2118</v>
      </c>
      <c r="F60" s="831"/>
      <c r="G60" s="829">
        <v>2.73</v>
      </c>
      <c r="H60" s="832"/>
      <c r="I60" s="833"/>
    </row>
    <row r="61" spans="1:10">
      <c r="A61" s="818"/>
      <c r="B61" s="831"/>
      <c r="C61" s="829"/>
      <c r="D61" s="832"/>
      <c r="E61" s="833"/>
      <c r="F61" s="847"/>
      <c r="G61" s="829"/>
      <c r="H61" s="832">
        <f>-G59*G60*F59</f>
        <v>-19.11</v>
      </c>
      <c r="I61" s="435"/>
    </row>
    <row r="62" spans="1:10">
      <c r="A62" s="818"/>
      <c r="B62" s="849"/>
      <c r="C62" s="850"/>
      <c r="D62" s="851"/>
      <c r="E62" s="852"/>
      <c r="F62" s="849"/>
      <c r="G62" s="850"/>
      <c r="H62" s="851"/>
      <c r="I62" s="852"/>
    </row>
    <row r="63" spans="1:10">
      <c r="A63" s="828"/>
      <c r="B63" s="853" t="s">
        <v>1884</v>
      </c>
      <c r="C63" s="854" t="s">
        <v>526</v>
      </c>
      <c r="D63" s="855" t="s">
        <v>1885</v>
      </c>
      <c r="E63" s="854" t="s">
        <v>1886</v>
      </c>
      <c r="F63" s="853" t="s">
        <v>1884</v>
      </c>
      <c r="G63" s="855" t="s">
        <v>526</v>
      </c>
      <c r="H63" s="856" t="s">
        <v>1885</v>
      </c>
      <c r="I63" s="854" t="s">
        <v>1886</v>
      </c>
      <c r="J63" s="828"/>
    </row>
    <row r="64" spans="1:10">
      <c r="A64" s="818"/>
      <c r="B64" s="831">
        <v>2</v>
      </c>
      <c r="C64" s="829">
        <v>0.9</v>
      </c>
      <c r="D64" s="832"/>
      <c r="E64" s="833" t="s">
        <v>93</v>
      </c>
      <c r="F64" s="831"/>
      <c r="G64" s="829"/>
      <c r="H64" s="832"/>
      <c r="I64" s="844" t="s">
        <v>109</v>
      </c>
    </row>
    <row r="65" spans="1:9">
      <c r="A65" s="818"/>
      <c r="B65" s="831"/>
      <c r="C65" s="829">
        <v>2.73</v>
      </c>
      <c r="D65" s="832">
        <f>-C64*C65*B64</f>
        <v>-4.9139999999999997</v>
      </c>
      <c r="E65" s="833"/>
      <c r="F65" s="831">
        <v>18</v>
      </c>
      <c r="G65" s="829">
        <v>14.52</v>
      </c>
      <c r="H65" s="832"/>
      <c r="I65" s="844" t="s">
        <v>896</v>
      </c>
    </row>
    <row r="66" spans="1:9">
      <c r="A66" s="818"/>
      <c r="B66" s="831"/>
      <c r="C66" s="829"/>
      <c r="D66" s="832"/>
      <c r="E66" s="833"/>
      <c r="F66" s="831"/>
      <c r="G66" s="829"/>
      <c r="H66" s="832">
        <f>F65*G65</f>
        <v>261.36</v>
      </c>
      <c r="I66" s="833" t="s">
        <v>897</v>
      </c>
    </row>
    <row r="67" spans="1:9">
      <c r="A67" s="818"/>
      <c r="B67" s="831">
        <v>1</v>
      </c>
      <c r="C67" s="829">
        <v>1.1499999999999999</v>
      </c>
      <c r="D67" s="832"/>
      <c r="E67" s="833" t="s">
        <v>205</v>
      </c>
      <c r="F67" s="831">
        <v>18</v>
      </c>
      <c r="G67" s="829">
        <v>13.8</v>
      </c>
      <c r="H67" s="832">
        <f>F66*G66</f>
        <v>0</v>
      </c>
      <c r="I67" s="833" t="s">
        <v>898</v>
      </c>
    </row>
    <row r="68" spans="1:9">
      <c r="A68" s="818"/>
      <c r="B68" s="831"/>
      <c r="C68" s="829">
        <v>2.73</v>
      </c>
      <c r="D68" s="832">
        <f>-C67*C68*B67</f>
        <v>-3.1395</v>
      </c>
      <c r="E68" s="833"/>
      <c r="F68" s="831"/>
      <c r="G68" s="829"/>
      <c r="H68" s="832">
        <f>F67*G67</f>
        <v>248.4</v>
      </c>
      <c r="I68" s="833"/>
    </row>
    <row r="69" spans="1:9">
      <c r="A69" s="818"/>
      <c r="B69" s="831"/>
      <c r="C69" s="829"/>
      <c r="D69" s="832"/>
      <c r="E69" s="833"/>
      <c r="F69" s="831"/>
      <c r="G69" s="829"/>
      <c r="H69" s="832"/>
      <c r="I69" s="833"/>
    </row>
    <row r="70" spans="1:9">
      <c r="A70" s="818"/>
      <c r="B70" s="831">
        <v>1</v>
      </c>
      <c r="C70" s="829">
        <v>10.199999999999999</v>
      </c>
      <c r="D70" s="832"/>
      <c r="E70" s="833" t="s">
        <v>889</v>
      </c>
      <c r="F70" s="839"/>
      <c r="G70" s="935"/>
      <c r="H70" s="838">
        <f>SUM(H66:H69)</f>
        <v>509.76</v>
      </c>
      <c r="I70" s="839" t="s">
        <v>2127</v>
      </c>
    </row>
    <row r="71" spans="1:9">
      <c r="A71" s="818"/>
      <c r="B71" s="831"/>
      <c r="C71" s="829">
        <v>2.73</v>
      </c>
      <c r="D71" s="832">
        <f>C70*C71*B70</f>
        <v>27.845999999999997</v>
      </c>
      <c r="E71" s="833"/>
      <c r="F71" s="831"/>
      <c r="G71" s="829"/>
      <c r="H71" s="832"/>
      <c r="I71" s="833"/>
    </row>
    <row r="72" spans="1:9">
      <c r="A72" s="818"/>
      <c r="B72" s="831"/>
      <c r="C72" s="829"/>
      <c r="D72" s="832"/>
      <c r="E72" s="833"/>
      <c r="F72" s="831"/>
      <c r="G72" s="829"/>
      <c r="H72" s="832"/>
      <c r="I72" s="844" t="s">
        <v>114</v>
      </c>
    </row>
    <row r="73" spans="1:9">
      <c r="A73" s="818"/>
      <c r="B73" s="831">
        <v>3</v>
      </c>
      <c r="C73" s="829">
        <v>5.15</v>
      </c>
      <c r="D73" s="832"/>
      <c r="E73" s="833" t="s">
        <v>891</v>
      </c>
      <c r="F73" s="831"/>
      <c r="G73" s="829"/>
      <c r="H73" s="832"/>
      <c r="I73" s="833"/>
    </row>
    <row r="74" spans="1:9">
      <c r="A74" s="818"/>
      <c r="B74" s="831"/>
      <c r="C74" s="829">
        <v>2.93</v>
      </c>
      <c r="D74" s="832">
        <f>C73*C74*B73</f>
        <v>45.268500000000003</v>
      </c>
      <c r="E74" s="833"/>
      <c r="F74" s="831">
        <v>18</v>
      </c>
      <c r="G74" s="829">
        <v>14.62</v>
      </c>
      <c r="H74" s="832"/>
      <c r="I74" s="833" t="s">
        <v>899</v>
      </c>
    </row>
    <row r="75" spans="1:9">
      <c r="A75" s="818"/>
      <c r="B75" s="831"/>
      <c r="C75" s="829"/>
      <c r="D75" s="832"/>
      <c r="E75" s="833"/>
      <c r="F75" s="831"/>
      <c r="G75" s="829"/>
      <c r="H75" s="832">
        <f>F74*G74</f>
        <v>263.15999999999997</v>
      </c>
      <c r="I75" s="833"/>
    </row>
    <row r="76" spans="1:9">
      <c r="A76" s="818"/>
      <c r="B76" s="831">
        <v>1</v>
      </c>
      <c r="C76" s="829">
        <v>5.0999999999999996</v>
      </c>
      <c r="D76" s="832"/>
      <c r="E76" s="833"/>
      <c r="F76" s="831">
        <v>18</v>
      </c>
      <c r="G76" s="829">
        <v>18.64</v>
      </c>
      <c r="H76" s="832">
        <f>F75*G75</f>
        <v>0</v>
      </c>
      <c r="I76" s="833" t="s">
        <v>900</v>
      </c>
    </row>
    <row r="77" spans="1:9">
      <c r="A77" s="818"/>
      <c r="B77" s="831"/>
      <c r="C77" s="829">
        <v>2.73</v>
      </c>
      <c r="D77" s="832">
        <f>C76*C77*B76</f>
        <v>13.922999999999998</v>
      </c>
      <c r="E77" s="833"/>
      <c r="F77" s="831"/>
      <c r="G77" s="829"/>
      <c r="H77" s="832">
        <f>F76*G76</f>
        <v>335.52</v>
      </c>
      <c r="I77" s="833"/>
    </row>
    <row r="78" spans="1:9">
      <c r="A78" s="818"/>
      <c r="B78" s="831"/>
      <c r="C78" s="829"/>
      <c r="D78" s="832"/>
      <c r="E78" s="833"/>
      <c r="F78" s="831"/>
      <c r="G78" s="829"/>
      <c r="H78" s="832"/>
      <c r="I78" s="833"/>
    </row>
    <row r="79" spans="1:9">
      <c r="A79" s="818"/>
      <c r="B79" s="831">
        <v>2</v>
      </c>
      <c r="C79" s="829">
        <v>2.5499999999999998</v>
      </c>
      <c r="D79" s="832"/>
      <c r="E79" s="833" t="s">
        <v>118</v>
      </c>
      <c r="F79" s="839"/>
      <c r="G79" s="935"/>
      <c r="H79" s="838">
        <f>SUM(H75:H78)</f>
        <v>598.67999999999995</v>
      </c>
      <c r="I79" s="839" t="s">
        <v>2128</v>
      </c>
    </row>
    <row r="80" spans="1:9">
      <c r="A80" s="818"/>
      <c r="B80" s="831"/>
      <c r="C80" s="829">
        <v>3.06</v>
      </c>
      <c r="D80" s="832">
        <f>C79*C80*B79</f>
        <v>15.606</v>
      </c>
      <c r="E80" s="833"/>
      <c r="F80" s="831"/>
      <c r="G80" s="829"/>
      <c r="H80" s="832"/>
      <c r="I80" s="833"/>
    </row>
    <row r="81" spans="1:9">
      <c r="A81" s="818"/>
      <c r="B81" s="831"/>
      <c r="C81" s="829"/>
      <c r="D81" s="832"/>
      <c r="E81" s="833"/>
      <c r="F81" s="831"/>
      <c r="G81" s="829"/>
      <c r="H81" s="832"/>
      <c r="I81" s="844" t="s">
        <v>117</v>
      </c>
    </row>
    <row r="82" spans="1:9">
      <c r="A82" s="818"/>
      <c r="B82" s="831">
        <v>1</v>
      </c>
      <c r="C82" s="829">
        <v>3.5</v>
      </c>
      <c r="D82" s="832"/>
      <c r="E82" s="833"/>
      <c r="F82" s="831"/>
      <c r="G82" s="829"/>
      <c r="H82" s="832"/>
      <c r="I82" s="833" t="s">
        <v>901</v>
      </c>
    </row>
    <row r="83" spans="1:9">
      <c r="A83" s="818"/>
      <c r="B83" s="831"/>
      <c r="C83" s="829">
        <v>3.06</v>
      </c>
      <c r="D83" s="832">
        <f>C82*C83*B82</f>
        <v>10.71</v>
      </c>
      <c r="E83" s="833"/>
      <c r="F83" s="831">
        <v>18</v>
      </c>
      <c r="G83" s="829">
        <v>24.1</v>
      </c>
      <c r="H83" s="832"/>
      <c r="I83" s="833" t="s">
        <v>902</v>
      </c>
    </row>
    <row r="84" spans="1:9">
      <c r="A84" s="818"/>
      <c r="B84" s="831"/>
      <c r="C84" s="829"/>
      <c r="D84" s="832"/>
      <c r="E84" s="833"/>
      <c r="F84" s="839"/>
      <c r="G84" s="935"/>
      <c r="H84" s="838">
        <f>F83*G83</f>
        <v>433.8</v>
      </c>
      <c r="I84" s="839" t="s">
        <v>2349</v>
      </c>
    </row>
    <row r="85" spans="1:9">
      <c r="A85" s="818"/>
      <c r="B85" s="831">
        <v>4</v>
      </c>
      <c r="C85" s="829">
        <v>0.7</v>
      </c>
      <c r="D85" s="832"/>
      <c r="E85" s="833" t="s">
        <v>423</v>
      </c>
      <c r="F85" s="831"/>
      <c r="G85" s="829"/>
      <c r="H85" s="832"/>
      <c r="I85" s="844"/>
    </row>
    <row r="86" spans="1:9">
      <c r="A86" s="818"/>
      <c r="B86" s="831"/>
      <c r="C86" s="829">
        <v>2.73</v>
      </c>
      <c r="D86" s="832">
        <f>-C85*C86*B85</f>
        <v>-7.6439999999999992</v>
      </c>
      <c r="E86" s="833"/>
      <c r="F86" s="831">
        <v>4</v>
      </c>
      <c r="G86" s="829">
        <v>7.26</v>
      </c>
      <c r="H86" s="832"/>
      <c r="I86" s="833" t="s">
        <v>122</v>
      </c>
    </row>
    <row r="87" spans="1:9">
      <c r="A87" s="818"/>
      <c r="B87" s="831"/>
      <c r="C87" s="829"/>
      <c r="D87" s="832"/>
      <c r="E87" s="833"/>
      <c r="F87" s="831"/>
      <c r="G87" s="829"/>
      <c r="H87" s="832">
        <f>G86*F86</f>
        <v>29.04</v>
      </c>
      <c r="I87" s="844"/>
    </row>
    <row r="88" spans="1:9">
      <c r="A88" s="818"/>
      <c r="B88" s="839"/>
      <c r="C88" s="935"/>
      <c r="D88" s="838">
        <f>SUM(D64:D87)+SUM(H58:H62)</f>
        <v>198.12</v>
      </c>
      <c r="E88" s="839" t="s">
        <v>2123</v>
      </c>
      <c r="F88" s="847"/>
      <c r="G88" s="848"/>
      <c r="H88" s="843"/>
      <c r="I88" s="435"/>
    </row>
    <row r="89" spans="1:9">
      <c r="A89" s="818"/>
      <c r="B89" s="831"/>
      <c r="C89" s="829"/>
      <c r="D89" s="832"/>
      <c r="E89" s="833"/>
      <c r="F89" s="831">
        <v>2</v>
      </c>
      <c r="G89" s="829">
        <v>24.1</v>
      </c>
      <c r="H89" s="832"/>
      <c r="I89" s="833">
        <f>SUM(H87:H90)</f>
        <v>77.240000000000009</v>
      </c>
    </row>
    <row r="90" spans="1:9">
      <c r="A90" s="818"/>
      <c r="B90" s="831"/>
      <c r="C90" s="829"/>
      <c r="D90" s="832"/>
      <c r="E90" s="844" t="s">
        <v>124</v>
      </c>
      <c r="F90" s="831"/>
      <c r="G90" s="829"/>
      <c r="H90" s="832">
        <f>G89*F89</f>
        <v>48.2</v>
      </c>
      <c r="I90" s="844"/>
    </row>
    <row r="91" spans="1:9">
      <c r="A91" s="818"/>
      <c r="B91" s="831"/>
      <c r="C91" s="829"/>
      <c r="D91" s="832"/>
      <c r="E91" s="844" t="s">
        <v>125</v>
      </c>
      <c r="F91" s="831"/>
      <c r="G91" s="829"/>
      <c r="H91" s="832"/>
      <c r="I91" s="833"/>
    </row>
    <row r="92" spans="1:9">
      <c r="A92" s="818"/>
      <c r="B92" s="831">
        <v>1</v>
      </c>
      <c r="C92" s="829">
        <v>14.2</v>
      </c>
      <c r="D92" s="832"/>
      <c r="E92" s="833" t="s">
        <v>894</v>
      </c>
      <c r="F92" s="839"/>
      <c r="G92" s="935"/>
      <c r="H92" s="838">
        <f>SUM(H88:H91)</f>
        <v>48.2</v>
      </c>
      <c r="I92" s="839" t="s">
        <v>2350</v>
      </c>
    </row>
    <row r="93" spans="1:9">
      <c r="A93" s="818"/>
      <c r="B93" s="831"/>
      <c r="C93" s="829">
        <v>24.1</v>
      </c>
      <c r="D93" s="832"/>
      <c r="E93" s="833" t="s">
        <v>895</v>
      </c>
      <c r="F93" s="435"/>
      <c r="G93" s="938"/>
      <c r="H93" s="843"/>
      <c r="I93" s="435"/>
    </row>
    <row r="94" spans="1:9">
      <c r="A94" s="818"/>
      <c r="B94" s="839"/>
      <c r="C94" s="935"/>
      <c r="D94" s="838">
        <f>C92*C93*B92</f>
        <v>342.22</v>
      </c>
      <c r="E94" s="839" t="s">
        <v>2124</v>
      </c>
      <c r="F94" s="435"/>
      <c r="G94" s="829"/>
      <c r="H94" s="843"/>
      <c r="I94" s="847" t="s">
        <v>561</v>
      </c>
    </row>
    <row r="95" spans="1:9">
      <c r="A95" s="818"/>
      <c r="B95" s="831"/>
      <c r="C95" s="829"/>
      <c r="D95" s="832"/>
      <c r="E95" s="833"/>
      <c r="F95" s="435"/>
      <c r="G95" s="829"/>
      <c r="H95" s="843"/>
      <c r="I95" s="847" t="s">
        <v>132</v>
      </c>
    </row>
    <row r="96" spans="1:9">
      <c r="A96" s="818"/>
      <c r="B96" s="831"/>
      <c r="C96" s="829"/>
      <c r="D96" s="832"/>
      <c r="E96" s="844" t="s">
        <v>129</v>
      </c>
      <c r="F96" s="435">
        <v>1</v>
      </c>
      <c r="G96" s="829">
        <v>2</v>
      </c>
      <c r="H96" s="843"/>
      <c r="I96" s="847"/>
    </row>
    <row r="97" spans="1:9">
      <c r="A97" s="818"/>
      <c r="B97" s="831"/>
      <c r="C97" s="829">
        <v>24.1</v>
      </c>
      <c r="D97" s="832"/>
      <c r="E97" s="833" t="s">
        <v>1250</v>
      </c>
      <c r="F97" s="839"/>
      <c r="G97" s="839"/>
      <c r="H97" s="838">
        <f>F96*G96</f>
        <v>2</v>
      </c>
      <c r="I97" s="839" t="s">
        <v>2137</v>
      </c>
    </row>
    <row r="98" spans="1:9">
      <c r="A98" s="818"/>
      <c r="B98" s="831">
        <v>2</v>
      </c>
      <c r="C98" s="829">
        <v>0.5</v>
      </c>
      <c r="D98" s="832"/>
      <c r="E98" s="833"/>
      <c r="F98" s="435"/>
      <c r="G98" s="829"/>
      <c r="H98" s="843"/>
      <c r="I98" s="847"/>
    </row>
    <row r="99" spans="1:9">
      <c r="A99" s="818"/>
      <c r="B99" s="831"/>
      <c r="C99" s="829"/>
      <c r="D99" s="832">
        <f>C97*C98*B98</f>
        <v>24.1</v>
      </c>
      <c r="E99" s="833"/>
      <c r="F99" s="435"/>
      <c r="G99" s="829"/>
      <c r="H99" s="843"/>
      <c r="I99" s="847" t="s">
        <v>2416</v>
      </c>
    </row>
    <row r="100" spans="1:9">
      <c r="A100" s="818"/>
      <c r="B100" s="831"/>
      <c r="C100" s="829">
        <v>7.26</v>
      </c>
      <c r="D100" s="832"/>
      <c r="E100" s="833"/>
      <c r="F100" s="435">
        <v>1</v>
      </c>
      <c r="G100" s="829">
        <v>5</v>
      </c>
      <c r="H100" s="843"/>
      <c r="I100" s="847"/>
    </row>
    <row r="101" spans="1:9">
      <c r="A101" s="818"/>
      <c r="B101" s="831">
        <v>4</v>
      </c>
      <c r="C101" s="829">
        <v>0.5</v>
      </c>
      <c r="D101" s="832"/>
      <c r="E101" s="833"/>
      <c r="F101" s="839"/>
      <c r="G101" s="839"/>
      <c r="H101" s="838">
        <f>F100*G100</f>
        <v>5</v>
      </c>
      <c r="I101" s="839" t="s">
        <v>2354</v>
      </c>
    </row>
    <row r="102" spans="1:9">
      <c r="A102" s="818"/>
      <c r="B102" s="831"/>
      <c r="C102" s="829"/>
      <c r="D102" s="832">
        <f>B101*C100*C101</f>
        <v>14.52</v>
      </c>
      <c r="E102" s="833"/>
      <c r="F102" s="435"/>
      <c r="G102" s="829"/>
      <c r="H102" s="843"/>
      <c r="I102" s="847"/>
    </row>
    <row r="103" spans="1:9">
      <c r="A103" s="818"/>
      <c r="B103" s="831"/>
      <c r="C103" s="829"/>
      <c r="D103" s="832"/>
      <c r="E103" s="833"/>
      <c r="F103" s="435"/>
      <c r="G103" s="829"/>
      <c r="H103" s="843"/>
      <c r="I103" s="1015" t="s">
        <v>135</v>
      </c>
    </row>
    <row r="104" spans="1:9">
      <c r="A104" s="818"/>
      <c r="B104" s="839"/>
      <c r="C104" s="935"/>
      <c r="D104" s="838">
        <f>SUM(D98:D102)</f>
        <v>38.620000000000005</v>
      </c>
      <c r="E104" s="839" t="s">
        <v>2129</v>
      </c>
      <c r="F104" s="847"/>
      <c r="G104" s="848"/>
      <c r="H104" s="843"/>
      <c r="I104" s="435" t="s">
        <v>2418</v>
      </c>
    </row>
    <row r="105" spans="1:9">
      <c r="A105" s="818"/>
      <c r="B105" s="831"/>
      <c r="C105" s="829"/>
      <c r="D105" s="832"/>
      <c r="E105" s="833"/>
      <c r="F105" s="435"/>
      <c r="G105" s="829"/>
      <c r="H105" s="843"/>
      <c r="I105" s="442" t="s">
        <v>843</v>
      </c>
    </row>
    <row r="106" spans="1:9">
      <c r="A106" s="818"/>
      <c r="B106" s="831"/>
      <c r="C106" s="829"/>
      <c r="D106" s="832"/>
      <c r="E106" s="844" t="s">
        <v>131</v>
      </c>
      <c r="F106" s="435">
        <v>1</v>
      </c>
      <c r="G106" s="829">
        <v>3</v>
      </c>
      <c r="H106" s="843"/>
      <c r="I106" s="847"/>
    </row>
    <row r="107" spans="1:9">
      <c r="A107" s="818"/>
      <c r="B107" s="831">
        <v>1</v>
      </c>
      <c r="C107" s="829">
        <v>24.1</v>
      </c>
      <c r="D107" s="832"/>
      <c r="E107" s="833"/>
      <c r="F107" s="839"/>
      <c r="G107" s="839"/>
      <c r="H107" s="838">
        <f>F106*G106</f>
        <v>3</v>
      </c>
      <c r="I107" s="839" t="s">
        <v>2136</v>
      </c>
    </row>
    <row r="108" spans="1:9">
      <c r="A108" s="818"/>
      <c r="B108" s="831"/>
      <c r="C108" s="829"/>
      <c r="D108" s="832">
        <f>C107*B107</f>
        <v>24.1</v>
      </c>
      <c r="E108" s="833"/>
      <c r="F108" s="847"/>
      <c r="G108" s="848"/>
      <c r="H108" s="843"/>
      <c r="I108" s="435"/>
    </row>
    <row r="109" spans="1:9">
      <c r="A109" s="818"/>
      <c r="B109" s="831"/>
      <c r="C109" s="829">
        <v>7.26</v>
      </c>
      <c r="D109" s="832"/>
      <c r="E109" s="833"/>
      <c r="F109" s="435"/>
      <c r="G109" s="829"/>
      <c r="H109" s="843"/>
      <c r="I109" s="442" t="s">
        <v>2544</v>
      </c>
    </row>
    <row r="110" spans="1:9">
      <c r="A110" s="818"/>
      <c r="B110" s="831">
        <v>4</v>
      </c>
      <c r="C110" s="829">
        <v>0.5</v>
      </c>
      <c r="D110" s="832"/>
      <c r="E110" s="833"/>
      <c r="F110" s="435">
        <v>1</v>
      </c>
      <c r="G110" s="829">
        <v>16</v>
      </c>
      <c r="H110" s="843"/>
      <c r="I110" s="847"/>
    </row>
    <row r="111" spans="1:9">
      <c r="A111" s="818"/>
      <c r="B111" s="831"/>
      <c r="C111" s="829"/>
      <c r="D111" s="832">
        <f>C110*C109*B110</f>
        <v>14.52</v>
      </c>
      <c r="E111" s="833"/>
      <c r="F111" s="839"/>
      <c r="G111" s="839"/>
      <c r="H111" s="838">
        <f>F110*G110</f>
        <v>16</v>
      </c>
      <c r="I111" s="839" t="s">
        <v>2136</v>
      </c>
    </row>
    <row r="112" spans="1:9">
      <c r="A112" s="818"/>
      <c r="B112" s="831"/>
      <c r="C112" s="829"/>
      <c r="D112" s="832"/>
      <c r="E112" s="833"/>
      <c r="F112" s="847"/>
      <c r="G112" s="848"/>
      <c r="H112" s="843"/>
      <c r="I112" s="435"/>
    </row>
    <row r="113" spans="1:10">
      <c r="A113" s="818"/>
      <c r="B113" s="839"/>
      <c r="C113" s="935"/>
      <c r="D113" s="838">
        <f>SUM(D108:D111)</f>
        <v>38.620000000000005</v>
      </c>
      <c r="E113" s="839" t="s">
        <v>2414</v>
      </c>
      <c r="F113" s="435"/>
      <c r="G113" s="829"/>
      <c r="H113" s="843"/>
      <c r="I113" s="442" t="s">
        <v>2419</v>
      </c>
    </row>
    <row r="114" spans="1:10">
      <c r="A114" s="818"/>
      <c r="B114" s="831"/>
      <c r="C114" s="829"/>
      <c r="D114" s="832"/>
      <c r="E114" s="833"/>
      <c r="F114" s="435">
        <v>1</v>
      </c>
      <c r="G114" s="829">
        <v>2</v>
      </c>
      <c r="H114" s="843"/>
      <c r="I114" s="847"/>
    </row>
    <row r="115" spans="1:10">
      <c r="A115" s="818"/>
      <c r="B115" s="831"/>
      <c r="C115" s="829"/>
      <c r="D115" s="832"/>
      <c r="E115" s="844" t="s">
        <v>105</v>
      </c>
      <c r="F115" s="839"/>
      <c r="G115" s="839"/>
      <c r="H115" s="838">
        <f>F114*G114</f>
        <v>2</v>
      </c>
      <c r="I115" s="839" t="s">
        <v>2136</v>
      </c>
    </row>
    <row r="116" spans="1:10">
      <c r="A116" s="818"/>
      <c r="B116" s="831">
        <v>2</v>
      </c>
      <c r="C116" s="829">
        <v>24.1</v>
      </c>
      <c r="D116" s="832"/>
      <c r="E116" s="833"/>
      <c r="F116" s="847"/>
      <c r="G116" s="848"/>
      <c r="H116" s="843"/>
      <c r="I116" s="435"/>
    </row>
    <row r="117" spans="1:10">
      <c r="A117" s="818"/>
      <c r="B117" s="839"/>
      <c r="C117" s="935"/>
      <c r="D117" s="838">
        <f>C116*B116</f>
        <v>48.2</v>
      </c>
      <c r="E117" s="839" t="s">
        <v>2415</v>
      </c>
      <c r="F117" s="847"/>
      <c r="G117" s="848"/>
      <c r="H117" s="843"/>
      <c r="I117" s="435" t="s">
        <v>1420</v>
      </c>
    </row>
    <row r="118" spans="1:10">
      <c r="A118" s="818"/>
      <c r="B118" s="831"/>
      <c r="C118" s="829"/>
      <c r="D118" s="832"/>
      <c r="E118" s="833"/>
      <c r="F118" s="435"/>
      <c r="G118" s="829"/>
      <c r="H118" s="843"/>
      <c r="I118" s="847" t="s">
        <v>2417</v>
      </c>
    </row>
    <row r="119" spans="1:10">
      <c r="A119" s="818"/>
      <c r="B119" s="831"/>
      <c r="C119" s="829"/>
      <c r="D119" s="832"/>
      <c r="E119" s="833"/>
      <c r="F119" s="435">
        <v>1</v>
      </c>
      <c r="G119" s="829">
        <v>1</v>
      </c>
      <c r="H119" s="843"/>
      <c r="I119" s="847"/>
    </row>
    <row r="120" spans="1:10">
      <c r="A120" s="818"/>
      <c r="B120" s="435"/>
      <c r="C120" s="847"/>
      <c r="D120" s="847"/>
      <c r="E120" s="435"/>
      <c r="F120" s="839"/>
      <c r="G120" s="839"/>
      <c r="H120" s="838">
        <f>F119*G119</f>
        <v>1</v>
      </c>
      <c r="I120" s="839" t="s">
        <v>2133</v>
      </c>
    </row>
    <row r="121" spans="1:10">
      <c r="A121" s="818"/>
      <c r="B121" s="109"/>
      <c r="C121" s="860"/>
      <c r="D121" s="860"/>
      <c r="E121" s="109"/>
      <c r="F121" s="109"/>
      <c r="G121" s="939"/>
      <c r="H121" s="860"/>
      <c r="I121" s="109"/>
    </row>
    <row r="122" spans="1:10">
      <c r="A122" s="828"/>
      <c r="B122" s="853" t="s">
        <v>1884</v>
      </c>
      <c r="C122" s="854" t="s">
        <v>526</v>
      </c>
      <c r="D122" s="855" t="s">
        <v>1885</v>
      </c>
      <c r="E122" s="854" t="s">
        <v>1886</v>
      </c>
      <c r="F122" s="853" t="s">
        <v>1884</v>
      </c>
      <c r="G122" s="855" t="s">
        <v>526</v>
      </c>
      <c r="H122" s="856" t="s">
        <v>1885</v>
      </c>
      <c r="I122" s="854" t="s">
        <v>1886</v>
      </c>
      <c r="J122" s="828"/>
    </row>
    <row r="123" spans="1:10">
      <c r="A123" s="818"/>
      <c r="B123" s="831"/>
      <c r="C123" s="829"/>
      <c r="D123" s="832"/>
      <c r="E123" s="833" t="s">
        <v>141</v>
      </c>
      <c r="F123" s="831">
        <v>1</v>
      </c>
      <c r="G123" s="829">
        <v>7.9</v>
      </c>
      <c r="H123" s="832"/>
      <c r="I123" s="833" t="s">
        <v>84</v>
      </c>
    </row>
    <row r="124" spans="1:10">
      <c r="A124" s="818"/>
      <c r="B124" s="435"/>
      <c r="C124" s="847"/>
      <c r="D124" s="847"/>
      <c r="E124" s="833" t="s">
        <v>142</v>
      </c>
      <c r="F124" s="831"/>
      <c r="G124" s="829">
        <v>3.06</v>
      </c>
      <c r="H124" s="832">
        <f>G123*G124*F123</f>
        <v>24.174000000000003</v>
      </c>
      <c r="I124" s="833" t="s">
        <v>908</v>
      </c>
    </row>
    <row r="125" spans="1:10">
      <c r="A125" s="818"/>
      <c r="B125" s="831">
        <v>1</v>
      </c>
      <c r="C125" s="829">
        <v>21.9</v>
      </c>
      <c r="D125" s="832"/>
      <c r="E125" s="833" t="s">
        <v>767</v>
      </c>
      <c r="F125" s="831"/>
      <c r="G125" s="829"/>
      <c r="H125" s="832"/>
      <c r="I125" s="833"/>
    </row>
    <row r="126" spans="1:10">
      <c r="A126" s="818"/>
      <c r="B126" s="831"/>
      <c r="C126" s="829">
        <v>2.73</v>
      </c>
      <c r="D126" s="832">
        <f>C125*C126*B125</f>
        <v>59.786999999999999</v>
      </c>
      <c r="E126" s="833"/>
      <c r="F126" s="831">
        <v>1</v>
      </c>
      <c r="G126" s="829">
        <v>1.1499999999999999</v>
      </c>
      <c r="H126" s="832"/>
      <c r="I126" s="833" t="s">
        <v>62</v>
      </c>
    </row>
    <row r="127" spans="1:10">
      <c r="A127" s="818"/>
      <c r="B127" s="831"/>
      <c r="C127" s="829"/>
      <c r="D127" s="832"/>
      <c r="E127" s="833"/>
      <c r="F127" s="831"/>
      <c r="G127" s="829">
        <v>2.73</v>
      </c>
      <c r="H127" s="832">
        <f>-G126*G127*F126</f>
        <v>-3.1395</v>
      </c>
      <c r="I127" s="833"/>
    </row>
    <row r="128" spans="1:10">
      <c r="A128" s="818"/>
      <c r="B128" s="831">
        <v>1</v>
      </c>
      <c r="C128" s="829">
        <v>1.6</v>
      </c>
      <c r="D128" s="832"/>
      <c r="E128" s="833" t="s">
        <v>886</v>
      </c>
      <c r="F128" s="831"/>
      <c r="G128" s="829"/>
      <c r="H128" s="832"/>
      <c r="I128" s="833"/>
    </row>
    <row r="129" spans="1:9">
      <c r="A129" s="818"/>
      <c r="B129" s="831"/>
      <c r="C129" s="829">
        <v>1.73</v>
      </c>
      <c r="D129" s="832">
        <f>-C128*C129*B128</f>
        <v>-2.7680000000000002</v>
      </c>
      <c r="E129" s="833"/>
      <c r="F129" s="831">
        <v>2</v>
      </c>
      <c r="G129" s="829">
        <v>0.7</v>
      </c>
      <c r="H129" s="832"/>
      <c r="I129" s="833" t="s">
        <v>46</v>
      </c>
    </row>
    <row r="130" spans="1:9">
      <c r="A130" s="818"/>
      <c r="B130" s="831"/>
      <c r="C130" s="829"/>
      <c r="D130" s="832"/>
      <c r="E130" s="833"/>
      <c r="F130" s="831"/>
      <c r="G130" s="829">
        <v>2.73</v>
      </c>
      <c r="H130" s="832">
        <f>-G129*G130*F129</f>
        <v>-3.8219999999999996</v>
      </c>
      <c r="I130" s="833"/>
    </row>
    <row r="131" spans="1:9">
      <c r="A131" s="818"/>
      <c r="B131" s="831">
        <v>6</v>
      </c>
      <c r="C131" s="829">
        <v>1.5</v>
      </c>
      <c r="D131" s="832"/>
      <c r="E131" s="833" t="s">
        <v>352</v>
      </c>
      <c r="F131" s="831"/>
      <c r="G131" s="829"/>
      <c r="H131" s="832"/>
      <c r="I131" s="833"/>
    </row>
    <row r="132" spans="1:9">
      <c r="A132" s="818"/>
      <c r="B132" s="831"/>
      <c r="C132" s="829">
        <v>1.73</v>
      </c>
      <c r="D132" s="832">
        <f>-C131*C132*B131</f>
        <v>-15.569999999999999</v>
      </c>
      <c r="E132" s="833"/>
      <c r="F132" s="831">
        <v>1</v>
      </c>
      <c r="G132" s="829">
        <v>23.6</v>
      </c>
      <c r="H132" s="832"/>
      <c r="I132" s="833" t="s">
        <v>910</v>
      </c>
    </row>
    <row r="133" spans="1:9">
      <c r="A133" s="818"/>
      <c r="B133" s="831"/>
      <c r="C133" s="829"/>
      <c r="D133" s="832"/>
      <c r="E133" s="833"/>
      <c r="F133" s="831"/>
      <c r="G133" s="829">
        <v>2.73</v>
      </c>
      <c r="H133" s="832">
        <f>G132*G133*F132</f>
        <v>64.427999999999997</v>
      </c>
      <c r="I133" s="833"/>
    </row>
    <row r="134" spans="1:9">
      <c r="A134" s="818"/>
      <c r="B134" s="831">
        <v>2</v>
      </c>
      <c r="C134" s="829">
        <v>1.2</v>
      </c>
      <c r="D134" s="832"/>
      <c r="E134" s="833" t="s">
        <v>887</v>
      </c>
      <c r="F134" s="831"/>
      <c r="G134" s="829"/>
      <c r="H134" s="832"/>
      <c r="I134" s="833"/>
    </row>
    <row r="135" spans="1:9">
      <c r="A135" s="818"/>
      <c r="B135" s="831"/>
      <c r="C135" s="829">
        <v>0.6</v>
      </c>
      <c r="D135" s="832">
        <f>-C134*C135*B134</f>
        <v>-1.44</v>
      </c>
      <c r="E135" s="833"/>
      <c r="F135" s="831">
        <v>2</v>
      </c>
      <c r="G135" s="829">
        <v>1.2</v>
      </c>
      <c r="H135" s="832"/>
      <c r="I135" s="833" t="s">
        <v>912</v>
      </c>
    </row>
    <row r="136" spans="1:9">
      <c r="A136" s="818"/>
      <c r="B136" s="831"/>
      <c r="C136" s="829"/>
      <c r="D136" s="832"/>
      <c r="E136" s="833"/>
      <c r="F136" s="831"/>
      <c r="G136" s="829">
        <v>0.6</v>
      </c>
      <c r="H136" s="832">
        <f>-G135*G136*F135</f>
        <v>-1.44</v>
      </c>
      <c r="I136" s="833"/>
    </row>
    <row r="137" spans="1:9">
      <c r="A137" s="818"/>
      <c r="B137" s="831">
        <v>1</v>
      </c>
      <c r="C137" s="829">
        <v>21.9</v>
      </c>
      <c r="D137" s="832"/>
      <c r="E137" s="833" t="s">
        <v>888</v>
      </c>
      <c r="F137" s="831"/>
      <c r="G137" s="829"/>
      <c r="H137" s="832"/>
      <c r="I137" s="833"/>
    </row>
    <row r="138" spans="1:9">
      <c r="A138" s="818"/>
      <c r="B138" s="831"/>
      <c r="C138" s="829">
        <v>2.73</v>
      </c>
      <c r="D138" s="832">
        <f>C137*C138*B137</f>
        <v>59.786999999999999</v>
      </c>
      <c r="E138" s="833"/>
      <c r="F138" s="831">
        <v>6</v>
      </c>
      <c r="G138" s="829">
        <v>0.7</v>
      </c>
      <c r="H138" s="832"/>
      <c r="I138" s="833"/>
    </row>
    <row r="139" spans="1:9">
      <c r="A139" s="818"/>
      <c r="B139" s="831"/>
      <c r="C139" s="829"/>
      <c r="D139" s="832"/>
      <c r="E139" s="833"/>
      <c r="F139" s="831"/>
      <c r="G139" s="829">
        <v>2.73</v>
      </c>
      <c r="H139" s="832">
        <f>-G138*G139*F138</f>
        <v>-11.465999999999999</v>
      </c>
      <c r="I139" s="833"/>
    </row>
    <row r="140" spans="1:9">
      <c r="A140" s="818"/>
      <c r="B140" s="831">
        <v>2</v>
      </c>
      <c r="C140" s="829">
        <v>1.6</v>
      </c>
      <c r="D140" s="832"/>
      <c r="E140" s="833" t="s">
        <v>886</v>
      </c>
      <c r="F140" s="831"/>
      <c r="G140" s="829"/>
      <c r="H140" s="832"/>
      <c r="I140" s="833"/>
    </row>
    <row r="141" spans="1:9">
      <c r="A141" s="818"/>
      <c r="B141" s="831"/>
      <c r="C141" s="829">
        <v>1.73</v>
      </c>
      <c r="D141" s="832">
        <f>-C140*C141*B140</f>
        <v>-5.5360000000000005</v>
      </c>
      <c r="E141" s="833"/>
      <c r="F141" s="831">
        <v>1</v>
      </c>
      <c r="G141" s="829">
        <v>20.3</v>
      </c>
      <c r="H141" s="832"/>
      <c r="I141" s="833" t="s">
        <v>913</v>
      </c>
    </row>
    <row r="142" spans="1:9">
      <c r="A142" s="818"/>
      <c r="B142" s="831"/>
      <c r="C142" s="829"/>
      <c r="D142" s="832"/>
      <c r="E142" s="833"/>
      <c r="F142" s="831"/>
      <c r="G142" s="829">
        <v>3.06</v>
      </c>
      <c r="H142" s="832">
        <f>G141*G142*F141</f>
        <v>62.118000000000002</v>
      </c>
      <c r="I142" s="833" t="s">
        <v>914</v>
      </c>
    </row>
    <row r="143" spans="1:9">
      <c r="A143" s="818"/>
      <c r="B143" s="831">
        <v>7</v>
      </c>
      <c r="C143" s="829">
        <v>1.5</v>
      </c>
      <c r="D143" s="832"/>
      <c r="E143" s="833" t="s">
        <v>354</v>
      </c>
      <c r="F143" s="17"/>
      <c r="G143" s="13"/>
      <c r="H143" s="9"/>
      <c r="I143" s="34"/>
    </row>
    <row r="144" spans="1:9">
      <c r="A144" s="818"/>
      <c r="B144" s="831"/>
      <c r="C144" s="829">
        <v>1.73</v>
      </c>
      <c r="D144" s="832">
        <f>-C143*C144*B143</f>
        <v>-18.164999999999999</v>
      </c>
      <c r="E144" s="833"/>
      <c r="F144" s="831">
        <v>2</v>
      </c>
      <c r="G144" s="829">
        <v>1.5</v>
      </c>
      <c r="H144" s="832"/>
      <c r="I144" s="833" t="s">
        <v>212</v>
      </c>
    </row>
    <row r="145" spans="1:9">
      <c r="A145" s="818"/>
      <c r="B145" s="831"/>
      <c r="C145" s="829"/>
      <c r="D145" s="832"/>
      <c r="E145" s="833"/>
      <c r="F145" s="831"/>
      <c r="G145" s="829">
        <v>1.73</v>
      </c>
      <c r="H145" s="832">
        <f>-G144*G145*F144</f>
        <v>-5.1899999999999995</v>
      </c>
      <c r="I145" s="833"/>
    </row>
    <row r="146" spans="1:9">
      <c r="A146" s="818"/>
      <c r="B146" s="831">
        <v>2</v>
      </c>
      <c r="C146" s="829">
        <v>12.2</v>
      </c>
      <c r="D146" s="832"/>
      <c r="E146" s="833" t="s">
        <v>909</v>
      </c>
      <c r="F146" s="831"/>
      <c r="G146" s="829"/>
      <c r="H146" s="832"/>
      <c r="I146" s="833"/>
    </row>
    <row r="147" spans="1:9">
      <c r="A147" s="818"/>
      <c r="B147" s="831"/>
      <c r="C147" s="829">
        <v>2.73</v>
      </c>
      <c r="D147" s="832">
        <f>C146*C147*B146</f>
        <v>66.611999999999995</v>
      </c>
      <c r="E147" s="833"/>
      <c r="F147" s="831">
        <v>1</v>
      </c>
      <c r="G147" s="829">
        <v>1.4</v>
      </c>
      <c r="H147" s="832"/>
      <c r="I147" s="833" t="s">
        <v>519</v>
      </c>
    </row>
    <row r="148" spans="1:9">
      <c r="A148" s="818"/>
      <c r="B148" s="831"/>
      <c r="C148" s="829"/>
      <c r="D148" s="832"/>
      <c r="E148" s="833"/>
      <c r="F148" s="831"/>
      <c r="G148" s="829">
        <v>2.73</v>
      </c>
      <c r="H148" s="832">
        <f>-G147*G148*F147</f>
        <v>-3.8219999999999996</v>
      </c>
      <c r="I148" s="833"/>
    </row>
    <row r="149" spans="1:9">
      <c r="A149" s="818"/>
      <c r="B149" s="831">
        <v>1</v>
      </c>
      <c r="C149" s="829">
        <v>1.2</v>
      </c>
      <c r="D149" s="832"/>
      <c r="E149" s="833" t="s">
        <v>893</v>
      </c>
      <c r="F149" s="831"/>
      <c r="G149" s="829"/>
      <c r="H149" s="843"/>
      <c r="I149" s="833"/>
    </row>
    <row r="150" spans="1:9">
      <c r="A150" s="818"/>
      <c r="B150" s="831"/>
      <c r="C150" s="829">
        <v>2.73</v>
      </c>
      <c r="D150" s="832">
        <f>-C149*C150*B149</f>
        <v>-3.2759999999999998</v>
      </c>
      <c r="E150" s="833"/>
      <c r="F150" s="831">
        <v>1</v>
      </c>
      <c r="G150" s="829">
        <v>49</v>
      </c>
      <c r="H150" s="832"/>
      <c r="I150" s="833" t="s">
        <v>160</v>
      </c>
    </row>
    <row r="151" spans="1:9">
      <c r="A151" s="818"/>
      <c r="B151" s="831"/>
      <c r="C151" s="829"/>
      <c r="D151" s="832"/>
      <c r="E151" s="833"/>
      <c r="F151" s="831"/>
      <c r="G151" s="829">
        <v>3.06</v>
      </c>
      <c r="H151" s="832">
        <f>G150*G151*F150</f>
        <v>149.94</v>
      </c>
      <c r="I151" s="833" t="s">
        <v>915</v>
      </c>
    </row>
    <row r="152" spans="1:9">
      <c r="A152" s="818"/>
      <c r="B152" s="831">
        <v>3</v>
      </c>
      <c r="C152" s="829">
        <v>1.5</v>
      </c>
      <c r="D152" s="832"/>
      <c r="E152" s="833" t="s">
        <v>79</v>
      </c>
      <c r="F152" s="831"/>
      <c r="G152" s="829"/>
      <c r="H152" s="832"/>
      <c r="I152" s="833"/>
    </row>
    <row r="153" spans="1:9">
      <c r="A153" s="818"/>
      <c r="B153" s="831"/>
      <c r="C153" s="829">
        <v>1.73</v>
      </c>
      <c r="D153" s="832">
        <f>-C152*C153*B152</f>
        <v>-7.7849999999999993</v>
      </c>
      <c r="E153" s="833"/>
      <c r="F153" s="831">
        <v>1</v>
      </c>
      <c r="G153" s="829">
        <v>1.1499999999999999</v>
      </c>
      <c r="H153" s="832"/>
      <c r="I153" s="833" t="s">
        <v>62</v>
      </c>
    </row>
    <row r="154" spans="1:9">
      <c r="A154" s="818"/>
      <c r="B154" s="831"/>
      <c r="C154" s="829"/>
      <c r="D154" s="832"/>
      <c r="E154" s="833"/>
      <c r="F154" s="831"/>
      <c r="G154" s="829">
        <v>2.73</v>
      </c>
      <c r="H154" s="832">
        <f>-G153*G154*F153</f>
        <v>-3.1395</v>
      </c>
      <c r="I154" s="833"/>
    </row>
    <row r="155" spans="1:9">
      <c r="A155" s="818"/>
      <c r="B155" s="831">
        <v>2</v>
      </c>
      <c r="C155" s="829">
        <v>1.05</v>
      </c>
      <c r="D155" s="832"/>
      <c r="E155" s="833" t="s">
        <v>911</v>
      </c>
      <c r="F155" s="831"/>
      <c r="G155" s="829"/>
      <c r="H155" s="832"/>
      <c r="I155" s="833"/>
    </row>
    <row r="156" spans="1:9">
      <c r="A156" s="818"/>
      <c r="B156" s="435"/>
      <c r="C156" s="829">
        <v>13</v>
      </c>
      <c r="D156" s="832">
        <f>C155*C156*B155</f>
        <v>27.3</v>
      </c>
      <c r="E156" s="28"/>
      <c r="F156" s="831">
        <v>1</v>
      </c>
      <c r="G156" s="829">
        <v>1.5</v>
      </c>
      <c r="H156" s="832"/>
      <c r="I156" s="833" t="s">
        <v>360</v>
      </c>
    </row>
    <row r="157" spans="1:9">
      <c r="A157" s="818"/>
      <c r="B157" s="41"/>
      <c r="C157" s="3"/>
      <c r="D157" s="847"/>
      <c r="E157" s="435"/>
      <c r="F157" s="831"/>
      <c r="G157" s="829">
        <v>1.73</v>
      </c>
      <c r="H157" s="832">
        <f>-G156*G157*F156</f>
        <v>-2.5949999999999998</v>
      </c>
      <c r="I157" s="833"/>
    </row>
    <row r="158" spans="1:9">
      <c r="A158" s="818"/>
      <c r="B158" s="839"/>
      <c r="C158" s="839"/>
      <c r="D158" s="838">
        <f>SUM(D126:D157)</f>
        <v>158.946</v>
      </c>
      <c r="E158" s="839" t="s">
        <v>2420</v>
      </c>
      <c r="F158" s="831"/>
      <c r="G158" s="829"/>
      <c r="H158" s="832"/>
      <c r="I158" s="833"/>
    </row>
    <row r="159" spans="1:9">
      <c r="A159" s="818"/>
      <c r="B159" s="435"/>
      <c r="C159" s="847"/>
      <c r="D159" s="847"/>
      <c r="E159" s="435"/>
      <c r="F159" s="831">
        <v>5</v>
      </c>
      <c r="G159" s="829">
        <v>1.4</v>
      </c>
      <c r="H159" s="832"/>
      <c r="I159" s="833" t="s">
        <v>501</v>
      </c>
    </row>
    <row r="160" spans="1:9">
      <c r="A160" s="818"/>
      <c r="B160" s="831"/>
      <c r="C160" s="829"/>
      <c r="D160" s="832"/>
      <c r="E160" s="844" t="s">
        <v>358</v>
      </c>
      <c r="F160" s="847"/>
      <c r="G160" s="829">
        <v>2.73</v>
      </c>
      <c r="H160" s="832">
        <f>-G159*G160*F159</f>
        <v>-19.11</v>
      </c>
      <c r="I160" s="833"/>
    </row>
    <row r="161" spans="1:9">
      <c r="A161" s="818"/>
      <c r="B161" s="831"/>
      <c r="C161" s="829"/>
      <c r="D161" s="832"/>
      <c r="E161" s="844" t="s">
        <v>359</v>
      </c>
      <c r="F161" s="831"/>
      <c r="G161" s="829"/>
      <c r="H161" s="843"/>
      <c r="I161" s="833"/>
    </row>
    <row r="162" spans="1:9">
      <c r="A162" s="818"/>
      <c r="B162" s="831">
        <v>1</v>
      </c>
      <c r="C162" s="829">
        <v>30.6</v>
      </c>
      <c r="D162" s="832"/>
      <c r="E162" s="844" t="s">
        <v>903</v>
      </c>
      <c r="F162" s="831">
        <v>2</v>
      </c>
      <c r="G162" s="829">
        <v>0.9</v>
      </c>
      <c r="H162" s="832"/>
      <c r="I162" s="833" t="s">
        <v>93</v>
      </c>
    </row>
    <row r="163" spans="1:9">
      <c r="A163" s="818"/>
      <c r="B163" s="831"/>
      <c r="C163" s="829">
        <v>3.06</v>
      </c>
      <c r="D163" s="832">
        <f>C162*C163*B162</f>
        <v>93.63600000000001</v>
      </c>
      <c r="E163" s="833" t="s">
        <v>904</v>
      </c>
      <c r="F163" s="831"/>
      <c r="G163" s="829">
        <v>2.73</v>
      </c>
      <c r="H163" s="832">
        <f>-G162*G163*F162</f>
        <v>-4.9139999999999997</v>
      </c>
      <c r="I163" s="833"/>
    </row>
    <row r="164" spans="1:9">
      <c r="A164" s="818"/>
      <c r="B164" s="831"/>
      <c r="C164" s="829"/>
      <c r="D164" s="832"/>
      <c r="E164" s="833"/>
      <c r="F164" s="831"/>
      <c r="G164" s="829"/>
      <c r="H164" s="832"/>
      <c r="I164" s="833"/>
    </row>
    <row r="165" spans="1:9">
      <c r="A165" s="818"/>
      <c r="B165" s="831">
        <v>5</v>
      </c>
      <c r="C165" s="829">
        <v>1.5</v>
      </c>
      <c r="D165" s="832"/>
      <c r="E165" s="833" t="s">
        <v>69</v>
      </c>
      <c r="F165" s="831">
        <v>1</v>
      </c>
      <c r="G165" s="829">
        <v>1.2</v>
      </c>
      <c r="H165" s="832"/>
      <c r="I165" s="833" t="s">
        <v>918</v>
      </c>
    </row>
    <row r="166" spans="1:9">
      <c r="A166" s="818"/>
      <c r="B166" s="831"/>
      <c r="C166" s="829">
        <v>1.73</v>
      </c>
      <c r="D166" s="832">
        <f>-C165*C166*B165</f>
        <v>-12.974999999999998</v>
      </c>
      <c r="E166" s="833"/>
      <c r="F166" s="831"/>
      <c r="G166" s="829">
        <v>2.73</v>
      </c>
      <c r="H166" s="832">
        <f>-G165*G166*F165</f>
        <v>-3.2759999999999998</v>
      </c>
      <c r="I166" s="833"/>
    </row>
    <row r="167" spans="1:9">
      <c r="A167" s="818"/>
      <c r="B167" s="831"/>
      <c r="C167" s="829"/>
      <c r="D167" s="832"/>
      <c r="E167" s="833"/>
      <c r="F167" s="831"/>
      <c r="G167" s="829"/>
      <c r="H167" s="832"/>
      <c r="I167" s="833"/>
    </row>
    <row r="168" spans="1:9">
      <c r="A168" s="818"/>
      <c r="B168" s="831">
        <v>1</v>
      </c>
      <c r="C168" s="829">
        <v>1.4</v>
      </c>
      <c r="D168" s="832"/>
      <c r="E168" s="833" t="s">
        <v>519</v>
      </c>
      <c r="F168" s="831">
        <v>1</v>
      </c>
      <c r="G168" s="829">
        <v>30.6</v>
      </c>
      <c r="H168" s="832"/>
      <c r="I168" s="833" t="s">
        <v>919</v>
      </c>
    </row>
    <row r="169" spans="1:9">
      <c r="A169" s="818"/>
      <c r="B169" s="831"/>
      <c r="C169" s="829">
        <v>2.73</v>
      </c>
      <c r="D169" s="832">
        <f>-C168*C169*B168</f>
        <v>-3.8219999999999996</v>
      </c>
      <c r="E169" s="833"/>
      <c r="F169" s="831"/>
      <c r="G169" s="829">
        <v>3.06</v>
      </c>
      <c r="H169" s="832">
        <f>G168*G169*F168</f>
        <v>93.63600000000001</v>
      </c>
      <c r="I169" s="833" t="s">
        <v>904</v>
      </c>
    </row>
    <row r="170" spans="1:9">
      <c r="A170" s="818"/>
      <c r="B170" s="831"/>
      <c r="C170" s="829"/>
      <c r="D170" s="832"/>
      <c r="E170" s="833"/>
      <c r="F170" s="831"/>
      <c r="G170" s="829"/>
      <c r="H170" s="832"/>
      <c r="I170" s="833"/>
    </row>
    <row r="171" spans="1:9">
      <c r="A171" s="818"/>
      <c r="B171" s="831">
        <v>1</v>
      </c>
      <c r="C171" s="829">
        <v>19</v>
      </c>
      <c r="D171" s="832"/>
      <c r="E171" s="833" t="s">
        <v>905</v>
      </c>
      <c r="F171" s="831">
        <v>5</v>
      </c>
      <c r="G171" s="829">
        <v>1.5</v>
      </c>
      <c r="H171" s="832"/>
      <c r="I171" s="833" t="s">
        <v>69</v>
      </c>
    </row>
    <row r="172" spans="1:9">
      <c r="A172" s="818"/>
      <c r="B172" s="831"/>
      <c r="C172" s="829">
        <v>3.06</v>
      </c>
      <c r="D172" s="832">
        <f>C171*C172*B171</f>
        <v>58.14</v>
      </c>
      <c r="E172" s="833" t="s">
        <v>906</v>
      </c>
      <c r="F172" s="831"/>
      <c r="G172" s="829">
        <v>1.73</v>
      </c>
      <c r="H172" s="832">
        <f>-G171*G172*F171</f>
        <v>-12.974999999999998</v>
      </c>
      <c r="I172" s="833"/>
    </row>
    <row r="173" spans="1:9">
      <c r="A173" s="818"/>
      <c r="B173" s="831"/>
      <c r="C173" s="829"/>
      <c r="D173" s="832"/>
      <c r="E173" s="833"/>
      <c r="F173" s="831"/>
      <c r="G173" s="829"/>
      <c r="H173" s="832"/>
      <c r="I173" s="833"/>
    </row>
    <row r="174" spans="1:9">
      <c r="A174" s="818"/>
      <c r="B174" s="831">
        <v>1</v>
      </c>
      <c r="C174" s="829">
        <v>1.6</v>
      </c>
      <c r="D174" s="832"/>
      <c r="E174" s="833" t="s">
        <v>907</v>
      </c>
      <c r="F174" s="831">
        <v>1</v>
      </c>
      <c r="G174" s="829">
        <v>1.4</v>
      </c>
      <c r="H174" s="832"/>
      <c r="I174" s="833" t="s">
        <v>519</v>
      </c>
    </row>
    <row r="175" spans="1:9">
      <c r="A175" s="818"/>
      <c r="B175" s="831"/>
      <c r="C175" s="829">
        <v>1.73</v>
      </c>
      <c r="D175" s="832">
        <f>-C174*C175*B174</f>
        <v>-2.7680000000000002</v>
      </c>
      <c r="E175" s="833"/>
      <c r="F175" s="831"/>
      <c r="G175" s="829">
        <v>2.73</v>
      </c>
      <c r="H175" s="832">
        <f>-G174*G175*F174</f>
        <v>-3.8219999999999996</v>
      </c>
      <c r="I175" s="833"/>
    </row>
    <row r="176" spans="1:9">
      <c r="A176" s="818"/>
      <c r="B176" s="831"/>
      <c r="C176" s="829"/>
      <c r="D176" s="832"/>
      <c r="E176" s="833"/>
      <c r="F176" s="831"/>
      <c r="G176" s="829"/>
      <c r="H176" s="832"/>
      <c r="I176" s="833"/>
    </row>
    <row r="177" spans="1:10">
      <c r="A177" s="818"/>
      <c r="B177" s="831">
        <v>1</v>
      </c>
      <c r="C177" s="829">
        <v>1.4</v>
      </c>
      <c r="D177" s="832"/>
      <c r="E177" s="833" t="s">
        <v>519</v>
      </c>
      <c r="F177" s="831">
        <v>1</v>
      </c>
      <c r="G177" s="829">
        <v>20.2</v>
      </c>
      <c r="H177" s="832"/>
      <c r="I177" s="833" t="s">
        <v>921</v>
      </c>
    </row>
    <row r="178" spans="1:10">
      <c r="A178" s="818"/>
      <c r="B178" s="831"/>
      <c r="C178" s="829">
        <v>2.73</v>
      </c>
      <c r="D178" s="832">
        <f>-C177*C178*B177</f>
        <v>-3.8219999999999996</v>
      </c>
      <c r="E178" s="833"/>
      <c r="F178" s="831"/>
      <c r="G178" s="829">
        <v>3.06</v>
      </c>
      <c r="H178" s="832">
        <f>G177*G178*F177</f>
        <v>61.811999999999998</v>
      </c>
      <c r="I178" s="833" t="s">
        <v>923</v>
      </c>
    </row>
    <row r="179" spans="1:10">
      <c r="A179" s="818"/>
      <c r="B179" s="435"/>
      <c r="C179" s="847"/>
      <c r="D179" s="847"/>
      <c r="E179" s="435"/>
      <c r="F179" s="831"/>
      <c r="G179" s="829"/>
      <c r="H179" s="832"/>
      <c r="I179" s="833"/>
    </row>
    <row r="180" spans="1:10">
      <c r="A180" s="818"/>
      <c r="B180" s="109"/>
      <c r="C180" s="939"/>
      <c r="D180" s="860"/>
      <c r="E180" s="109"/>
      <c r="F180" s="860"/>
      <c r="G180" s="927"/>
      <c r="H180" s="928"/>
      <c r="I180" s="109"/>
    </row>
    <row r="181" spans="1:10">
      <c r="A181" s="828"/>
      <c r="B181" s="853" t="s">
        <v>1884</v>
      </c>
      <c r="C181" s="854" t="s">
        <v>526</v>
      </c>
      <c r="D181" s="855" t="s">
        <v>1885</v>
      </c>
      <c r="E181" s="854" t="s">
        <v>1886</v>
      </c>
      <c r="F181" s="853" t="s">
        <v>1884</v>
      </c>
      <c r="G181" s="854" t="s">
        <v>526</v>
      </c>
      <c r="H181" s="855" t="s">
        <v>1885</v>
      </c>
      <c r="I181" s="854" t="s">
        <v>1886</v>
      </c>
      <c r="J181" s="828"/>
    </row>
    <row r="182" spans="1:10">
      <c r="A182" s="818"/>
      <c r="B182" s="831">
        <v>2</v>
      </c>
      <c r="C182" s="829">
        <v>1.5</v>
      </c>
      <c r="D182" s="832"/>
      <c r="E182" s="833" t="s">
        <v>212</v>
      </c>
      <c r="F182" s="831">
        <v>1</v>
      </c>
      <c r="G182" s="829">
        <v>4.3499999999999996</v>
      </c>
      <c r="H182" s="832"/>
      <c r="I182" s="833" t="s">
        <v>905</v>
      </c>
    </row>
    <row r="183" spans="1:10">
      <c r="A183" s="818"/>
      <c r="B183" s="831"/>
      <c r="C183" s="829">
        <v>1.73</v>
      </c>
      <c r="D183" s="832">
        <f>-C182*C183*B182</f>
        <v>-5.1899999999999995</v>
      </c>
      <c r="E183" s="833"/>
      <c r="F183" s="831"/>
      <c r="G183" s="829">
        <v>5.15</v>
      </c>
      <c r="H183" s="832">
        <f>G182*G183*F182</f>
        <v>22.4025</v>
      </c>
      <c r="I183" s="833"/>
    </row>
    <row r="184" spans="1:10">
      <c r="A184" s="818"/>
      <c r="B184" s="831"/>
      <c r="C184" s="829"/>
      <c r="D184" s="832"/>
      <c r="E184" s="833"/>
      <c r="F184" s="831"/>
      <c r="G184" s="829"/>
      <c r="H184" s="832"/>
      <c r="I184" s="833"/>
    </row>
    <row r="185" spans="1:10">
      <c r="A185" s="818"/>
      <c r="B185" s="831">
        <v>1</v>
      </c>
      <c r="C185" s="829">
        <v>1.4</v>
      </c>
      <c r="D185" s="832"/>
      <c r="E185" s="833" t="s">
        <v>519</v>
      </c>
      <c r="F185" s="831">
        <v>1</v>
      </c>
      <c r="G185" s="829">
        <v>5</v>
      </c>
      <c r="H185" s="832"/>
      <c r="I185" s="833" t="s">
        <v>913</v>
      </c>
    </row>
    <row r="186" spans="1:10">
      <c r="A186" s="818"/>
      <c r="B186" s="831"/>
      <c r="C186" s="829">
        <v>2.73</v>
      </c>
      <c r="D186" s="832">
        <f>-C185*C186*B185</f>
        <v>-3.8219999999999996</v>
      </c>
      <c r="E186" s="833"/>
      <c r="F186" s="831"/>
      <c r="G186" s="829">
        <v>5.15</v>
      </c>
      <c r="H186" s="832">
        <f>G185*G186*F185</f>
        <v>25.75</v>
      </c>
      <c r="I186" s="833"/>
    </row>
    <row r="187" spans="1:10">
      <c r="A187" s="818"/>
      <c r="B187" s="831"/>
      <c r="C187" s="829"/>
      <c r="D187" s="832"/>
      <c r="E187" s="833"/>
      <c r="F187" s="831"/>
      <c r="G187" s="829"/>
      <c r="H187" s="832"/>
      <c r="I187" s="833"/>
    </row>
    <row r="188" spans="1:10">
      <c r="A188" s="818"/>
      <c r="B188" s="831">
        <v>1</v>
      </c>
      <c r="C188" s="829">
        <v>15.9</v>
      </c>
      <c r="D188" s="832"/>
      <c r="E188" s="833" t="s">
        <v>925</v>
      </c>
      <c r="F188" s="831">
        <v>1</v>
      </c>
      <c r="G188" s="829">
        <v>21.9</v>
      </c>
      <c r="H188" s="832"/>
      <c r="I188" s="833" t="s">
        <v>160</v>
      </c>
    </row>
    <row r="189" spans="1:10">
      <c r="A189" s="818"/>
      <c r="B189" s="831"/>
      <c r="C189" s="829">
        <v>3.06</v>
      </c>
      <c r="D189" s="832">
        <f>C188*C189*B188</f>
        <v>48.654000000000003</v>
      </c>
      <c r="E189" s="833" t="s">
        <v>927</v>
      </c>
      <c r="F189" s="831"/>
      <c r="G189" s="829">
        <v>2</v>
      </c>
      <c r="H189" s="832">
        <f>G188*G189*F188</f>
        <v>43.8</v>
      </c>
      <c r="I189" s="833"/>
    </row>
    <row r="190" spans="1:10">
      <c r="A190" s="818"/>
      <c r="B190" s="831"/>
      <c r="C190" s="829"/>
      <c r="D190" s="832"/>
      <c r="E190" s="833"/>
      <c r="F190" s="831"/>
      <c r="G190" s="829"/>
      <c r="H190" s="832"/>
      <c r="I190" s="833"/>
    </row>
    <row r="191" spans="1:10">
      <c r="A191" s="818"/>
      <c r="B191" s="831">
        <v>1</v>
      </c>
      <c r="C191" s="829">
        <v>1.5</v>
      </c>
      <c r="D191" s="832"/>
      <c r="E191" s="833"/>
      <c r="F191" s="831">
        <v>1</v>
      </c>
      <c r="G191" s="829">
        <v>9.9499999999999993</v>
      </c>
      <c r="H191" s="832"/>
      <c r="I191" s="833" t="s">
        <v>919</v>
      </c>
    </row>
    <row r="192" spans="1:10">
      <c r="A192" s="818"/>
      <c r="B192" s="831"/>
      <c r="C192" s="829">
        <v>1.73</v>
      </c>
      <c r="D192" s="832">
        <f>-C191*C192*B191</f>
        <v>-2.5949999999999998</v>
      </c>
      <c r="E192" s="833" t="s">
        <v>90</v>
      </c>
      <c r="F192" s="831"/>
      <c r="G192" s="829">
        <v>5.15</v>
      </c>
      <c r="H192" s="832">
        <f>G191*G192*F191</f>
        <v>51.2425</v>
      </c>
      <c r="I192" s="833"/>
    </row>
    <row r="193" spans="1:9">
      <c r="A193" s="818"/>
      <c r="B193" s="831"/>
      <c r="C193" s="829"/>
      <c r="D193" s="832"/>
      <c r="E193" s="833"/>
      <c r="F193" s="831"/>
      <c r="G193" s="829"/>
      <c r="H193" s="832"/>
      <c r="I193" s="833"/>
    </row>
    <row r="194" spans="1:9">
      <c r="A194" s="818"/>
      <c r="B194" s="831">
        <v>1</v>
      </c>
      <c r="C194" s="829">
        <v>0.9</v>
      </c>
      <c r="D194" s="832"/>
      <c r="E194" s="833"/>
      <c r="F194" s="831">
        <v>1</v>
      </c>
      <c r="G194" s="829">
        <v>4.95</v>
      </c>
      <c r="H194" s="832"/>
      <c r="I194" s="833" t="s">
        <v>921</v>
      </c>
    </row>
    <row r="195" spans="1:9">
      <c r="A195" s="818"/>
      <c r="B195" s="831"/>
      <c r="C195" s="829">
        <v>2.73</v>
      </c>
      <c r="D195" s="832">
        <f>-C194*C195*B194</f>
        <v>-2.4569999999999999</v>
      </c>
      <c r="E195" s="833" t="s">
        <v>347</v>
      </c>
      <c r="F195" s="831"/>
      <c r="G195" s="829">
        <v>5.15</v>
      </c>
      <c r="H195" s="832">
        <f>G194*G195*F194</f>
        <v>25.492500000000003</v>
      </c>
      <c r="I195" s="833"/>
    </row>
    <row r="196" spans="1:9">
      <c r="A196" s="818"/>
      <c r="B196" s="831"/>
      <c r="C196" s="829"/>
      <c r="D196" s="832"/>
      <c r="E196" s="833"/>
      <c r="F196" s="831"/>
      <c r="G196" s="829"/>
      <c r="H196" s="832"/>
      <c r="I196" s="833"/>
    </row>
    <row r="197" spans="1:9">
      <c r="A197" s="818"/>
      <c r="B197" s="831">
        <v>1</v>
      </c>
      <c r="C197" s="829">
        <v>18.600000000000001</v>
      </c>
      <c r="D197" s="832"/>
      <c r="E197" s="833"/>
      <c r="F197" s="831">
        <v>1</v>
      </c>
      <c r="G197" s="829">
        <v>2.6</v>
      </c>
      <c r="H197" s="832"/>
      <c r="I197" s="833" t="s">
        <v>925</v>
      </c>
    </row>
    <row r="198" spans="1:9">
      <c r="A198" s="818"/>
      <c r="B198" s="831"/>
      <c r="C198" s="829">
        <v>3.06</v>
      </c>
      <c r="D198" s="832">
        <f>C197*C198*B197</f>
        <v>56.916000000000004</v>
      </c>
      <c r="E198" s="833" t="s">
        <v>916</v>
      </c>
      <c r="F198" s="831"/>
      <c r="G198" s="829">
        <v>5.15</v>
      </c>
      <c r="H198" s="832">
        <f>G197*G198*F197</f>
        <v>13.39</v>
      </c>
      <c r="I198" s="833"/>
    </row>
    <row r="199" spans="1:9">
      <c r="A199" s="818"/>
      <c r="B199" s="831"/>
      <c r="C199" s="829"/>
      <c r="D199" s="832"/>
      <c r="E199" s="833" t="s">
        <v>917</v>
      </c>
      <c r="F199" s="831"/>
      <c r="G199" s="829"/>
      <c r="H199" s="832"/>
      <c r="I199" s="833"/>
    </row>
    <row r="200" spans="1:9">
      <c r="A200" s="818"/>
      <c r="B200" s="831">
        <v>2</v>
      </c>
      <c r="C200" s="829">
        <v>1.6</v>
      </c>
      <c r="D200" s="832"/>
      <c r="E200" s="833"/>
      <c r="F200" s="831">
        <v>1</v>
      </c>
      <c r="G200" s="829">
        <v>4.1500000000000004</v>
      </c>
      <c r="H200" s="832"/>
      <c r="I200" s="833" t="s">
        <v>916</v>
      </c>
    </row>
    <row r="201" spans="1:9">
      <c r="A201" s="818"/>
      <c r="B201" s="831"/>
      <c r="C201" s="829">
        <v>1.73</v>
      </c>
      <c r="D201" s="832">
        <f>-C200*C201*B200</f>
        <v>-5.5360000000000005</v>
      </c>
      <c r="E201" s="833" t="s">
        <v>890</v>
      </c>
      <c r="F201" s="831"/>
      <c r="G201" s="829">
        <v>5.15</v>
      </c>
      <c r="H201" s="832">
        <f>G200*G201*F200</f>
        <v>21.372500000000002</v>
      </c>
      <c r="I201" s="833"/>
    </row>
    <row r="202" spans="1:9">
      <c r="A202" s="818"/>
      <c r="B202" s="831"/>
      <c r="C202" s="829"/>
      <c r="D202" s="832"/>
      <c r="E202" s="833"/>
      <c r="F202" s="831"/>
      <c r="G202" s="829"/>
      <c r="H202" s="832"/>
      <c r="I202" s="833"/>
    </row>
    <row r="203" spans="1:9">
      <c r="A203" s="818"/>
      <c r="B203" s="831">
        <v>1</v>
      </c>
      <c r="C203" s="829">
        <v>0.9</v>
      </c>
      <c r="D203" s="832"/>
      <c r="E203" s="833"/>
      <c r="F203" s="831">
        <v>1</v>
      </c>
      <c r="G203" s="829">
        <v>2.5499999999999998</v>
      </c>
      <c r="H203" s="832"/>
      <c r="I203" s="833" t="s">
        <v>84</v>
      </c>
    </row>
    <row r="204" spans="1:9">
      <c r="A204" s="818"/>
      <c r="B204" s="831"/>
      <c r="C204" s="829">
        <v>2.73</v>
      </c>
      <c r="D204" s="832">
        <f>-C203*C204*B203</f>
        <v>-2.4569999999999999</v>
      </c>
      <c r="E204" s="833" t="s">
        <v>347</v>
      </c>
      <c r="F204" s="831"/>
      <c r="G204" s="829">
        <v>1.4</v>
      </c>
      <c r="H204" s="832">
        <f>G203*G204*F203</f>
        <v>3.5699999999999994</v>
      </c>
      <c r="I204" s="833"/>
    </row>
    <row r="205" spans="1:9">
      <c r="A205" s="818"/>
      <c r="B205" s="831"/>
      <c r="C205" s="829"/>
      <c r="D205" s="832"/>
      <c r="E205" s="833"/>
      <c r="F205" s="831"/>
      <c r="G205" s="829"/>
      <c r="H205" s="832"/>
      <c r="I205" s="833"/>
    </row>
    <row r="206" spans="1:9">
      <c r="A206" s="818"/>
      <c r="B206" s="831">
        <v>18</v>
      </c>
      <c r="C206" s="829">
        <v>0.2</v>
      </c>
      <c r="D206" s="832"/>
      <c r="E206" s="833"/>
      <c r="F206" s="831">
        <v>2</v>
      </c>
      <c r="G206" s="829">
        <v>1.2</v>
      </c>
      <c r="H206" s="832"/>
      <c r="I206" s="833"/>
    </row>
    <row r="207" spans="1:9">
      <c r="A207" s="818"/>
      <c r="B207" s="831"/>
      <c r="C207" s="829">
        <v>2.73</v>
      </c>
      <c r="D207" s="832">
        <f>C206*C207*B206</f>
        <v>9.8280000000000012</v>
      </c>
      <c r="E207" s="833" t="s">
        <v>220</v>
      </c>
      <c r="F207" s="831"/>
      <c r="G207" s="829">
        <v>2.1</v>
      </c>
      <c r="H207" s="832">
        <f>G206*G207*F206</f>
        <v>5.04</v>
      </c>
      <c r="I207" s="833"/>
    </row>
    <row r="208" spans="1:9">
      <c r="A208" s="818"/>
      <c r="B208" s="831"/>
      <c r="C208" s="829"/>
      <c r="D208" s="832"/>
      <c r="E208" s="833"/>
      <c r="F208" s="831"/>
      <c r="G208" s="829"/>
      <c r="H208" s="832"/>
      <c r="I208" s="833"/>
    </row>
    <row r="209" spans="1:9">
      <c r="A209" s="818"/>
      <c r="B209" s="831">
        <v>2</v>
      </c>
      <c r="C209" s="829">
        <v>22.9</v>
      </c>
      <c r="D209" s="832"/>
      <c r="E209" s="833"/>
      <c r="F209" s="831">
        <v>2</v>
      </c>
      <c r="G209" s="829">
        <v>1.2</v>
      </c>
      <c r="H209" s="832"/>
      <c r="I209" s="833"/>
    </row>
    <row r="210" spans="1:9">
      <c r="A210" s="818"/>
      <c r="B210" s="831"/>
      <c r="C210" s="829">
        <v>0.4</v>
      </c>
      <c r="D210" s="832">
        <f>C209*C210*B209</f>
        <v>18.32</v>
      </c>
      <c r="E210" s="833" t="s">
        <v>1</v>
      </c>
      <c r="F210" s="831"/>
      <c r="G210" s="829">
        <v>1.4</v>
      </c>
      <c r="H210" s="832">
        <f>G209*G210*F209</f>
        <v>3.36</v>
      </c>
      <c r="I210" s="833"/>
    </row>
    <row r="211" spans="1:9">
      <c r="A211" s="818"/>
      <c r="B211" s="831"/>
      <c r="C211" s="829"/>
      <c r="D211" s="832"/>
      <c r="E211" s="833"/>
      <c r="F211" s="831"/>
      <c r="G211" s="829"/>
      <c r="H211" s="832"/>
      <c r="I211" s="833"/>
    </row>
    <row r="212" spans="1:9">
      <c r="A212" s="818"/>
      <c r="B212" s="831">
        <v>2</v>
      </c>
      <c r="C212" s="829">
        <v>22.9</v>
      </c>
      <c r="D212" s="832"/>
      <c r="E212" s="833"/>
      <c r="F212" s="839"/>
      <c r="G212" s="935"/>
      <c r="H212" s="838">
        <f>SUM(H182:H210)+D237</f>
        <v>266.66249999999997</v>
      </c>
      <c r="I212" s="845" t="s">
        <v>2144</v>
      </c>
    </row>
    <row r="213" spans="1:9">
      <c r="A213" s="818"/>
      <c r="B213" s="831"/>
      <c r="C213" s="829">
        <v>0.3</v>
      </c>
      <c r="D213" s="832">
        <f>C212*C213*B212</f>
        <v>13.739999999999998</v>
      </c>
      <c r="E213" s="833" t="s">
        <v>217</v>
      </c>
      <c r="F213" s="847"/>
      <c r="G213" s="848"/>
      <c r="H213" s="843"/>
      <c r="I213" s="435"/>
    </row>
    <row r="214" spans="1:9">
      <c r="A214" s="818"/>
      <c r="B214" s="831"/>
      <c r="C214" s="829"/>
      <c r="D214" s="832"/>
      <c r="E214" s="833"/>
      <c r="F214" s="831"/>
      <c r="G214" s="829"/>
      <c r="H214" s="832"/>
      <c r="I214" s="833" t="s">
        <v>863</v>
      </c>
    </row>
    <row r="215" spans="1:9">
      <c r="A215" s="818"/>
      <c r="B215" s="831">
        <v>2</v>
      </c>
      <c r="C215" s="829">
        <v>13</v>
      </c>
      <c r="D215" s="832"/>
      <c r="E215" s="833"/>
      <c r="F215" s="831">
        <v>1</v>
      </c>
      <c r="G215" s="829">
        <v>10.15</v>
      </c>
      <c r="H215" s="832"/>
      <c r="I215" s="833" t="s">
        <v>903</v>
      </c>
    </row>
    <row r="216" spans="1:9">
      <c r="A216" s="818"/>
      <c r="B216" s="831"/>
      <c r="C216" s="829">
        <v>0.4</v>
      </c>
      <c r="D216" s="832">
        <f>C215*C216*B215</f>
        <v>10.4</v>
      </c>
      <c r="E216" s="833" t="s">
        <v>1</v>
      </c>
      <c r="F216" s="831"/>
      <c r="G216" s="829">
        <v>5.15</v>
      </c>
      <c r="H216" s="832">
        <f>G215*G216*F215</f>
        <v>52.272500000000008</v>
      </c>
      <c r="I216" s="833"/>
    </row>
    <row r="217" spans="1:9">
      <c r="A217" s="818"/>
      <c r="B217" s="831"/>
      <c r="C217" s="829"/>
      <c r="D217" s="832"/>
      <c r="E217" s="833"/>
      <c r="F217" s="831"/>
      <c r="G217" s="829"/>
      <c r="H217" s="832"/>
      <c r="I217" s="833"/>
    </row>
    <row r="218" spans="1:9">
      <c r="A218" s="818"/>
      <c r="B218" s="831">
        <v>2</v>
      </c>
      <c r="C218" s="829">
        <v>13</v>
      </c>
      <c r="D218" s="832"/>
      <c r="E218" s="833"/>
      <c r="F218" s="831">
        <v>1</v>
      </c>
      <c r="G218" s="829">
        <v>4.3499999999999996</v>
      </c>
      <c r="H218" s="832"/>
      <c r="I218" s="833" t="s">
        <v>905</v>
      </c>
    </row>
    <row r="219" spans="1:9">
      <c r="A219" s="818"/>
      <c r="B219" s="831"/>
      <c r="C219" s="829">
        <v>0.3</v>
      </c>
      <c r="D219" s="832">
        <f>C218*C219*B218</f>
        <v>7.8</v>
      </c>
      <c r="E219" s="833" t="s">
        <v>217</v>
      </c>
      <c r="F219" s="831"/>
      <c r="G219" s="829">
        <v>5.15</v>
      </c>
      <c r="H219" s="832">
        <f>G218*G219*F218</f>
        <v>22.4025</v>
      </c>
      <c r="I219" s="833"/>
    </row>
    <row r="220" spans="1:9">
      <c r="A220" s="818"/>
      <c r="B220" s="831"/>
      <c r="C220" s="829"/>
      <c r="D220" s="832"/>
      <c r="E220" s="833"/>
      <c r="F220" s="831"/>
      <c r="G220" s="829"/>
      <c r="H220" s="832"/>
      <c r="I220" s="833"/>
    </row>
    <row r="221" spans="1:9">
      <c r="A221" s="818"/>
      <c r="B221" s="831">
        <v>1</v>
      </c>
      <c r="C221" s="829">
        <v>12.3</v>
      </c>
      <c r="D221" s="832"/>
      <c r="E221" s="833" t="s">
        <v>920</v>
      </c>
      <c r="F221" s="831">
        <v>1</v>
      </c>
      <c r="G221" s="829">
        <v>5</v>
      </c>
      <c r="H221" s="832"/>
      <c r="I221" s="833" t="s">
        <v>913</v>
      </c>
    </row>
    <row r="222" spans="1:9">
      <c r="A222" s="818"/>
      <c r="B222" s="831"/>
      <c r="C222" s="829">
        <v>0.8</v>
      </c>
      <c r="D222" s="832">
        <f>C221*C222*B221</f>
        <v>9.8400000000000016</v>
      </c>
      <c r="E222" s="833" t="s">
        <v>922</v>
      </c>
      <c r="F222" s="831"/>
      <c r="G222" s="829">
        <v>5.15</v>
      </c>
      <c r="H222" s="832">
        <f>G221*G222*F221</f>
        <v>25.75</v>
      </c>
      <c r="I222" s="833"/>
    </row>
    <row r="223" spans="1:9">
      <c r="A223" s="818"/>
      <c r="B223" s="831"/>
      <c r="C223" s="829"/>
      <c r="D223" s="832"/>
      <c r="E223" s="833"/>
      <c r="F223" s="831"/>
      <c r="G223" s="829"/>
      <c r="H223" s="832"/>
      <c r="I223" s="833"/>
    </row>
    <row r="224" spans="1:9">
      <c r="A224" s="818"/>
      <c r="B224" s="831">
        <v>2</v>
      </c>
      <c r="C224" s="829">
        <v>2</v>
      </c>
      <c r="D224" s="832"/>
      <c r="E224" s="833"/>
      <c r="F224" s="831">
        <v>1</v>
      </c>
      <c r="G224" s="829">
        <v>22.5</v>
      </c>
      <c r="H224" s="832"/>
      <c r="I224" s="833" t="s">
        <v>160</v>
      </c>
    </row>
    <row r="225" spans="1:10">
      <c r="A225" s="818"/>
      <c r="B225" s="831"/>
      <c r="C225" s="829">
        <v>0.8</v>
      </c>
      <c r="D225" s="832">
        <f>C224*C225*B224</f>
        <v>3.2</v>
      </c>
      <c r="E225" s="833" t="s">
        <v>924</v>
      </c>
      <c r="F225" s="831"/>
      <c r="G225" s="829">
        <v>2</v>
      </c>
      <c r="H225" s="832">
        <f>G224*G225*F224</f>
        <v>45</v>
      </c>
      <c r="I225" s="833"/>
    </row>
    <row r="226" spans="1:10">
      <c r="A226" s="818"/>
      <c r="B226" s="831"/>
      <c r="C226" s="829"/>
      <c r="D226" s="832"/>
      <c r="E226" s="833"/>
      <c r="F226" s="831"/>
      <c r="G226" s="829"/>
      <c r="H226" s="832"/>
      <c r="I226" s="833"/>
    </row>
    <row r="227" spans="1:10">
      <c r="A227" s="818"/>
      <c r="B227" s="831">
        <v>2</v>
      </c>
      <c r="C227" s="829">
        <v>2</v>
      </c>
      <c r="D227" s="832"/>
      <c r="E227" s="833"/>
      <c r="F227" s="831">
        <v>1</v>
      </c>
      <c r="G227" s="829">
        <v>10.15</v>
      </c>
      <c r="H227" s="832"/>
      <c r="I227" s="833" t="s">
        <v>919</v>
      </c>
    </row>
    <row r="228" spans="1:10">
      <c r="A228" s="818"/>
      <c r="B228" s="831"/>
      <c r="C228" s="829">
        <v>0.5</v>
      </c>
      <c r="D228" s="832">
        <f>C227*C228*B227</f>
        <v>2</v>
      </c>
      <c r="E228" s="833" t="s">
        <v>924</v>
      </c>
      <c r="F228" s="831"/>
      <c r="G228" s="829">
        <v>5.15</v>
      </c>
      <c r="H228" s="832">
        <f>G227*G228*F227</f>
        <v>52.272500000000008</v>
      </c>
      <c r="I228" s="833"/>
    </row>
    <row r="229" spans="1:10">
      <c r="A229" s="818"/>
      <c r="B229" s="831"/>
      <c r="C229" s="829"/>
      <c r="D229" s="832"/>
      <c r="E229" s="833"/>
      <c r="F229" s="831"/>
      <c r="G229" s="829"/>
      <c r="H229" s="832"/>
      <c r="I229" s="833"/>
    </row>
    <row r="230" spans="1:10">
      <c r="A230" s="818"/>
      <c r="B230" s="831">
        <v>1</v>
      </c>
      <c r="C230" s="829">
        <v>5.15</v>
      </c>
      <c r="D230" s="832"/>
      <c r="E230" s="833"/>
      <c r="F230" s="831">
        <v>1</v>
      </c>
      <c r="G230" s="829">
        <v>4.95</v>
      </c>
      <c r="H230" s="832"/>
      <c r="I230" s="833" t="s">
        <v>921</v>
      </c>
    </row>
    <row r="231" spans="1:10">
      <c r="A231" s="818"/>
      <c r="B231" s="831"/>
      <c r="C231" s="829">
        <v>0.8</v>
      </c>
      <c r="D231" s="832">
        <f>C230*C231*B230</f>
        <v>4.12</v>
      </c>
      <c r="E231" s="833" t="s">
        <v>926</v>
      </c>
      <c r="F231" s="831"/>
      <c r="G231" s="829">
        <v>5.15</v>
      </c>
      <c r="H231" s="832">
        <f>G230*G231*F230</f>
        <v>25.492500000000003</v>
      </c>
      <c r="I231" s="833"/>
    </row>
    <row r="232" spans="1:10">
      <c r="A232" s="818"/>
      <c r="B232" s="831"/>
      <c r="C232" s="829"/>
      <c r="D232" s="832"/>
      <c r="E232" s="833"/>
      <c r="F232" s="831"/>
      <c r="G232" s="829"/>
      <c r="H232" s="832"/>
      <c r="I232" s="833"/>
    </row>
    <row r="233" spans="1:10">
      <c r="A233" s="818"/>
      <c r="B233" s="839"/>
      <c r="C233" s="839"/>
      <c r="D233" s="838">
        <f>SUM(D183:D231)+SUM(H124:H178)+SUM(D163:D180)</f>
        <v>668.54700000000003</v>
      </c>
      <c r="E233" s="839" t="s">
        <v>2184</v>
      </c>
      <c r="F233" s="831">
        <v>1</v>
      </c>
      <c r="G233" s="829">
        <v>2.8</v>
      </c>
      <c r="H233" s="832"/>
      <c r="I233" s="833" t="s">
        <v>925</v>
      </c>
    </row>
    <row r="234" spans="1:10">
      <c r="A234" s="818"/>
      <c r="B234" s="831"/>
      <c r="C234" s="829"/>
      <c r="D234" s="832"/>
      <c r="E234" s="833"/>
      <c r="F234" s="831"/>
      <c r="G234" s="829">
        <v>5.15</v>
      </c>
      <c r="H234" s="832">
        <f>G233*G234*F233</f>
        <v>14.42</v>
      </c>
      <c r="I234" s="833"/>
    </row>
    <row r="235" spans="1:10">
      <c r="A235" s="818"/>
      <c r="B235" s="831"/>
      <c r="C235" s="829"/>
      <c r="D235" s="832"/>
      <c r="E235" s="844" t="s">
        <v>226</v>
      </c>
      <c r="F235" s="831"/>
      <c r="G235" s="829"/>
      <c r="H235" s="832"/>
      <c r="I235" s="833"/>
    </row>
    <row r="236" spans="1:10">
      <c r="A236" s="818"/>
      <c r="B236" s="831">
        <v>1</v>
      </c>
      <c r="C236" s="829">
        <v>9.9499999999999993</v>
      </c>
      <c r="D236" s="832"/>
      <c r="E236" s="833" t="s">
        <v>903</v>
      </c>
      <c r="F236" s="831">
        <v>1</v>
      </c>
      <c r="G236" s="829">
        <v>4.1500000000000004</v>
      </c>
      <c r="H236" s="832"/>
      <c r="I236" s="833" t="s">
        <v>916</v>
      </c>
    </row>
    <row r="237" spans="1:10">
      <c r="A237" s="818"/>
      <c r="B237" s="831"/>
      <c r="C237" s="829">
        <v>5.15</v>
      </c>
      <c r="D237" s="832">
        <f>C236*C237*B236</f>
        <v>51.2425</v>
      </c>
      <c r="E237" s="833"/>
      <c r="F237" s="831"/>
      <c r="G237" s="829">
        <v>5.15</v>
      </c>
      <c r="H237" s="832">
        <f>G236*G237*F236</f>
        <v>21.372500000000002</v>
      </c>
      <c r="I237" s="833"/>
    </row>
    <row r="238" spans="1:10">
      <c r="A238" s="818"/>
      <c r="B238" s="435"/>
      <c r="C238" s="829"/>
      <c r="D238" s="843"/>
      <c r="E238" s="435"/>
      <c r="F238" s="435"/>
      <c r="G238" s="435"/>
      <c r="H238" s="435"/>
      <c r="I238" s="435"/>
    </row>
    <row r="239" spans="1:10">
      <c r="A239" s="818"/>
      <c r="B239" s="849"/>
      <c r="C239" s="850"/>
      <c r="D239" s="928"/>
      <c r="E239" s="849"/>
      <c r="F239" s="109"/>
      <c r="G239" s="109"/>
      <c r="H239" s="109"/>
      <c r="I239" s="109"/>
    </row>
    <row r="240" spans="1:10">
      <c r="A240" s="828"/>
      <c r="B240" s="853" t="s">
        <v>1884</v>
      </c>
      <c r="C240" s="854" t="s">
        <v>526</v>
      </c>
      <c r="D240" s="855" t="s">
        <v>1885</v>
      </c>
      <c r="E240" s="854" t="s">
        <v>1886</v>
      </c>
      <c r="F240" s="853" t="s">
        <v>1884</v>
      </c>
      <c r="G240" s="854" t="s">
        <v>526</v>
      </c>
      <c r="H240" s="855" t="s">
        <v>1885</v>
      </c>
      <c r="I240" s="854" t="s">
        <v>1886</v>
      </c>
      <c r="J240" s="828"/>
    </row>
    <row r="241" spans="1:9">
      <c r="A241" s="818"/>
      <c r="B241" s="831">
        <v>5</v>
      </c>
      <c r="C241" s="829">
        <v>1.4</v>
      </c>
      <c r="D241" s="832"/>
      <c r="E241" s="833" t="s">
        <v>501</v>
      </c>
      <c r="F241" s="831"/>
      <c r="G241" s="829"/>
      <c r="H241" s="832"/>
      <c r="I241" s="844" t="s">
        <v>274</v>
      </c>
    </row>
    <row r="242" spans="1:9">
      <c r="A242" s="818"/>
      <c r="B242" s="831"/>
      <c r="C242" s="829">
        <v>0.15</v>
      </c>
      <c r="D242" s="832">
        <f>C241*C242*B241</f>
        <v>1.05</v>
      </c>
      <c r="E242" s="833"/>
      <c r="F242" s="831"/>
      <c r="G242" s="829"/>
      <c r="H242" s="832"/>
      <c r="I242" s="844" t="s">
        <v>275</v>
      </c>
    </row>
    <row r="243" spans="1:9">
      <c r="A243" s="818"/>
      <c r="B243" s="831"/>
      <c r="C243" s="829"/>
      <c r="D243" s="832"/>
      <c r="E243" s="833"/>
      <c r="F243" s="831">
        <v>2</v>
      </c>
      <c r="G243" s="829">
        <v>24.1</v>
      </c>
      <c r="H243" s="832"/>
      <c r="I243" s="833"/>
    </row>
    <row r="244" spans="1:9">
      <c r="A244" s="818"/>
      <c r="B244" s="831">
        <v>4</v>
      </c>
      <c r="C244" s="829">
        <v>0.7</v>
      </c>
      <c r="D244" s="832"/>
      <c r="E244" s="833" t="s">
        <v>361</v>
      </c>
      <c r="F244" s="831"/>
      <c r="G244" s="829">
        <v>1.2</v>
      </c>
      <c r="H244" s="832">
        <f>G243*G244*F243</f>
        <v>57.84</v>
      </c>
      <c r="I244" s="833" t="s">
        <v>895</v>
      </c>
    </row>
    <row r="245" spans="1:9">
      <c r="A245" s="818"/>
      <c r="B245" s="831"/>
      <c r="C245" s="829">
        <v>0.15</v>
      </c>
      <c r="D245" s="832">
        <f>C244*C245*B244</f>
        <v>0.42</v>
      </c>
      <c r="E245" s="833"/>
      <c r="F245" s="831"/>
      <c r="G245" s="829"/>
      <c r="H245" s="832"/>
      <c r="I245" s="833"/>
    </row>
    <row r="246" spans="1:9">
      <c r="A246" s="818"/>
      <c r="B246" s="831"/>
      <c r="C246" s="829"/>
      <c r="D246" s="832"/>
      <c r="E246" s="833"/>
      <c r="F246" s="831">
        <v>1</v>
      </c>
      <c r="G246" s="829">
        <v>13</v>
      </c>
      <c r="H246" s="832"/>
      <c r="I246" s="833"/>
    </row>
    <row r="247" spans="1:9">
      <c r="A247" s="818"/>
      <c r="B247" s="831">
        <v>2</v>
      </c>
      <c r="C247" s="829">
        <v>0.9</v>
      </c>
      <c r="D247" s="832"/>
      <c r="E247" s="833" t="s">
        <v>93</v>
      </c>
      <c r="F247" s="435"/>
      <c r="G247" s="829">
        <v>1.2</v>
      </c>
      <c r="H247" s="832">
        <f>G246*G247*F246</f>
        <v>15.6</v>
      </c>
      <c r="I247" s="833"/>
    </row>
    <row r="248" spans="1:9">
      <c r="A248" s="818"/>
      <c r="B248" s="831"/>
      <c r="C248" s="829">
        <v>0.15</v>
      </c>
      <c r="D248" s="832">
        <f>C247*C248*B247</f>
        <v>0.27</v>
      </c>
      <c r="E248" s="833"/>
      <c r="F248" s="831"/>
      <c r="G248" s="829"/>
      <c r="H248" s="435"/>
      <c r="I248" s="833"/>
    </row>
    <row r="249" spans="1:9">
      <c r="A249" s="818"/>
      <c r="B249" s="831"/>
      <c r="C249" s="829"/>
      <c r="D249" s="832"/>
      <c r="E249" s="833"/>
      <c r="F249" s="839"/>
      <c r="G249" s="935"/>
      <c r="H249" s="838">
        <f>SUM(H244:H247)</f>
        <v>73.44</v>
      </c>
      <c r="I249" s="845" t="s">
        <v>2272</v>
      </c>
    </row>
    <row r="250" spans="1:9">
      <c r="A250" s="818"/>
      <c r="B250" s="831">
        <v>1</v>
      </c>
      <c r="C250" s="829">
        <v>1.1499999999999999</v>
      </c>
      <c r="D250" s="832"/>
      <c r="E250" s="833" t="s">
        <v>62</v>
      </c>
      <c r="F250" s="831"/>
      <c r="G250" s="829"/>
      <c r="H250" s="832"/>
      <c r="I250" s="833"/>
    </row>
    <row r="251" spans="1:9">
      <c r="A251" s="818"/>
      <c r="B251" s="831"/>
      <c r="C251" s="829">
        <v>0.15</v>
      </c>
      <c r="D251" s="832">
        <f>C250*C251*B250</f>
        <v>0.17249999999999999</v>
      </c>
      <c r="E251" s="833"/>
      <c r="F251" s="831"/>
      <c r="G251" s="829"/>
      <c r="H251" s="832"/>
      <c r="I251" s="844" t="s">
        <v>2423</v>
      </c>
    </row>
    <row r="252" spans="1:9">
      <c r="A252" s="818"/>
      <c r="B252" s="831"/>
      <c r="C252" s="829"/>
      <c r="D252" s="832"/>
      <c r="E252" s="833"/>
      <c r="F252" s="831"/>
      <c r="G252" s="829"/>
      <c r="H252" s="832"/>
      <c r="I252" s="844" t="s">
        <v>445</v>
      </c>
    </row>
    <row r="253" spans="1:9">
      <c r="A253" s="818"/>
      <c r="B253" s="831">
        <v>1</v>
      </c>
      <c r="C253" s="829">
        <v>1.2</v>
      </c>
      <c r="D253" s="832"/>
      <c r="E253" s="833" t="s">
        <v>933</v>
      </c>
      <c r="F253" s="831"/>
      <c r="G253" s="829"/>
      <c r="H253" s="832"/>
      <c r="I253" s="833"/>
    </row>
    <row r="254" spans="1:9">
      <c r="A254" s="818"/>
      <c r="B254" s="435"/>
      <c r="C254" s="829">
        <v>0.2</v>
      </c>
      <c r="D254" s="832">
        <f>C253*C254*B253</f>
        <v>0.24</v>
      </c>
      <c r="E254" s="435"/>
      <c r="F254" s="831">
        <v>2</v>
      </c>
      <c r="G254" s="829">
        <v>24.9</v>
      </c>
      <c r="H254" s="832"/>
      <c r="I254" s="833" t="s">
        <v>939</v>
      </c>
    </row>
    <row r="255" spans="1:9">
      <c r="A255" s="818"/>
      <c r="B255" s="831"/>
      <c r="C255" s="829"/>
      <c r="D255" s="435"/>
      <c r="E255" s="833"/>
      <c r="F255" s="831"/>
      <c r="G255" s="829"/>
      <c r="H255" s="832">
        <f>F254*G254</f>
        <v>49.8</v>
      </c>
      <c r="I255" s="833"/>
    </row>
    <row r="256" spans="1:9">
      <c r="A256" s="818"/>
      <c r="B256" s="839"/>
      <c r="C256" s="935"/>
      <c r="D256" s="838">
        <f>SUM(H215:H237)+SUM(D242:D254)</f>
        <v>261.13499999999999</v>
      </c>
      <c r="E256" s="845" t="s">
        <v>2148</v>
      </c>
      <c r="F256" s="435"/>
      <c r="G256" s="435"/>
      <c r="H256" s="435"/>
      <c r="I256" s="435"/>
    </row>
    <row r="257" spans="1:9">
      <c r="A257" s="818"/>
      <c r="B257" s="435"/>
      <c r="C257" s="435"/>
      <c r="D257" s="435"/>
      <c r="E257" s="435"/>
      <c r="F257" s="831">
        <v>1</v>
      </c>
      <c r="G257" s="829">
        <v>15.4</v>
      </c>
      <c r="H257" s="832"/>
      <c r="I257" s="833" t="s">
        <v>940</v>
      </c>
    </row>
    <row r="258" spans="1:9">
      <c r="A258" s="818"/>
      <c r="B258" s="831"/>
      <c r="C258" s="829"/>
      <c r="D258" s="832"/>
      <c r="E258" s="833" t="s">
        <v>808</v>
      </c>
      <c r="F258" s="831"/>
      <c r="G258" s="829"/>
      <c r="H258" s="832">
        <f>F257*G257</f>
        <v>15.4</v>
      </c>
      <c r="I258" s="833"/>
    </row>
    <row r="259" spans="1:9">
      <c r="A259" s="818"/>
      <c r="B259" s="831">
        <v>1</v>
      </c>
      <c r="C259" s="829">
        <v>29.2</v>
      </c>
      <c r="D259" s="832"/>
      <c r="E259" s="833" t="s">
        <v>903</v>
      </c>
      <c r="F259" s="435"/>
      <c r="G259" s="829"/>
      <c r="H259" s="843"/>
      <c r="I259" s="435"/>
    </row>
    <row r="260" spans="1:9">
      <c r="A260" s="818"/>
      <c r="B260" s="831"/>
      <c r="C260" s="829"/>
      <c r="D260" s="832">
        <f>C259*B259</f>
        <v>29.2</v>
      </c>
      <c r="E260" s="833" t="s">
        <v>928</v>
      </c>
      <c r="F260" s="839"/>
      <c r="G260" s="935"/>
      <c r="H260" s="838">
        <f>SUM(H255:H258)</f>
        <v>65.2</v>
      </c>
      <c r="I260" s="845" t="s">
        <v>2424</v>
      </c>
    </row>
    <row r="261" spans="1:9">
      <c r="A261" s="818"/>
      <c r="B261" s="831"/>
      <c r="C261" s="829"/>
      <c r="D261" s="832"/>
      <c r="E261" s="833"/>
      <c r="F261" s="435"/>
      <c r="G261" s="435"/>
      <c r="H261" s="435"/>
      <c r="I261" s="435"/>
    </row>
    <row r="262" spans="1:9">
      <c r="A262" s="818"/>
      <c r="B262" s="831">
        <v>1</v>
      </c>
      <c r="C262" s="829">
        <v>17.600000000000001</v>
      </c>
      <c r="D262" s="832"/>
      <c r="E262" s="833" t="s">
        <v>905</v>
      </c>
      <c r="F262" s="831"/>
      <c r="G262" s="829"/>
      <c r="H262" s="832"/>
      <c r="I262" s="844" t="s">
        <v>369</v>
      </c>
    </row>
    <row r="263" spans="1:9">
      <c r="A263" s="818"/>
      <c r="B263" s="831"/>
      <c r="C263" s="829"/>
      <c r="D263" s="832">
        <f>C262*B262</f>
        <v>17.600000000000001</v>
      </c>
      <c r="E263" s="833" t="s">
        <v>936</v>
      </c>
      <c r="F263" s="831"/>
      <c r="G263" s="829"/>
      <c r="H263" s="832"/>
      <c r="I263" s="844" t="s">
        <v>2329</v>
      </c>
    </row>
    <row r="264" spans="1:9">
      <c r="A264" s="818"/>
      <c r="B264" s="831"/>
      <c r="C264" s="829"/>
      <c r="D264" s="832"/>
      <c r="E264" s="833"/>
      <c r="F264" s="831"/>
      <c r="G264" s="829"/>
      <c r="H264" s="832"/>
      <c r="I264" s="844"/>
    </row>
    <row r="265" spans="1:9">
      <c r="A265" s="818"/>
      <c r="B265" s="831">
        <v>1</v>
      </c>
      <c r="C265" s="829">
        <v>18.899999999999999</v>
      </c>
      <c r="D265" s="832"/>
      <c r="E265" s="833" t="s">
        <v>913</v>
      </c>
      <c r="F265" s="839"/>
      <c r="G265" s="839"/>
      <c r="H265" s="838">
        <f>D233</f>
        <v>668.54700000000003</v>
      </c>
      <c r="I265" s="845" t="s">
        <v>2156</v>
      </c>
    </row>
    <row r="266" spans="1:9">
      <c r="A266" s="818"/>
      <c r="B266" s="831"/>
      <c r="C266" s="829"/>
      <c r="D266" s="832">
        <f>C265*B265</f>
        <v>18.899999999999999</v>
      </c>
      <c r="E266" s="833" t="s">
        <v>937</v>
      </c>
      <c r="F266" s="831"/>
      <c r="G266" s="829"/>
      <c r="H266" s="832"/>
      <c r="I266" s="833"/>
    </row>
    <row r="267" spans="1:9">
      <c r="A267" s="818"/>
      <c r="B267" s="831"/>
      <c r="C267" s="829"/>
      <c r="D267" s="832"/>
      <c r="E267" s="833"/>
      <c r="F267" s="831"/>
      <c r="G267" s="829"/>
      <c r="H267" s="832"/>
      <c r="I267" s="844" t="s">
        <v>272</v>
      </c>
    </row>
    <row r="268" spans="1:9">
      <c r="A268" s="818"/>
      <c r="B268" s="831">
        <v>1</v>
      </c>
      <c r="C268" s="829">
        <v>37.85</v>
      </c>
      <c r="D268" s="832"/>
      <c r="E268" s="833" t="s">
        <v>160</v>
      </c>
      <c r="F268" s="839"/>
      <c r="G268" s="839"/>
      <c r="H268" s="838">
        <f>'Admin Super TOS '!H212</f>
        <v>266.66249999999997</v>
      </c>
      <c r="I268" s="845" t="s">
        <v>2157</v>
      </c>
    </row>
    <row r="269" spans="1:9">
      <c r="A269" s="818"/>
      <c r="B269" s="831"/>
      <c r="C269" s="829"/>
      <c r="D269" s="832">
        <f>C268*B268</f>
        <v>37.85</v>
      </c>
      <c r="E269" s="833" t="s">
        <v>938</v>
      </c>
      <c r="F269" s="831"/>
      <c r="G269" s="829"/>
      <c r="H269" s="832"/>
      <c r="I269" s="833"/>
    </row>
    <row r="270" spans="1:9">
      <c r="A270" s="818"/>
      <c r="B270" s="831"/>
      <c r="C270" s="829"/>
      <c r="D270" s="832"/>
      <c r="E270" s="435"/>
      <c r="F270" s="831"/>
      <c r="G270" s="829"/>
      <c r="H270" s="832"/>
      <c r="I270" s="844" t="s">
        <v>273</v>
      </c>
    </row>
    <row r="271" spans="1:9">
      <c r="A271" s="818"/>
      <c r="B271" s="831">
        <v>1</v>
      </c>
      <c r="C271" s="829">
        <v>29.2</v>
      </c>
      <c r="D271" s="832"/>
      <c r="E271" s="833" t="s">
        <v>919</v>
      </c>
      <c r="F271" s="839"/>
      <c r="G271" s="839"/>
      <c r="H271" s="838">
        <f>D158</f>
        <v>158.946</v>
      </c>
      <c r="I271" s="845" t="s">
        <v>2158</v>
      </c>
    </row>
    <row r="272" spans="1:9">
      <c r="A272" s="818"/>
      <c r="B272" s="831"/>
      <c r="C272" s="829"/>
      <c r="D272" s="832">
        <f>C271*B271</f>
        <v>29.2</v>
      </c>
      <c r="E272" s="833" t="s">
        <v>928</v>
      </c>
      <c r="F272" s="831"/>
      <c r="G272" s="829"/>
      <c r="H272" s="832"/>
      <c r="I272" s="833"/>
    </row>
    <row r="273" spans="1:9">
      <c r="A273" s="818"/>
      <c r="B273" s="831"/>
      <c r="C273" s="829"/>
      <c r="D273" s="832"/>
      <c r="E273" s="833"/>
      <c r="F273" s="831"/>
      <c r="G273" s="829"/>
      <c r="H273" s="832"/>
      <c r="I273" s="844" t="s">
        <v>279</v>
      </c>
    </row>
    <row r="274" spans="1:9">
      <c r="A274" s="818"/>
      <c r="B274" s="831">
        <v>1</v>
      </c>
      <c r="C274" s="829">
        <v>18.8</v>
      </c>
      <c r="D274" s="832"/>
      <c r="E274" s="833" t="s">
        <v>921</v>
      </c>
      <c r="F274" s="847"/>
      <c r="G274" s="848"/>
      <c r="H274" s="843"/>
      <c r="I274" s="833" t="s">
        <v>12</v>
      </c>
    </row>
    <row r="275" spans="1:9">
      <c r="A275" s="818"/>
      <c r="B275" s="831"/>
      <c r="C275" s="829"/>
      <c r="D275" s="832">
        <f>C274*B274</f>
        <v>18.8</v>
      </c>
      <c r="E275" s="833" t="s">
        <v>929</v>
      </c>
      <c r="F275" s="831">
        <v>1</v>
      </c>
      <c r="G275" s="829">
        <v>13</v>
      </c>
      <c r="H275" s="832"/>
      <c r="I275" s="435"/>
    </row>
    <row r="276" spans="1:9">
      <c r="A276" s="818"/>
      <c r="B276" s="831"/>
      <c r="C276" s="829"/>
      <c r="D276" s="832"/>
      <c r="E276" s="833"/>
      <c r="F276" s="839"/>
      <c r="G276" s="839"/>
      <c r="H276" s="838">
        <f>F275*G275</f>
        <v>13</v>
      </c>
      <c r="I276" s="845" t="s">
        <v>2385</v>
      </c>
    </row>
    <row r="277" spans="1:9">
      <c r="A277" s="818"/>
      <c r="B277" s="831">
        <v>1</v>
      </c>
      <c r="C277" s="829">
        <v>15</v>
      </c>
      <c r="D277" s="832"/>
      <c r="E277" s="833" t="s">
        <v>925</v>
      </c>
      <c r="F277" s="847"/>
      <c r="G277" s="848"/>
      <c r="H277" s="843"/>
      <c r="I277" s="435"/>
    </row>
    <row r="278" spans="1:9">
      <c r="A278" s="818"/>
      <c r="B278" s="831"/>
      <c r="C278" s="829"/>
      <c r="D278" s="832">
        <f>C277*B277</f>
        <v>15</v>
      </c>
      <c r="E278" s="833" t="s">
        <v>930</v>
      </c>
      <c r="F278" s="847"/>
      <c r="G278" s="848"/>
      <c r="H278" s="843"/>
      <c r="I278" s="833" t="s">
        <v>13</v>
      </c>
    </row>
    <row r="279" spans="1:9">
      <c r="A279" s="818"/>
      <c r="B279" s="831"/>
      <c r="C279" s="829"/>
      <c r="D279" s="832"/>
      <c r="E279" s="833"/>
      <c r="F279" s="831">
        <v>1</v>
      </c>
      <c r="G279" s="829">
        <v>8.6199999999999992</v>
      </c>
      <c r="H279" s="832"/>
      <c r="I279" s="833"/>
    </row>
    <row r="280" spans="1:9">
      <c r="A280" s="818"/>
      <c r="B280" s="831">
        <v>1</v>
      </c>
      <c r="C280" s="829">
        <v>17.7</v>
      </c>
      <c r="D280" s="832"/>
      <c r="E280" s="833" t="s">
        <v>916</v>
      </c>
      <c r="F280" s="839"/>
      <c r="G280" s="839"/>
      <c r="H280" s="838">
        <f>F279*G279</f>
        <v>8.6199999999999992</v>
      </c>
      <c r="I280" s="845" t="s">
        <v>2386</v>
      </c>
    </row>
    <row r="281" spans="1:9">
      <c r="A281" s="818"/>
      <c r="B281" s="831"/>
      <c r="C281" s="829"/>
      <c r="D281" s="832">
        <f>C280*B280</f>
        <v>17.7</v>
      </c>
      <c r="E281" s="833" t="s">
        <v>931</v>
      </c>
      <c r="F281" s="435"/>
      <c r="G281" s="829"/>
      <c r="H281" s="843"/>
      <c r="I281" s="435"/>
    </row>
    <row r="282" spans="1:9">
      <c r="A282" s="818"/>
      <c r="B282" s="435"/>
      <c r="C282" s="435"/>
      <c r="D282" s="435"/>
      <c r="E282" s="435"/>
      <c r="F282" s="17"/>
      <c r="G282" s="9"/>
      <c r="H282" s="9"/>
      <c r="I282" s="2" t="s">
        <v>14</v>
      </c>
    </row>
    <row r="283" spans="1:9">
      <c r="A283" s="818"/>
      <c r="B283" s="831">
        <v>1</v>
      </c>
      <c r="C283" s="829">
        <v>5.35</v>
      </c>
      <c r="D283" s="832"/>
      <c r="E283" s="833" t="s">
        <v>255</v>
      </c>
      <c r="F283" s="17">
        <v>1</v>
      </c>
      <c r="G283" s="9">
        <v>15.26</v>
      </c>
      <c r="H283" s="9"/>
      <c r="I283" s="2"/>
    </row>
    <row r="284" spans="1:9">
      <c r="A284" s="818"/>
      <c r="B284" s="831"/>
      <c r="C284" s="829"/>
      <c r="D284" s="832">
        <f>C283*B283</f>
        <v>5.35</v>
      </c>
      <c r="E284" s="833" t="s">
        <v>932</v>
      </c>
      <c r="F284" s="839"/>
      <c r="G284" s="839"/>
      <c r="H284" s="838">
        <f>F283*G283</f>
        <v>15.26</v>
      </c>
      <c r="I284" s="845" t="s">
        <v>2387</v>
      </c>
    </row>
    <row r="285" spans="1:9">
      <c r="A285" s="818"/>
      <c r="B285" s="831"/>
      <c r="C285" s="829"/>
      <c r="D285" s="832"/>
      <c r="E285" s="833"/>
      <c r="F285" s="831"/>
      <c r="G285" s="829"/>
      <c r="H285" s="832"/>
      <c r="I285" s="833"/>
    </row>
    <row r="286" spans="1:9" ht="18.75">
      <c r="A286" s="818"/>
      <c r="B286" s="839"/>
      <c r="C286" s="839"/>
      <c r="D286" s="838">
        <f>SUM(D260:D285)</f>
        <v>189.59999999999997</v>
      </c>
      <c r="E286" s="845" t="s">
        <v>2422</v>
      </c>
      <c r="F286" s="831"/>
      <c r="G286" s="829"/>
      <c r="H286" s="832"/>
      <c r="I286" s="1018" t="s">
        <v>2425</v>
      </c>
    </row>
    <row r="287" spans="1:9">
      <c r="A287" s="818"/>
      <c r="B287" s="831"/>
      <c r="C287" s="829"/>
      <c r="D287" s="832"/>
      <c r="E287" s="833"/>
      <c r="F287" s="831"/>
      <c r="G287" s="829"/>
      <c r="H287" s="832"/>
      <c r="I287" s="844" t="s">
        <v>2334</v>
      </c>
    </row>
    <row r="288" spans="1:9">
      <c r="A288" s="818"/>
      <c r="B288" s="831"/>
      <c r="C288" s="829"/>
      <c r="D288" s="832"/>
      <c r="E288" s="844" t="s">
        <v>266</v>
      </c>
      <c r="F288" s="831"/>
      <c r="G288" s="829"/>
      <c r="H288" s="832"/>
      <c r="I288" s="844" t="s">
        <v>2389</v>
      </c>
    </row>
    <row r="289" spans="1:9">
      <c r="A289" s="818"/>
      <c r="B289" s="831"/>
      <c r="C289" s="829"/>
      <c r="D289" s="832"/>
      <c r="E289" s="844" t="s">
        <v>267</v>
      </c>
      <c r="F289" s="831">
        <v>29</v>
      </c>
      <c r="G289" s="829">
        <v>1</v>
      </c>
      <c r="H289" s="832"/>
      <c r="I289" s="833"/>
    </row>
    <row r="290" spans="1:9">
      <c r="A290" s="818"/>
      <c r="B290" s="831">
        <v>3</v>
      </c>
      <c r="C290" s="829">
        <v>1.65</v>
      </c>
      <c r="D290" s="832"/>
      <c r="E290" s="833"/>
      <c r="F290" s="839"/>
      <c r="G290" s="839"/>
      <c r="H290" s="838">
        <f>F289*G289</f>
        <v>29</v>
      </c>
      <c r="I290" s="845" t="s">
        <v>2390</v>
      </c>
    </row>
    <row r="291" spans="1:9">
      <c r="A291" s="818"/>
      <c r="B291" s="831"/>
      <c r="C291" s="829"/>
      <c r="D291" s="832">
        <f>C290*B290</f>
        <v>4.9499999999999993</v>
      </c>
      <c r="E291" s="833" t="s">
        <v>934</v>
      </c>
      <c r="F291" s="831"/>
      <c r="G291" s="829"/>
      <c r="H291" s="832"/>
      <c r="I291" s="833"/>
    </row>
    <row r="292" spans="1:9">
      <c r="A292" s="818"/>
      <c r="B292" s="435"/>
      <c r="C292" s="435"/>
      <c r="D292" s="435"/>
      <c r="E292" s="435"/>
      <c r="F292" s="831"/>
      <c r="G292" s="829"/>
      <c r="H292" s="832"/>
      <c r="I292" s="844" t="s">
        <v>2337</v>
      </c>
    </row>
    <row r="293" spans="1:9">
      <c r="A293" s="818"/>
      <c r="B293" s="831">
        <v>16</v>
      </c>
      <c r="C293" s="829">
        <v>1.55</v>
      </c>
      <c r="D293" s="832"/>
      <c r="E293" s="833"/>
      <c r="F293" s="831"/>
      <c r="G293" s="829"/>
      <c r="H293" s="832"/>
      <c r="I293" s="844" t="s">
        <v>382</v>
      </c>
    </row>
    <row r="294" spans="1:9">
      <c r="A294" s="818"/>
      <c r="B294" s="831"/>
      <c r="C294" s="829"/>
      <c r="D294" s="832">
        <f>C293*B293</f>
        <v>24.8</v>
      </c>
      <c r="E294" s="833" t="s">
        <v>935</v>
      </c>
      <c r="F294" s="831">
        <v>8</v>
      </c>
      <c r="G294" s="829">
        <v>1</v>
      </c>
      <c r="H294" s="832"/>
      <c r="I294" s="833"/>
    </row>
    <row r="295" spans="1:9">
      <c r="A295" s="818"/>
      <c r="B295" s="435"/>
      <c r="C295" s="435"/>
      <c r="D295" s="435"/>
      <c r="E295" s="435"/>
      <c r="F295" s="839"/>
      <c r="G295" s="839"/>
      <c r="H295" s="838">
        <f>F294*G294</f>
        <v>8</v>
      </c>
      <c r="I295" s="845" t="s">
        <v>2391</v>
      </c>
    </row>
    <row r="296" spans="1:9">
      <c r="A296" s="818"/>
      <c r="B296" s="831">
        <v>2</v>
      </c>
      <c r="C296" s="829">
        <v>1.25</v>
      </c>
      <c r="D296" s="832"/>
      <c r="E296" s="833"/>
      <c r="F296" s="831"/>
      <c r="G296" s="829"/>
      <c r="H296" s="832"/>
      <c r="I296" s="833"/>
    </row>
    <row r="297" spans="1:9">
      <c r="A297" s="818"/>
      <c r="B297" s="831"/>
      <c r="C297" s="829"/>
      <c r="D297" s="832">
        <f>C296*B296</f>
        <v>2.5</v>
      </c>
      <c r="E297" s="833" t="s">
        <v>912</v>
      </c>
      <c r="F297" s="831"/>
      <c r="G297" s="829"/>
      <c r="H297" s="832"/>
      <c r="I297" s="844" t="s">
        <v>384</v>
      </c>
    </row>
    <row r="298" spans="1:9">
      <c r="A298" s="818"/>
      <c r="B298" s="831"/>
      <c r="C298" s="829"/>
      <c r="D298" s="832"/>
      <c r="E298" s="833"/>
      <c r="F298" s="1">
        <v>4</v>
      </c>
      <c r="G298" s="3">
        <v>1</v>
      </c>
      <c r="H298" s="3"/>
      <c r="I298" s="1"/>
    </row>
    <row r="299" spans="1:9">
      <c r="A299" s="818"/>
      <c r="B299" s="857"/>
      <c r="C299" s="857"/>
      <c r="D299" s="858">
        <f>SUM(D273:D298)</f>
        <v>278.69999999999993</v>
      </c>
      <c r="E299" s="859" t="s">
        <v>2421</v>
      </c>
      <c r="F299" s="857"/>
      <c r="G299" s="857"/>
      <c r="H299" s="858">
        <f>F298*G298</f>
        <v>4</v>
      </c>
      <c r="I299" s="859" t="s">
        <v>2392</v>
      </c>
    </row>
    <row r="300" spans="1:9">
      <c r="A300" s="818"/>
      <c r="B300" s="853" t="s">
        <v>1884</v>
      </c>
      <c r="C300" s="854" t="s">
        <v>526</v>
      </c>
      <c r="D300" s="855" t="s">
        <v>1885</v>
      </c>
      <c r="E300" s="854" t="s">
        <v>1886</v>
      </c>
      <c r="F300" s="853" t="s">
        <v>1884</v>
      </c>
      <c r="G300" s="855" t="s">
        <v>526</v>
      </c>
      <c r="H300" s="856" t="s">
        <v>1885</v>
      </c>
      <c r="I300" s="854" t="s">
        <v>1886</v>
      </c>
    </row>
    <row r="301" spans="1:9">
      <c r="A301" s="818"/>
      <c r="B301" s="831"/>
      <c r="C301" s="829"/>
      <c r="D301" s="832"/>
      <c r="E301" s="844" t="s">
        <v>287</v>
      </c>
      <c r="F301" s="847"/>
      <c r="G301" s="848"/>
      <c r="H301" s="843"/>
      <c r="I301" s="435"/>
    </row>
    <row r="302" spans="1:9">
      <c r="A302" s="818"/>
      <c r="B302" s="831"/>
      <c r="C302" s="829"/>
      <c r="D302" s="832"/>
      <c r="E302" s="844" t="s">
        <v>288</v>
      </c>
      <c r="F302" s="847"/>
      <c r="G302" s="848"/>
      <c r="H302" s="843"/>
      <c r="I302" s="435"/>
    </row>
    <row r="303" spans="1:9">
      <c r="A303" s="818"/>
      <c r="B303" s="831">
        <v>19</v>
      </c>
      <c r="C303" s="829">
        <v>1</v>
      </c>
      <c r="D303" s="832"/>
      <c r="E303" s="844"/>
      <c r="F303" s="847"/>
      <c r="G303" s="848"/>
      <c r="H303" s="843"/>
      <c r="I303" s="435"/>
    </row>
    <row r="304" spans="1:9">
      <c r="A304" s="818"/>
      <c r="B304" s="839"/>
      <c r="C304" s="839"/>
      <c r="D304" s="838">
        <f>B303*C303</f>
        <v>19</v>
      </c>
      <c r="E304" s="845" t="s">
        <v>2394</v>
      </c>
      <c r="F304" s="847"/>
      <c r="G304" s="848"/>
      <c r="H304" s="843"/>
      <c r="I304" s="435"/>
    </row>
    <row r="305" spans="1:9">
      <c r="A305" s="818"/>
      <c r="B305" s="831"/>
      <c r="C305" s="829"/>
      <c r="D305" s="832"/>
      <c r="E305" s="844"/>
      <c r="F305" s="847"/>
      <c r="G305" s="848"/>
      <c r="H305" s="843"/>
      <c r="I305" s="435"/>
    </row>
    <row r="306" spans="1:9">
      <c r="A306" s="818"/>
      <c r="B306" s="831"/>
      <c r="C306" s="829"/>
      <c r="D306" s="832"/>
      <c r="E306" s="844" t="s">
        <v>390</v>
      </c>
      <c r="F306" s="847"/>
      <c r="G306" s="848"/>
      <c r="H306" s="843"/>
      <c r="I306" s="435"/>
    </row>
    <row r="307" spans="1:9">
      <c r="A307" s="818"/>
      <c r="B307" s="831"/>
      <c r="C307" s="829"/>
      <c r="D307" s="832"/>
      <c r="E307" s="844" t="s">
        <v>391</v>
      </c>
      <c r="F307" s="847"/>
      <c r="G307" s="848"/>
      <c r="H307" s="843"/>
      <c r="I307" s="435"/>
    </row>
    <row r="308" spans="1:9">
      <c r="A308" s="818"/>
      <c r="B308" s="831">
        <v>19</v>
      </c>
      <c r="C308" s="829">
        <v>1</v>
      </c>
      <c r="D308" s="832"/>
      <c r="E308" s="844"/>
      <c r="F308" s="847"/>
      <c r="G308" s="848"/>
      <c r="H308" s="843"/>
      <c r="I308" s="435"/>
    </row>
    <row r="309" spans="1:9">
      <c r="A309" s="818"/>
      <c r="B309" s="839"/>
      <c r="C309" s="839"/>
      <c r="D309" s="838">
        <f>B308*C308</f>
        <v>19</v>
      </c>
      <c r="E309" s="845" t="s">
        <v>2398</v>
      </c>
      <c r="F309" s="847"/>
      <c r="G309" s="848"/>
      <c r="H309" s="843"/>
      <c r="I309" s="435"/>
    </row>
    <row r="310" spans="1:9">
      <c r="A310" s="818"/>
      <c r="B310" s="831"/>
      <c r="C310" s="829"/>
      <c r="D310" s="832"/>
      <c r="E310" s="844"/>
      <c r="F310" s="847"/>
      <c r="G310" s="848"/>
      <c r="H310" s="843"/>
      <c r="I310" s="435"/>
    </row>
    <row r="311" spans="1:9">
      <c r="A311" s="818"/>
      <c r="B311" s="831"/>
      <c r="C311" s="829"/>
      <c r="D311" s="832"/>
      <c r="E311" s="844" t="s">
        <v>392</v>
      </c>
      <c r="F311" s="847"/>
      <c r="G311" s="848"/>
      <c r="H311" s="843"/>
      <c r="I311" s="435"/>
    </row>
    <row r="312" spans="1:9">
      <c r="A312" s="818"/>
      <c r="B312" s="831"/>
      <c r="C312" s="829"/>
      <c r="D312" s="832"/>
      <c r="E312" s="844" t="s">
        <v>2400</v>
      </c>
      <c r="F312" s="847"/>
      <c r="G312" s="848"/>
      <c r="H312" s="843"/>
      <c r="I312" s="435"/>
    </row>
    <row r="313" spans="1:9">
      <c r="A313" s="818"/>
      <c r="B313" s="831">
        <v>7</v>
      </c>
      <c r="C313" s="829">
        <v>1</v>
      </c>
      <c r="D313" s="832"/>
      <c r="E313" s="844"/>
      <c r="F313" s="847"/>
      <c r="G313" s="848"/>
      <c r="H313" s="843"/>
      <c r="I313" s="435"/>
    </row>
    <row r="314" spans="1:9">
      <c r="A314" s="818"/>
      <c r="B314" s="839"/>
      <c r="C314" s="839"/>
      <c r="D314" s="838">
        <f>B313*C313</f>
        <v>7</v>
      </c>
      <c r="E314" s="845" t="s">
        <v>2403</v>
      </c>
      <c r="F314" s="847"/>
      <c r="G314" s="848"/>
      <c r="H314" s="843"/>
      <c r="I314" s="435"/>
    </row>
    <row r="315" spans="1:9">
      <c r="A315" s="818"/>
      <c r="B315" s="435"/>
      <c r="C315" s="847"/>
      <c r="D315" s="847"/>
      <c r="E315" s="435"/>
      <c r="F315" s="847"/>
      <c r="G315" s="848"/>
      <c r="H315" s="843"/>
      <c r="I315" s="435"/>
    </row>
    <row r="316" spans="1:9">
      <c r="A316" s="818"/>
      <c r="B316" s="831"/>
      <c r="C316" s="829"/>
      <c r="D316" s="832"/>
      <c r="E316" s="844" t="s">
        <v>8</v>
      </c>
      <c r="F316" s="847"/>
      <c r="G316" s="848"/>
      <c r="H316" s="843"/>
      <c r="I316" s="435"/>
    </row>
    <row r="317" spans="1:9">
      <c r="A317" s="818"/>
      <c r="B317" s="831"/>
      <c r="C317" s="829"/>
      <c r="D317" s="832"/>
      <c r="E317" s="844" t="s">
        <v>941</v>
      </c>
      <c r="F317" s="847"/>
      <c r="G317" s="848"/>
      <c r="H317" s="843"/>
      <c r="I317" s="435"/>
    </row>
    <row r="318" spans="1:9">
      <c r="A318" s="818"/>
      <c r="B318" s="831">
        <v>12</v>
      </c>
      <c r="C318" s="829">
        <v>1</v>
      </c>
      <c r="D318" s="832"/>
      <c r="E318" s="844"/>
      <c r="F318" s="847"/>
      <c r="G318" s="848"/>
      <c r="H318" s="843"/>
      <c r="I318" s="435"/>
    </row>
    <row r="319" spans="1:9">
      <c r="A319" s="818"/>
      <c r="B319" s="839"/>
      <c r="C319" s="839"/>
      <c r="D319" s="838">
        <f>B318*C318</f>
        <v>12</v>
      </c>
      <c r="E319" s="845" t="s">
        <v>2408</v>
      </c>
      <c r="F319" s="847"/>
      <c r="G319" s="848"/>
      <c r="H319" s="843"/>
      <c r="I319" s="435"/>
    </row>
    <row r="320" spans="1:9">
      <c r="A320" s="818"/>
      <c r="B320" s="831"/>
      <c r="C320" s="829"/>
      <c r="D320" s="832"/>
      <c r="E320" s="844"/>
      <c r="F320" s="847"/>
      <c r="G320" s="848"/>
      <c r="H320" s="843"/>
      <c r="I320" s="435"/>
    </row>
    <row r="321" spans="1:9">
      <c r="A321" s="818"/>
      <c r="B321" s="831"/>
      <c r="C321" s="829"/>
      <c r="D321" s="832"/>
      <c r="E321" s="844" t="s">
        <v>942</v>
      </c>
      <c r="F321" s="847"/>
      <c r="G321" s="848"/>
      <c r="H321" s="843"/>
      <c r="I321" s="435"/>
    </row>
    <row r="322" spans="1:9">
      <c r="A322" s="818"/>
      <c r="B322" s="831">
        <v>10</v>
      </c>
      <c r="C322" s="829">
        <v>1</v>
      </c>
      <c r="D322" s="832"/>
      <c r="E322" s="844"/>
      <c r="F322" s="435"/>
      <c r="G322" s="829"/>
      <c r="H322" s="843"/>
      <c r="I322" s="442"/>
    </row>
    <row r="323" spans="1:9">
      <c r="A323" s="818"/>
      <c r="B323" s="839"/>
      <c r="C323" s="839"/>
      <c r="D323" s="838">
        <f>B322*C322</f>
        <v>10</v>
      </c>
      <c r="E323" s="845" t="s">
        <v>2409</v>
      </c>
      <c r="F323" s="435"/>
      <c r="G323" s="829"/>
      <c r="H323" s="843"/>
      <c r="I323" s="442"/>
    </row>
    <row r="324" spans="1:9">
      <c r="A324" s="818"/>
      <c r="B324" s="831"/>
      <c r="C324" s="829"/>
      <c r="D324" s="832"/>
      <c r="E324" s="844"/>
      <c r="F324" s="435"/>
      <c r="G324" s="829"/>
      <c r="H324" s="843"/>
      <c r="I324" s="442"/>
    </row>
    <row r="325" spans="1:9">
      <c r="A325" s="818"/>
      <c r="B325" s="831"/>
      <c r="C325" s="829"/>
      <c r="D325" s="832"/>
      <c r="E325" s="844" t="s">
        <v>383</v>
      </c>
      <c r="F325" s="435"/>
      <c r="G325" s="829"/>
      <c r="H325" s="843"/>
      <c r="I325" s="442"/>
    </row>
    <row r="326" spans="1:9">
      <c r="A326" s="818"/>
      <c r="B326" s="831">
        <v>5</v>
      </c>
      <c r="C326" s="829">
        <v>1</v>
      </c>
      <c r="D326" s="832"/>
      <c r="E326" s="844"/>
      <c r="F326" s="435"/>
      <c r="G326" s="829"/>
      <c r="H326" s="843"/>
      <c r="I326" s="442"/>
    </row>
    <row r="327" spans="1:9">
      <c r="A327" s="818"/>
      <c r="B327" s="839"/>
      <c r="C327" s="839"/>
      <c r="D327" s="838">
        <f>B326*C326</f>
        <v>5</v>
      </c>
      <c r="E327" s="845" t="s">
        <v>2407</v>
      </c>
      <c r="F327" s="435"/>
      <c r="G327" s="829"/>
      <c r="H327" s="843"/>
      <c r="I327" s="442"/>
    </row>
    <row r="328" spans="1:9">
      <c r="A328" s="818"/>
      <c r="B328" s="831"/>
      <c r="C328" s="829"/>
      <c r="D328" s="832"/>
      <c r="E328" s="844"/>
      <c r="F328" s="435"/>
      <c r="G328" s="829"/>
      <c r="H328" s="843"/>
      <c r="I328" s="442"/>
    </row>
    <row r="329" spans="1:9">
      <c r="A329" s="818"/>
      <c r="B329" s="831"/>
      <c r="C329" s="829"/>
      <c r="D329" s="832"/>
      <c r="E329" s="844" t="s">
        <v>385</v>
      </c>
      <c r="F329" s="435"/>
      <c r="G329" s="829"/>
      <c r="H329" s="843"/>
      <c r="I329" s="442"/>
    </row>
    <row r="330" spans="1:9">
      <c r="A330" s="818"/>
      <c r="B330" s="831">
        <v>2</v>
      </c>
      <c r="C330" s="829">
        <v>1</v>
      </c>
      <c r="D330" s="832"/>
      <c r="E330" s="844"/>
      <c r="F330" s="435"/>
      <c r="G330" s="829"/>
      <c r="H330" s="843"/>
      <c r="I330" s="442"/>
    </row>
    <row r="331" spans="1:9">
      <c r="A331" s="818"/>
      <c r="B331" s="839"/>
      <c r="C331" s="839"/>
      <c r="D331" s="838">
        <f>B330*C330</f>
        <v>2</v>
      </c>
      <c r="E331" s="845" t="s">
        <v>2406</v>
      </c>
      <c r="F331" s="435"/>
      <c r="G331" s="829"/>
      <c r="H331" s="843"/>
      <c r="I331" s="442"/>
    </row>
    <row r="332" spans="1:9">
      <c r="A332" s="818"/>
      <c r="B332" s="435"/>
      <c r="C332" s="847"/>
      <c r="D332" s="847"/>
      <c r="E332" s="435"/>
      <c r="F332" s="435"/>
      <c r="G332" s="829"/>
      <c r="H332" s="843"/>
      <c r="I332" s="442"/>
    </row>
    <row r="333" spans="1:9">
      <c r="A333" s="818"/>
      <c r="B333" s="831"/>
      <c r="C333" s="829"/>
      <c r="D333" s="832"/>
      <c r="E333" s="844" t="s">
        <v>387</v>
      </c>
      <c r="F333" s="435"/>
      <c r="G333" s="829"/>
      <c r="H333" s="843"/>
      <c r="I333" s="442"/>
    </row>
    <row r="334" spans="1:9">
      <c r="A334" s="818"/>
      <c r="B334" s="831"/>
      <c r="C334" s="829"/>
      <c r="D334" s="832"/>
      <c r="E334" s="844" t="s">
        <v>388</v>
      </c>
      <c r="F334" s="435"/>
      <c r="G334" s="829"/>
      <c r="H334" s="843"/>
      <c r="I334" s="442"/>
    </row>
    <row r="335" spans="1:9">
      <c r="A335" s="818"/>
      <c r="B335" s="831">
        <v>1</v>
      </c>
      <c r="C335" s="829">
        <v>1</v>
      </c>
      <c r="D335" s="832"/>
      <c r="E335" s="844" t="s">
        <v>389</v>
      </c>
      <c r="F335" s="435"/>
      <c r="G335" s="829"/>
      <c r="H335" s="843"/>
      <c r="I335" s="442"/>
    </row>
    <row r="336" spans="1:9">
      <c r="A336" s="818"/>
      <c r="B336" s="839"/>
      <c r="C336" s="839"/>
      <c r="D336" s="838">
        <f>B335*C335</f>
        <v>1</v>
      </c>
      <c r="E336" s="845" t="s">
        <v>2404</v>
      </c>
      <c r="F336" s="435"/>
      <c r="G336" s="829"/>
      <c r="H336" s="843"/>
      <c r="I336" s="442"/>
    </row>
    <row r="337" spans="1:9">
      <c r="A337" s="818"/>
      <c r="B337" s="435"/>
      <c r="C337" s="847"/>
      <c r="D337" s="847"/>
      <c r="E337" s="435"/>
      <c r="F337" s="435"/>
      <c r="G337" s="829"/>
      <c r="H337" s="843"/>
      <c r="I337" s="442"/>
    </row>
    <row r="338" spans="1:9" ht="22.5" customHeight="1">
      <c r="A338" s="818"/>
      <c r="B338" s="831"/>
      <c r="C338" s="829"/>
      <c r="D338" s="832"/>
      <c r="E338" s="844"/>
      <c r="F338" s="435"/>
      <c r="G338" s="829"/>
      <c r="H338" s="843"/>
      <c r="I338" s="442"/>
    </row>
    <row r="339" spans="1:9">
      <c r="A339" s="818"/>
      <c r="B339" s="831"/>
      <c r="C339" s="829"/>
      <c r="D339" s="832"/>
      <c r="E339" s="844"/>
      <c r="F339" s="435"/>
      <c r="G339" s="829"/>
      <c r="H339" s="843"/>
      <c r="I339" s="442"/>
    </row>
    <row r="340" spans="1:9">
      <c r="A340" s="818"/>
      <c r="B340" s="831"/>
      <c r="C340" s="829"/>
      <c r="D340" s="832"/>
      <c r="E340" s="844"/>
      <c r="F340" s="435"/>
      <c r="G340" s="829"/>
      <c r="H340" s="843"/>
      <c r="I340" s="442"/>
    </row>
    <row r="341" spans="1:9">
      <c r="A341" s="818"/>
      <c r="B341" s="831"/>
      <c r="C341" s="829"/>
      <c r="D341" s="832"/>
      <c r="E341" s="844"/>
      <c r="F341" s="435"/>
      <c r="G341" s="829"/>
      <c r="H341" s="843"/>
      <c r="I341" s="442"/>
    </row>
    <row r="342" spans="1:9">
      <c r="A342" s="818"/>
      <c r="B342" s="831"/>
      <c r="C342" s="829"/>
      <c r="D342" s="832"/>
      <c r="E342" s="844"/>
      <c r="F342" s="435"/>
      <c r="G342" s="829"/>
      <c r="H342" s="843"/>
      <c r="I342" s="442"/>
    </row>
    <row r="343" spans="1:9">
      <c r="A343" s="818"/>
      <c r="B343" s="831"/>
      <c r="C343" s="829"/>
      <c r="D343" s="832"/>
      <c r="E343" s="844"/>
      <c r="F343" s="435"/>
      <c r="G343" s="829"/>
      <c r="H343" s="843"/>
      <c r="I343" s="442"/>
    </row>
    <row r="344" spans="1:9">
      <c r="A344" s="818"/>
      <c r="B344" s="831"/>
      <c r="C344" s="829"/>
      <c r="D344" s="832"/>
      <c r="E344" s="844"/>
      <c r="F344" s="435"/>
      <c r="G344" s="829"/>
      <c r="H344" s="843"/>
      <c r="I344" s="442"/>
    </row>
    <row r="345" spans="1:9">
      <c r="A345" s="818"/>
      <c r="B345" s="831"/>
      <c r="C345" s="829"/>
      <c r="D345" s="832"/>
      <c r="E345" s="844"/>
      <c r="F345" s="435"/>
      <c r="G345" s="829"/>
      <c r="H345" s="843"/>
      <c r="I345" s="442"/>
    </row>
    <row r="346" spans="1:9">
      <c r="A346" s="818"/>
      <c r="B346" s="831"/>
      <c r="C346" s="829"/>
      <c r="D346" s="832"/>
      <c r="E346" s="844"/>
      <c r="F346" s="435"/>
      <c r="G346" s="829"/>
      <c r="H346" s="843"/>
      <c r="I346" s="442"/>
    </row>
    <row r="347" spans="1:9">
      <c r="A347" s="818"/>
      <c r="B347" s="831"/>
      <c r="C347" s="829"/>
      <c r="D347" s="832"/>
      <c r="E347" s="844"/>
      <c r="F347" s="435"/>
      <c r="G347" s="829"/>
      <c r="H347" s="843"/>
      <c r="I347" s="442"/>
    </row>
    <row r="348" spans="1:9">
      <c r="A348" s="818"/>
      <c r="B348" s="831"/>
      <c r="C348" s="829"/>
      <c r="D348" s="832"/>
      <c r="E348" s="844"/>
      <c r="F348" s="435"/>
      <c r="G348" s="829"/>
      <c r="H348" s="843"/>
      <c r="I348" s="442"/>
    </row>
    <row r="349" spans="1:9">
      <c r="A349" s="818"/>
      <c r="B349" s="831"/>
      <c r="C349" s="829"/>
      <c r="D349" s="832"/>
      <c r="E349" s="844"/>
      <c r="F349" s="435"/>
      <c r="G349" s="829"/>
      <c r="H349" s="843"/>
      <c r="I349" s="442"/>
    </row>
    <row r="350" spans="1:9">
      <c r="A350" s="818"/>
      <c r="B350" s="831"/>
      <c r="C350" s="829"/>
      <c r="D350" s="832"/>
      <c r="E350" s="844"/>
      <c r="F350" s="435"/>
      <c r="G350" s="829"/>
      <c r="H350" s="843"/>
      <c r="I350" s="442"/>
    </row>
    <row r="351" spans="1:9">
      <c r="A351" s="818"/>
      <c r="B351" s="831"/>
      <c r="C351" s="829"/>
      <c r="D351" s="832"/>
      <c r="E351" s="844"/>
      <c r="F351" s="435"/>
      <c r="G351" s="829"/>
      <c r="H351" s="843"/>
      <c r="I351" s="442"/>
    </row>
    <row r="352" spans="1:9">
      <c r="A352" s="818"/>
      <c r="B352" s="831"/>
      <c r="C352" s="829"/>
      <c r="D352" s="832"/>
      <c r="E352" s="844"/>
      <c r="F352" s="435"/>
      <c r="G352" s="829"/>
      <c r="H352" s="843"/>
      <c r="I352" s="442"/>
    </row>
    <row r="353" spans="1:9">
      <c r="A353" s="818"/>
      <c r="B353" s="831"/>
      <c r="C353" s="829"/>
      <c r="D353" s="832"/>
      <c r="E353" s="844"/>
      <c r="F353" s="435"/>
      <c r="G353" s="829"/>
      <c r="H353" s="843"/>
      <c r="I353" s="442"/>
    </row>
    <row r="354" spans="1:9">
      <c r="A354" s="818"/>
      <c r="B354" s="435"/>
      <c r="C354" s="829"/>
      <c r="D354" s="843"/>
      <c r="E354" s="435"/>
      <c r="F354" s="435"/>
      <c r="G354" s="829"/>
      <c r="H354" s="843"/>
      <c r="I354" s="442"/>
    </row>
    <row r="355" spans="1:9">
      <c r="A355" s="818"/>
      <c r="B355" s="435"/>
      <c r="C355" s="829"/>
      <c r="D355" s="843"/>
      <c r="E355" s="435"/>
      <c r="F355" s="435"/>
      <c r="G355" s="435"/>
      <c r="H355" s="435"/>
      <c r="I355" s="442"/>
    </row>
    <row r="356" spans="1:9">
      <c r="A356" s="818"/>
      <c r="B356" s="435"/>
      <c r="C356" s="829"/>
      <c r="D356" s="843"/>
      <c r="E356" s="435"/>
      <c r="F356" s="435"/>
      <c r="G356" s="829"/>
      <c r="H356" s="843"/>
      <c r="I356" s="442"/>
    </row>
    <row r="357" spans="1:9">
      <c r="A357" s="818"/>
      <c r="B357" s="109"/>
      <c r="C357" s="850"/>
      <c r="D357" s="928"/>
      <c r="E357" s="109"/>
      <c r="F357" s="109"/>
      <c r="G357" s="850"/>
      <c r="H357" s="928"/>
      <c r="I357" s="934"/>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5" manualBreakCount="5">
    <brk id="62" max="9" man="1"/>
    <brk id="121" max="16383" man="1"/>
    <brk id="180" max="16383" man="1"/>
    <brk id="239" max="16383" man="1"/>
    <brk id="299"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1:N92"/>
  <sheetViews>
    <sheetView view="pageBreakPreview" zoomScaleSheetLayoutView="100" workbookViewId="0">
      <selection activeCell="L1" sqref="L1:N2"/>
    </sheetView>
  </sheetViews>
  <sheetFormatPr defaultRowHeight="15.75"/>
  <cols>
    <col min="1" max="1" width="4" style="158" customWidth="1"/>
    <col min="2" max="2" width="5.42578125" style="158" customWidth="1"/>
    <col min="3" max="3" width="29.28515625" style="158" customWidth="1"/>
    <col min="4" max="4" width="13.85546875" style="158" bestFit="1" customWidth="1"/>
    <col min="5" max="5" width="6.7109375" style="158" customWidth="1"/>
    <col min="6" max="6" width="11" style="158" customWidth="1"/>
    <col min="7" max="7" width="7.42578125" style="158" customWidth="1"/>
    <col min="8" max="8" width="8.140625" style="158" customWidth="1"/>
    <col min="9" max="9" width="12.5703125" style="158" customWidth="1"/>
    <col min="10" max="10" width="9" style="158" customWidth="1"/>
    <col min="11" max="11" width="14.28515625" style="158" customWidth="1"/>
    <col min="12" max="12" width="11" style="158" customWidth="1"/>
    <col min="13" max="13" width="13.42578125" style="158" customWidth="1"/>
    <col min="14" max="14" width="11.5703125" style="158" customWidth="1"/>
    <col min="15" max="15" width="2.28515625" style="158" customWidth="1"/>
    <col min="16" max="16384" width="9.140625" style="158"/>
  </cols>
  <sheetData>
    <row r="1" spans="2:14">
      <c r="B1" s="2184" t="s">
        <v>1257</v>
      </c>
      <c r="C1" s="2184"/>
      <c r="D1" s="2184"/>
      <c r="E1" s="2184"/>
      <c r="F1" s="2184"/>
      <c r="G1" s="2184"/>
      <c r="L1" s="2221"/>
      <c r="M1" s="2221"/>
      <c r="N1" s="2221"/>
    </row>
    <row r="2" spans="2:14">
      <c r="B2" s="2184" t="s">
        <v>1208</v>
      </c>
      <c r="C2" s="2184"/>
      <c r="D2" s="2184"/>
      <c r="E2" s="2184"/>
      <c r="F2" s="2184"/>
      <c r="G2" s="2184"/>
      <c r="L2" s="2221"/>
      <c r="M2" s="2221"/>
      <c r="N2" s="2221"/>
    </row>
    <row r="3" spans="2:14">
      <c r="B3" s="2184" t="s">
        <v>1258</v>
      </c>
      <c r="C3" s="2184"/>
      <c r="D3" s="2184"/>
      <c r="E3" s="2184"/>
      <c r="F3" s="2184"/>
      <c r="G3" s="2184"/>
      <c r="L3" s="2221" t="s">
        <v>1786</v>
      </c>
      <c r="M3" s="2221"/>
      <c r="N3" s="2221"/>
    </row>
    <row r="4" spans="2:14">
      <c r="B4" s="2184" t="s">
        <v>1209</v>
      </c>
      <c r="C4" s="2184"/>
      <c r="D4" s="2184"/>
      <c r="E4" s="2184"/>
      <c r="F4" s="2184"/>
      <c r="G4" s="2184"/>
      <c r="J4" s="157"/>
      <c r="K4" s="157"/>
      <c r="L4" s="157"/>
      <c r="M4" s="157"/>
      <c r="N4" s="395"/>
    </row>
    <row r="5" spans="2:14">
      <c r="B5" s="921"/>
      <c r="C5" s="921"/>
      <c r="D5" s="921"/>
      <c r="E5" s="921"/>
      <c r="F5" s="921"/>
      <c r="G5" s="921"/>
      <c r="J5" s="922"/>
      <c r="K5" s="922"/>
      <c r="L5" s="922"/>
      <c r="M5" s="922"/>
      <c r="N5" s="573"/>
    </row>
    <row r="6" spans="2:14">
      <c r="B6" s="2222" t="s">
        <v>4</v>
      </c>
      <c r="C6" s="2219" t="s">
        <v>293</v>
      </c>
      <c r="D6" s="2219" t="s">
        <v>309</v>
      </c>
      <c r="E6" s="2219" t="s">
        <v>310</v>
      </c>
      <c r="F6" s="871" t="s">
        <v>295</v>
      </c>
      <c r="G6" s="2219" t="s">
        <v>311</v>
      </c>
      <c r="H6" s="2219"/>
      <c r="I6" s="2219"/>
      <c r="J6" s="871"/>
      <c r="K6" s="871" t="s">
        <v>312</v>
      </c>
      <c r="L6" s="871"/>
      <c r="M6" s="871"/>
      <c r="N6" s="960"/>
    </row>
    <row r="7" spans="2:14">
      <c r="B7" s="2223"/>
      <c r="C7" s="2224"/>
      <c r="D7" s="2224"/>
      <c r="E7" s="2224"/>
      <c r="F7" s="951" t="s">
        <v>313</v>
      </c>
      <c r="G7" s="951" t="s">
        <v>314</v>
      </c>
      <c r="H7" s="951" t="s">
        <v>315</v>
      </c>
      <c r="I7" s="951" t="s">
        <v>316</v>
      </c>
      <c r="J7" s="951" t="s">
        <v>317</v>
      </c>
      <c r="K7" s="951" t="s">
        <v>318</v>
      </c>
      <c r="L7" s="951" t="s">
        <v>319</v>
      </c>
      <c r="M7" s="951" t="s">
        <v>320</v>
      </c>
      <c r="N7" s="963" t="s">
        <v>321</v>
      </c>
    </row>
    <row r="8" spans="2:14">
      <c r="B8" s="874"/>
      <c r="C8" s="964" t="s">
        <v>436</v>
      </c>
      <c r="D8" s="871" t="s">
        <v>943</v>
      </c>
      <c r="E8" s="871">
        <v>14</v>
      </c>
      <c r="F8" s="889">
        <v>8.2200000000000006</v>
      </c>
      <c r="G8" s="871">
        <v>4</v>
      </c>
      <c r="H8" s="871">
        <v>3</v>
      </c>
      <c r="I8" s="889">
        <f t="shared" ref="I8:I18" si="0">H8*G8</f>
        <v>12</v>
      </c>
      <c r="J8" s="889"/>
      <c r="K8" s="889" t="str">
        <f t="shared" ref="K8:K17" si="1">IF(E8=8,I8*F8,"-")</f>
        <v>-</v>
      </c>
      <c r="L8" s="889"/>
      <c r="M8" s="889"/>
      <c r="N8" s="890">
        <f t="shared" ref="N8:N17" si="2">IF(E8=14,I8*F8,"-")</f>
        <v>98.640000000000015</v>
      </c>
    </row>
    <row r="9" spans="2:14">
      <c r="B9" s="872"/>
      <c r="C9" s="945" t="s">
        <v>121</v>
      </c>
      <c r="D9" s="861" t="s">
        <v>121</v>
      </c>
      <c r="E9" s="861">
        <v>14</v>
      </c>
      <c r="F9" s="865">
        <v>7.38</v>
      </c>
      <c r="G9" s="861">
        <v>4</v>
      </c>
      <c r="H9" s="861">
        <v>3</v>
      </c>
      <c r="I9" s="865">
        <f t="shared" si="0"/>
        <v>12</v>
      </c>
      <c r="J9" s="865"/>
      <c r="K9" s="865" t="str">
        <f t="shared" si="1"/>
        <v>-</v>
      </c>
      <c r="L9" s="865"/>
      <c r="M9" s="865"/>
      <c r="N9" s="873">
        <f t="shared" si="2"/>
        <v>88.56</v>
      </c>
    </row>
    <row r="10" spans="2:14">
      <c r="B10" s="872"/>
      <c r="C10" s="945" t="s">
        <v>121</v>
      </c>
      <c r="D10" s="861" t="s">
        <v>121</v>
      </c>
      <c r="E10" s="861">
        <v>14</v>
      </c>
      <c r="F10" s="865">
        <v>9.25</v>
      </c>
      <c r="G10" s="861">
        <v>4</v>
      </c>
      <c r="H10" s="861">
        <v>3</v>
      </c>
      <c r="I10" s="865">
        <f t="shared" si="0"/>
        <v>12</v>
      </c>
      <c r="J10" s="865"/>
      <c r="K10" s="865" t="str">
        <f t="shared" si="1"/>
        <v>-</v>
      </c>
      <c r="L10" s="865"/>
      <c r="M10" s="865"/>
      <c r="N10" s="873">
        <f t="shared" si="2"/>
        <v>111</v>
      </c>
    </row>
    <row r="11" spans="2:14">
      <c r="B11" s="872"/>
      <c r="C11" s="945" t="s">
        <v>121</v>
      </c>
      <c r="D11" s="861" t="s">
        <v>121</v>
      </c>
      <c r="E11" s="861">
        <v>14</v>
      </c>
      <c r="F11" s="865">
        <v>11.7</v>
      </c>
      <c r="G11" s="861">
        <v>4</v>
      </c>
      <c r="H11" s="861">
        <v>3</v>
      </c>
      <c r="I11" s="865">
        <f t="shared" si="0"/>
        <v>12</v>
      </c>
      <c r="J11" s="865"/>
      <c r="K11" s="865" t="str">
        <f t="shared" si="1"/>
        <v>-</v>
      </c>
      <c r="L11" s="865"/>
      <c r="M11" s="865"/>
      <c r="N11" s="873">
        <f t="shared" si="2"/>
        <v>140.39999999999998</v>
      </c>
    </row>
    <row r="12" spans="2:14">
      <c r="B12" s="872"/>
      <c r="C12" s="945" t="s">
        <v>121</v>
      </c>
      <c r="D12" s="861" t="s">
        <v>121</v>
      </c>
      <c r="E12" s="861">
        <v>14</v>
      </c>
      <c r="F12" s="865">
        <v>11.85</v>
      </c>
      <c r="G12" s="861">
        <v>4</v>
      </c>
      <c r="H12" s="861">
        <v>3</v>
      </c>
      <c r="I12" s="865">
        <f t="shared" si="0"/>
        <v>12</v>
      </c>
      <c r="J12" s="865"/>
      <c r="K12" s="865" t="str">
        <f t="shared" si="1"/>
        <v>-</v>
      </c>
      <c r="L12" s="865"/>
      <c r="M12" s="865"/>
      <c r="N12" s="873">
        <f t="shared" si="2"/>
        <v>142.19999999999999</v>
      </c>
    </row>
    <row r="13" spans="2:14">
      <c r="B13" s="872"/>
      <c r="C13" s="945" t="s">
        <v>121</v>
      </c>
      <c r="D13" s="861" t="s">
        <v>395</v>
      </c>
      <c r="E13" s="861">
        <v>8</v>
      </c>
      <c r="F13" s="865">
        <v>1.2</v>
      </c>
      <c r="G13" s="861">
        <v>115</v>
      </c>
      <c r="H13" s="861">
        <v>4</v>
      </c>
      <c r="I13" s="865">
        <f t="shared" si="0"/>
        <v>460</v>
      </c>
      <c r="J13" s="865"/>
      <c r="K13" s="865">
        <f t="shared" si="1"/>
        <v>552</v>
      </c>
      <c r="L13" s="865"/>
      <c r="M13" s="865"/>
      <c r="N13" s="873" t="str">
        <f t="shared" si="2"/>
        <v>-</v>
      </c>
    </row>
    <row r="14" spans="2:14">
      <c r="B14" s="872"/>
      <c r="C14" s="945" t="s">
        <v>121</v>
      </c>
      <c r="D14" s="944" t="s">
        <v>944</v>
      </c>
      <c r="E14" s="861">
        <v>14</v>
      </c>
      <c r="F14" s="865">
        <v>7.16</v>
      </c>
      <c r="G14" s="861">
        <v>5</v>
      </c>
      <c r="H14" s="861">
        <v>3</v>
      </c>
      <c r="I14" s="865">
        <f t="shared" si="0"/>
        <v>15</v>
      </c>
      <c r="J14" s="865"/>
      <c r="K14" s="865" t="str">
        <f t="shared" si="1"/>
        <v>-</v>
      </c>
      <c r="L14" s="865"/>
      <c r="M14" s="865"/>
      <c r="N14" s="873">
        <f t="shared" si="2"/>
        <v>107.4</v>
      </c>
    </row>
    <row r="15" spans="2:14">
      <c r="B15" s="872"/>
      <c r="C15" s="945" t="s">
        <v>121</v>
      </c>
      <c r="D15" s="944" t="str">
        <f>D16</f>
        <v>"</v>
      </c>
      <c r="E15" s="861">
        <v>14</v>
      </c>
      <c r="F15" s="865">
        <v>7.2</v>
      </c>
      <c r="G15" s="861">
        <v>5</v>
      </c>
      <c r="H15" s="861">
        <v>3</v>
      </c>
      <c r="I15" s="865">
        <f t="shared" si="0"/>
        <v>15</v>
      </c>
      <c r="J15" s="865"/>
      <c r="K15" s="865" t="str">
        <f t="shared" si="1"/>
        <v>-</v>
      </c>
      <c r="L15" s="865"/>
      <c r="M15" s="865"/>
      <c r="N15" s="873">
        <f t="shared" si="2"/>
        <v>108</v>
      </c>
    </row>
    <row r="16" spans="2:14">
      <c r="B16" s="872"/>
      <c r="C16" s="945" t="s">
        <v>121</v>
      </c>
      <c r="D16" s="861" t="str">
        <f>C16</f>
        <v>"</v>
      </c>
      <c r="E16" s="861">
        <v>14</v>
      </c>
      <c r="F16" s="865">
        <v>7.91</v>
      </c>
      <c r="G16" s="861">
        <v>5</v>
      </c>
      <c r="H16" s="861">
        <v>3</v>
      </c>
      <c r="I16" s="865">
        <f t="shared" si="0"/>
        <v>15</v>
      </c>
      <c r="J16" s="865"/>
      <c r="K16" s="865" t="str">
        <f t="shared" si="1"/>
        <v>-</v>
      </c>
      <c r="L16" s="865"/>
      <c r="M16" s="865"/>
      <c r="N16" s="873">
        <f t="shared" si="2"/>
        <v>118.65</v>
      </c>
    </row>
    <row r="17" spans="2:14">
      <c r="B17" s="872"/>
      <c r="C17" s="945" t="s">
        <v>121</v>
      </c>
      <c r="D17" s="861" t="str">
        <f>C17</f>
        <v>"</v>
      </c>
      <c r="E17" s="861">
        <v>14</v>
      </c>
      <c r="F17" s="865">
        <v>5.85</v>
      </c>
      <c r="G17" s="861">
        <v>5</v>
      </c>
      <c r="H17" s="861">
        <v>3</v>
      </c>
      <c r="I17" s="865">
        <f t="shared" si="0"/>
        <v>15</v>
      </c>
      <c r="J17" s="865"/>
      <c r="K17" s="865" t="str">
        <f t="shared" si="1"/>
        <v>-</v>
      </c>
      <c r="L17" s="865"/>
      <c r="M17" s="865"/>
      <c r="N17" s="873">
        <f t="shared" si="2"/>
        <v>87.75</v>
      </c>
    </row>
    <row r="18" spans="2:14">
      <c r="B18" s="872"/>
      <c r="C18" s="945" t="s">
        <v>121</v>
      </c>
      <c r="D18" s="861" t="s">
        <v>395</v>
      </c>
      <c r="E18" s="861">
        <v>8</v>
      </c>
      <c r="F18" s="865">
        <v>1.2</v>
      </c>
      <c r="G18" s="861">
        <v>5</v>
      </c>
      <c r="H18" s="861">
        <v>65</v>
      </c>
      <c r="I18" s="865">
        <f t="shared" si="0"/>
        <v>325</v>
      </c>
      <c r="J18" s="865"/>
      <c r="K18" s="865">
        <f>IF(E18=8,I18*F18,"-")</f>
        <v>390</v>
      </c>
      <c r="L18" s="865"/>
      <c r="M18" s="865"/>
      <c r="N18" s="873"/>
    </row>
    <row r="19" spans="2:14">
      <c r="B19" s="872"/>
      <c r="C19" s="862"/>
      <c r="D19" s="861"/>
      <c r="E19" s="861"/>
      <c r="F19" s="865"/>
      <c r="G19" s="861"/>
      <c r="H19" s="864"/>
      <c r="I19" s="865"/>
      <c r="J19" s="865"/>
      <c r="K19" s="865"/>
      <c r="L19" s="865"/>
      <c r="M19" s="865"/>
      <c r="N19" s="873"/>
    </row>
    <row r="20" spans="2:14">
      <c r="B20" s="872"/>
      <c r="C20" s="861"/>
      <c r="D20" s="861"/>
      <c r="E20" s="861"/>
      <c r="F20" s="865"/>
      <c r="G20" s="861"/>
      <c r="H20" s="864"/>
      <c r="I20" s="865"/>
      <c r="J20" s="865"/>
      <c r="K20" s="865"/>
      <c r="L20" s="865"/>
      <c r="M20" s="865"/>
      <c r="N20" s="873"/>
    </row>
    <row r="21" spans="2:14">
      <c r="B21" s="872"/>
      <c r="C21" s="862"/>
      <c r="D21" s="861"/>
      <c r="E21" s="861"/>
      <c r="F21" s="865"/>
      <c r="G21" s="861"/>
      <c r="H21" s="864"/>
      <c r="I21" s="865"/>
      <c r="J21" s="865"/>
      <c r="K21" s="865"/>
      <c r="L21" s="865"/>
      <c r="M21" s="865"/>
      <c r="N21" s="873"/>
    </row>
    <row r="22" spans="2:14">
      <c r="B22" s="872"/>
      <c r="C22" s="862"/>
      <c r="D22" s="944"/>
      <c r="E22" s="861"/>
      <c r="F22" s="865"/>
      <c r="G22" s="861"/>
      <c r="H22" s="864"/>
      <c r="I22" s="865"/>
      <c r="J22" s="865"/>
      <c r="K22" s="865"/>
      <c r="L22" s="865"/>
      <c r="M22" s="865"/>
      <c r="N22" s="873"/>
    </row>
    <row r="23" spans="2:14">
      <c r="B23" s="872"/>
      <c r="C23" s="862"/>
      <c r="D23" s="861"/>
      <c r="E23" s="861"/>
      <c r="F23" s="865"/>
      <c r="G23" s="861"/>
      <c r="H23" s="864"/>
      <c r="I23" s="865"/>
      <c r="J23" s="865"/>
      <c r="K23" s="865"/>
      <c r="L23" s="865"/>
      <c r="M23" s="865"/>
      <c r="N23" s="873"/>
    </row>
    <row r="24" spans="2:14">
      <c r="B24" s="872"/>
      <c r="C24" s="862"/>
      <c r="D24" s="861"/>
      <c r="E24" s="861"/>
      <c r="F24" s="865"/>
      <c r="G24" s="861"/>
      <c r="H24" s="864"/>
      <c r="I24" s="865"/>
      <c r="J24" s="865"/>
      <c r="K24" s="865"/>
      <c r="L24" s="865"/>
      <c r="M24" s="865"/>
      <c r="N24" s="873"/>
    </row>
    <row r="25" spans="2:14">
      <c r="B25" s="872"/>
      <c r="C25" s="866"/>
      <c r="D25" s="861"/>
      <c r="E25" s="861"/>
      <c r="F25" s="865"/>
      <c r="G25" s="861"/>
      <c r="H25" s="861"/>
      <c r="I25" s="865"/>
      <c r="J25" s="865"/>
      <c r="K25" s="865"/>
      <c r="L25" s="865"/>
      <c r="M25" s="865"/>
      <c r="N25" s="873"/>
    </row>
    <row r="26" spans="2:14">
      <c r="B26" s="872"/>
      <c r="C26" s="861"/>
      <c r="D26" s="861"/>
      <c r="E26" s="861"/>
      <c r="F26" s="865"/>
      <c r="G26" s="861"/>
      <c r="H26" s="861"/>
      <c r="I26" s="865"/>
      <c r="J26" s="865"/>
      <c r="K26" s="865"/>
      <c r="L26" s="865"/>
      <c r="M26" s="865"/>
      <c r="N26" s="873"/>
    </row>
    <row r="27" spans="2:14">
      <c r="B27" s="872"/>
      <c r="C27" s="861"/>
      <c r="D27" s="861"/>
      <c r="E27" s="861"/>
      <c r="F27" s="865"/>
      <c r="G27" s="861"/>
      <c r="H27" s="861"/>
      <c r="I27" s="865"/>
      <c r="J27" s="865"/>
      <c r="K27" s="865"/>
      <c r="L27" s="865"/>
      <c r="M27" s="865"/>
      <c r="N27" s="873"/>
    </row>
    <row r="28" spans="2:14">
      <c r="B28" s="872"/>
      <c r="C28" s="866"/>
      <c r="D28" s="861"/>
      <c r="E28" s="861"/>
      <c r="F28" s="865"/>
      <c r="G28" s="861"/>
      <c r="H28" s="861"/>
      <c r="I28" s="865"/>
      <c r="J28" s="865"/>
      <c r="K28" s="865"/>
      <c r="L28" s="865"/>
      <c r="M28" s="865"/>
      <c r="N28" s="873"/>
    </row>
    <row r="29" spans="2:14">
      <c r="B29" s="872"/>
      <c r="C29" s="861"/>
      <c r="D29" s="861"/>
      <c r="E29" s="861"/>
      <c r="F29" s="865"/>
      <c r="G29" s="861"/>
      <c r="H29" s="861"/>
      <c r="I29" s="865"/>
      <c r="J29" s="865"/>
      <c r="K29" s="865"/>
      <c r="L29" s="865"/>
      <c r="M29" s="865"/>
      <c r="N29" s="873"/>
    </row>
    <row r="30" spans="2:14">
      <c r="B30" s="872"/>
      <c r="C30" s="861"/>
      <c r="D30" s="861"/>
      <c r="E30" s="861"/>
      <c r="F30" s="865"/>
      <c r="G30" s="861"/>
      <c r="H30" s="861"/>
      <c r="I30" s="865"/>
      <c r="J30" s="865"/>
      <c r="K30" s="865"/>
      <c r="L30" s="865"/>
      <c r="M30" s="865"/>
      <c r="N30" s="873"/>
    </row>
    <row r="31" spans="2:14">
      <c r="B31" s="950"/>
      <c r="C31" s="951"/>
      <c r="D31" s="951"/>
      <c r="E31" s="951"/>
      <c r="F31" s="961"/>
      <c r="G31" s="951"/>
      <c r="H31" s="951"/>
      <c r="I31" s="961"/>
      <c r="J31" s="961"/>
      <c r="K31" s="961"/>
      <c r="L31" s="961"/>
      <c r="M31" s="961"/>
      <c r="N31" s="962"/>
    </row>
    <row r="32" spans="2:14">
      <c r="B32" s="346"/>
      <c r="C32" s="2210" t="s">
        <v>301</v>
      </c>
      <c r="D32" s="2211"/>
      <c r="E32" s="2211"/>
      <c r="F32" s="2211"/>
      <c r="G32" s="2211"/>
      <c r="H32" s="2211"/>
      <c r="I32" s="2211"/>
      <c r="J32" s="2212"/>
      <c r="K32" s="889">
        <f>SUM(K8:K31)</f>
        <v>942</v>
      </c>
      <c r="L32" s="889">
        <f>SUM(L8:L31)</f>
        <v>0</v>
      </c>
      <c r="M32" s="889">
        <f>SUM(M8:M31)</f>
        <v>0</v>
      </c>
      <c r="N32" s="890">
        <f>SUM(N8:N31)</f>
        <v>1002.5999999999999</v>
      </c>
    </row>
    <row r="33" spans="2:14">
      <c r="B33" s="346"/>
      <c r="C33" s="2213" t="s">
        <v>302</v>
      </c>
      <c r="D33" s="2214"/>
      <c r="E33" s="2214"/>
      <c r="F33" s="2214"/>
      <c r="G33" s="2214"/>
      <c r="H33" s="2214"/>
      <c r="I33" s="2214"/>
      <c r="J33" s="2215"/>
      <c r="K33" s="947" t="s">
        <v>303</v>
      </c>
      <c r="L33" s="948" t="s">
        <v>304</v>
      </c>
      <c r="M33" s="947" t="s">
        <v>305</v>
      </c>
      <c r="N33" s="949" t="s">
        <v>306</v>
      </c>
    </row>
    <row r="34" spans="2:14">
      <c r="B34" s="346"/>
      <c r="C34" s="2216" t="s">
        <v>307</v>
      </c>
      <c r="D34" s="2217"/>
      <c r="E34" s="2217"/>
      <c r="F34" s="2217"/>
      <c r="G34" s="2217"/>
      <c r="H34" s="2217"/>
      <c r="I34" s="2217"/>
      <c r="J34" s="2218"/>
      <c r="K34" s="953">
        <f>K32*K33</f>
        <v>372.09000000000003</v>
      </c>
      <c r="L34" s="953">
        <f>L32*L33</f>
        <v>0</v>
      </c>
      <c r="M34" s="953">
        <f>M32*M33</f>
        <v>0</v>
      </c>
      <c r="N34" s="954">
        <f>N32*N33</f>
        <v>1213.146</v>
      </c>
    </row>
    <row r="35" spans="2:14">
      <c r="B35" s="874"/>
      <c r="C35" s="871" t="s">
        <v>945</v>
      </c>
      <c r="D35" s="871"/>
      <c r="E35" s="871"/>
      <c r="F35" s="889"/>
      <c r="G35" s="871"/>
      <c r="H35" s="871"/>
      <c r="I35" s="889"/>
      <c r="J35" s="889"/>
      <c r="K35" s="889"/>
      <c r="L35" s="889"/>
      <c r="M35" s="889"/>
      <c r="N35" s="890"/>
    </row>
    <row r="36" spans="2:14">
      <c r="B36" s="872"/>
      <c r="C36" s="870" t="s">
        <v>398</v>
      </c>
      <c r="D36" s="861"/>
      <c r="E36" s="861">
        <v>8</v>
      </c>
      <c r="F36" s="865">
        <v>4.87</v>
      </c>
      <c r="G36" s="861">
        <v>2</v>
      </c>
      <c r="H36" s="861">
        <v>26</v>
      </c>
      <c r="I36" s="865">
        <f>G36*H36</f>
        <v>52</v>
      </c>
      <c r="J36" s="865"/>
      <c r="K36" s="865">
        <f>F36*I36</f>
        <v>253.24</v>
      </c>
      <c r="L36" s="865"/>
      <c r="M36" s="865"/>
      <c r="N36" s="873"/>
    </row>
    <row r="37" spans="2:14">
      <c r="B37" s="872"/>
      <c r="C37" s="870" t="s">
        <v>399</v>
      </c>
      <c r="D37" s="861"/>
      <c r="E37" s="861">
        <v>8</v>
      </c>
      <c r="F37" s="865">
        <v>4.97</v>
      </c>
      <c r="G37" s="861">
        <v>2</v>
      </c>
      <c r="H37" s="861">
        <v>25</v>
      </c>
      <c r="I37" s="865">
        <f t="shared" ref="I37:I51" si="3">G37*H37</f>
        <v>50</v>
      </c>
      <c r="J37" s="865"/>
      <c r="K37" s="865">
        <f t="shared" ref="K37:K51" si="4">F37*I37</f>
        <v>248.5</v>
      </c>
      <c r="L37" s="865"/>
      <c r="M37" s="865"/>
      <c r="N37" s="873"/>
    </row>
    <row r="38" spans="2:14">
      <c r="B38" s="872"/>
      <c r="C38" s="870" t="s">
        <v>398</v>
      </c>
      <c r="D38" s="861"/>
      <c r="E38" s="861">
        <v>8</v>
      </c>
      <c r="F38" s="865">
        <v>4.7699999999999996</v>
      </c>
      <c r="G38" s="861">
        <v>2</v>
      </c>
      <c r="H38" s="861">
        <v>26</v>
      </c>
      <c r="I38" s="865">
        <f t="shared" si="3"/>
        <v>52</v>
      </c>
      <c r="J38" s="865"/>
      <c r="K38" s="865">
        <f t="shared" si="4"/>
        <v>248.03999999999996</v>
      </c>
      <c r="L38" s="865"/>
      <c r="M38" s="865"/>
      <c r="N38" s="873"/>
    </row>
    <row r="39" spans="2:14">
      <c r="B39" s="872"/>
      <c r="C39" s="870" t="s">
        <v>946</v>
      </c>
      <c r="D39" s="861"/>
      <c r="E39" s="861">
        <v>8</v>
      </c>
      <c r="F39" s="865">
        <v>4.97</v>
      </c>
      <c r="G39" s="861">
        <v>2</v>
      </c>
      <c r="H39" s="861">
        <v>25</v>
      </c>
      <c r="I39" s="865">
        <f t="shared" si="3"/>
        <v>50</v>
      </c>
      <c r="J39" s="865"/>
      <c r="K39" s="865">
        <f t="shared" si="4"/>
        <v>248.5</v>
      </c>
      <c r="L39" s="865"/>
      <c r="M39" s="865"/>
      <c r="N39" s="873"/>
    </row>
    <row r="40" spans="2:14">
      <c r="B40" s="872"/>
      <c r="C40" s="870" t="s">
        <v>398</v>
      </c>
      <c r="D40" s="861"/>
      <c r="E40" s="861">
        <v>8</v>
      </c>
      <c r="F40" s="865">
        <v>6.92</v>
      </c>
      <c r="G40" s="861">
        <v>2</v>
      </c>
      <c r="H40" s="861">
        <v>26</v>
      </c>
      <c r="I40" s="865">
        <f t="shared" si="3"/>
        <v>52</v>
      </c>
      <c r="J40" s="865"/>
      <c r="K40" s="865">
        <f t="shared" si="4"/>
        <v>359.84</v>
      </c>
      <c r="L40" s="865"/>
      <c r="M40" s="865"/>
      <c r="N40" s="873"/>
    </row>
    <row r="41" spans="2:14">
      <c r="B41" s="872"/>
      <c r="C41" s="870" t="s">
        <v>947</v>
      </c>
      <c r="D41" s="861"/>
      <c r="E41" s="861">
        <v>8</v>
      </c>
      <c r="F41" s="865">
        <v>4.97</v>
      </c>
      <c r="G41" s="861">
        <v>2</v>
      </c>
      <c r="H41" s="861">
        <v>36</v>
      </c>
      <c r="I41" s="865">
        <f t="shared" si="3"/>
        <v>72</v>
      </c>
      <c r="J41" s="865"/>
      <c r="K41" s="865">
        <f t="shared" si="4"/>
        <v>357.84</v>
      </c>
      <c r="L41" s="865"/>
      <c r="M41" s="865"/>
      <c r="N41" s="873"/>
    </row>
    <row r="42" spans="2:14">
      <c r="B42" s="872"/>
      <c r="C42" s="870" t="s">
        <v>398</v>
      </c>
      <c r="D42" s="861"/>
      <c r="E42" s="861">
        <v>8</v>
      </c>
      <c r="F42" s="865">
        <v>4.82</v>
      </c>
      <c r="G42" s="861">
        <v>2</v>
      </c>
      <c r="H42" s="861">
        <v>26</v>
      </c>
      <c r="I42" s="865">
        <f t="shared" si="3"/>
        <v>52</v>
      </c>
      <c r="J42" s="865"/>
      <c r="K42" s="865">
        <f t="shared" si="4"/>
        <v>250.64000000000001</v>
      </c>
      <c r="L42" s="865"/>
      <c r="M42" s="865"/>
      <c r="N42" s="873"/>
    </row>
    <row r="43" spans="2:14">
      <c r="B43" s="872"/>
      <c r="C43" s="870" t="s">
        <v>948</v>
      </c>
      <c r="D43" s="861"/>
      <c r="E43" s="861">
        <v>8</v>
      </c>
      <c r="F43" s="865">
        <v>4.97</v>
      </c>
      <c r="G43" s="861">
        <v>2</v>
      </c>
      <c r="H43" s="861">
        <v>25</v>
      </c>
      <c r="I43" s="865">
        <f t="shared" si="3"/>
        <v>50</v>
      </c>
      <c r="J43" s="865"/>
      <c r="K43" s="865">
        <f t="shared" si="4"/>
        <v>248.5</v>
      </c>
      <c r="L43" s="865"/>
      <c r="M43" s="865"/>
      <c r="N43" s="873"/>
    </row>
    <row r="44" spans="2:14">
      <c r="B44" s="872"/>
      <c r="C44" s="870" t="s">
        <v>402</v>
      </c>
      <c r="D44" s="861"/>
      <c r="E44" s="861">
        <v>8</v>
      </c>
      <c r="F44" s="865">
        <v>4.87</v>
      </c>
      <c r="G44" s="861">
        <v>1</v>
      </c>
      <c r="H44" s="861">
        <v>10</v>
      </c>
      <c r="I44" s="865">
        <f t="shared" si="3"/>
        <v>10</v>
      </c>
      <c r="J44" s="865"/>
      <c r="K44" s="865">
        <f t="shared" si="4"/>
        <v>48.7</v>
      </c>
      <c r="L44" s="865"/>
      <c r="M44" s="865"/>
      <c r="N44" s="873"/>
    </row>
    <row r="45" spans="2:14">
      <c r="B45" s="872"/>
      <c r="C45" s="870"/>
      <c r="D45" s="861"/>
      <c r="E45" s="861">
        <v>8</v>
      </c>
      <c r="F45" s="865">
        <v>1.87</v>
      </c>
      <c r="G45" s="861">
        <v>1</v>
      </c>
      <c r="H45" s="861">
        <v>26</v>
      </c>
      <c r="I45" s="865">
        <f t="shared" si="3"/>
        <v>26</v>
      </c>
      <c r="J45" s="865"/>
      <c r="K45" s="865">
        <f t="shared" si="4"/>
        <v>48.620000000000005</v>
      </c>
      <c r="L45" s="865"/>
      <c r="M45" s="865"/>
      <c r="N45" s="873"/>
    </row>
    <row r="46" spans="2:14">
      <c r="B46" s="872"/>
      <c r="C46" s="870" t="s">
        <v>949</v>
      </c>
      <c r="D46" s="861"/>
      <c r="E46" s="861">
        <v>8</v>
      </c>
      <c r="F46" s="865">
        <v>4.7699999999999996</v>
      </c>
      <c r="G46" s="861">
        <v>1</v>
      </c>
      <c r="H46" s="861">
        <v>10</v>
      </c>
      <c r="I46" s="865">
        <f t="shared" si="3"/>
        <v>10</v>
      </c>
      <c r="J46" s="865"/>
      <c r="K46" s="865">
        <f t="shared" si="4"/>
        <v>47.699999999999996</v>
      </c>
      <c r="L46" s="865"/>
      <c r="M46" s="865"/>
      <c r="N46" s="873"/>
    </row>
    <row r="47" spans="2:14">
      <c r="B47" s="872"/>
      <c r="C47" s="870"/>
      <c r="D47" s="861"/>
      <c r="E47" s="861">
        <v>8</v>
      </c>
      <c r="F47" s="865">
        <v>1.87</v>
      </c>
      <c r="G47" s="861">
        <v>1</v>
      </c>
      <c r="H47" s="861">
        <v>25</v>
      </c>
      <c r="I47" s="865">
        <f t="shared" si="3"/>
        <v>25</v>
      </c>
      <c r="J47" s="865"/>
      <c r="K47" s="865">
        <f t="shared" si="4"/>
        <v>46.75</v>
      </c>
      <c r="L47" s="865"/>
      <c r="M47" s="865"/>
      <c r="N47" s="873"/>
    </row>
    <row r="48" spans="2:14">
      <c r="B48" s="872"/>
      <c r="C48" s="870" t="s">
        <v>950</v>
      </c>
      <c r="D48" s="861"/>
      <c r="E48" s="861">
        <v>8</v>
      </c>
      <c r="F48" s="865">
        <v>6.92</v>
      </c>
      <c r="G48" s="861">
        <v>1</v>
      </c>
      <c r="H48" s="861">
        <v>10</v>
      </c>
      <c r="I48" s="865">
        <f t="shared" si="3"/>
        <v>10</v>
      </c>
      <c r="J48" s="865"/>
      <c r="K48" s="865">
        <f t="shared" si="4"/>
        <v>69.2</v>
      </c>
      <c r="L48" s="865"/>
      <c r="M48" s="865"/>
      <c r="N48" s="873"/>
    </row>
    <row r="49" spans="2:14">
      <c r="B49" s="872"/>
      <c r="C49" s="870"/>
      <c r="D49" s="861"/>
      <c r="E49" s="861">
        <v>8</v>
      </c>
      <c r="F49" s="865">
        <v>1.87</v>
      </c>
      <c r="G49" s="861">
        <v>1</v>
      </c>
      <c r="H49" s="861">
        <v>36</v>
      </c>
      <c r="I49" s="865">
        <f t="shared" si="3"/>
        <v>36</v>
      </c>
      <c r="J49" s="865"/>
      <c r="K49" s="865">
        <f t="shared" si="4"/>
        <v>67.320000000000007</v>
      </c>
      <c r="L49" s="865"/>
      <c r="M49" s="865"/>
      <c r="N49" s="873"/>
    </row>
    <row r="50" spans="2:14">
      <c r="B50" s="872"/>
      <c r="C50" s="870" t="s">
        <v>951</v>
      </c>
      <c r="D50" s="861"/>
      <c r="E50" s="861">
        <v>8</v>
      </c>
      <c r="F50" s="865">
        <v>4.82</v>
      </c>
      <c r="G50" s="861">
        <v>1</v>
      </c>
      <c r="H50" s="861">
        <v>10</v>
      </c>
      <c r="I50" s="865">
        <f t="shared" si="3"/>
        <v>10</v>
      </c>
      <c r="J50" s="865"/>
      <c r="K50" s="865">
        <f t="shared" si="4"/>
        <v>48.2</v>
      </c>
      <c r="L50" s="865"/>
      <c r="M50" s="865"/>
      <c r="N50" s="873"/>
    </row>
    <row r="51" spans="2:14">
      <c r="B51" s="872"/>
      <c r="C51" s="870"/>
      <c r="D51" s="861"/>
      <c r="E51" s="861">
        <v>8</v>
      </c>
      <c r="F51" s="865">
        <v>1.87</v>
      </c>
      <c r="G51" s="861">
        <v>1</v>
      </c>
      <c r="H51" s="861">
        <v>25</v>
      </c>
      <c r="I51" s="865">
        <f t="shared" si="3"/>
        <v>25</v>
      </c>
      <c r="J51" s="865"/>
      <c r="K51" s="865">
        <f t="shared" si="4"/>
        <v>46.75</v>
      </c>
      <c r="L51" s="865"/>
      <c r="M51" s="865"/>
      <c r="N51" s="873"/>
    </row>
    <row r="52" spans="2:14">
      <c r="B52" s="872"/>
      <c r="C52" s="861"/>
      <c r="D52" s="861"/>
      <c r="E52" s="861"/>
      <c r="F52" s="865"/>
      <c r="G52" s="861"/>
      <c r="H52" s="861"/>
      <c r="I52" s="865"/>
      <c r="J52" s="865"/>
      <c r="K52" s="865"/>
      <c r="L52" s="865"/>
      <c r="M52" s="865"/>
      <c r="N52" s="873"/>
    </row>
    <row r="53" spans="2:14">
      <c r="B53" s="872"/>
      <c r="C53" s="861"/>
      <c r="D53" s="861"/>
      <c r="E53" s="861"/>
      <c r="F53" s="865"/>
      <c r="G53" s="861"/>
      <c r="H53" s="861"/>
      <c r="I53" s="865"/>
      <c r="J53" s="865"/>
      <c r="K53" s="865"/>
      <c r="L53" s="865"/>
      <c r="M53" s="865"/>
      <c r="N53" s="873"/>
    </row>
    <row r="54" spans="2:14">
      <c r="B54" s="872"/>
      <c r="C54" s="861"/>
      <c r="D54" s="861"/>
      <c r="E54" s="861"/>
      <c r="F54" s="865"/>
      <c r="G54" s="861"/>
      <c r="H54" s="861"/>
      <c r="I54" s="865"/>
      <c r="J54" s="865"/>
      <c r="K54" s="865"/>
      <c r="L54" s="865"/>
      <c r="M54" s="865"/>
      <c r="N54" s="873"/>
    </row>
    <row r="55" spans="2:14">
      <c r="B55" s="872"/>
      <c r="C55" s="861"/>
      <c r="D55" s="861"/>
      <c r="E55" s="861"/>
      <c r="F55" s="865"/>
      <c r="G55" s="861"/>
      <c r="H55" s="861"/>
      <c r="I55" s="865"/>
      <c r="J55" s="865"/>
      <c r="K55" s="865"/>
      <c r="L55" s="865"/>
      <c r="M55" s="865"/>
      <c r="N55" s="873"/>
    </row>
    <row r="56" spans="2:14">
      <c r="B56" s="872"/>
      <c r="C56" s="861"/>
      <c r="D56" s="861"/>
      <c r="E56" s="861"/>
      <c r="F56" s="865"/>
      <c r="G56" s="861"/>
      <c r="H56" s="861"/>
      <c r="I56" s="865"/>
      <c r="J56" s="865"/>
      <c r="K56" s="865"/>
      <c r="L56" s="865"/>
      <c r="M56" s="865"/>
      <c r="N56" s="873"/>
    </row>
    <row r="57" spans="2:14">
      <c r="B57" s="950"/>
      <c r="C57" s="951"/>
      <c r="D57" s="951"/>
      <c r="E57" s="951"/>
      <c r="F57" s="961"/>
      <c r="G57" s="951"/>
      <c r="H57" s="951"/>
      <c r="I57" s="961"/>
      <c r="J57" s="961"/>
      <c r="K57" s="961"/>
      <c r="L57" s="961"/>
      <c r="M57" s="961"/>
      <c r="N57" s="962"/>
    </row>
    <row r="58" spans="2:14">
      <c r="B58" s="346"/>
      <c r="C58" s="874"/>
      <c r="D58" s="871"/>
      <c r="E58" s="871"/>
      <c r="F58" s="2219" t="s">
        <v>301</v>
      </c>
      <c r="G58" s="2219"/>
      <c r="H58" s="2219"/>
      <c r="I58" s="2219"/>
      <c r="J58" s="888"/>
      <c r="K58" s="889">
        <f>SUM(K35:K57)</f>
        <v>2638.3399999999992</v>
      </c>
      <c r="L58" s="889">
        <f>SUM(L35:L57)</f>
        <v>0</v>
      </c>
      <c r="M58" s="889">
        <f>SUM(M35:M57)</f>
        <v>0</v>
      </c>
      <c r="N58" s="890">
        <f>SUM(N35:N57)</f>
        <v>0</v>
      </c>
    </row>
    <row r="59" spans="2:14">
      <c r="B59" s="346"/>
      <c r="C59" s="872"/>
      <c r="D59" s="861"/>
      <c r="E59" s="861"/>
      <c r="F59" s="861" t="s">
        <v>302</v>
      </c>
      <c r="G59" s="861"/>
      <c r="H59" s="861"/>
      <c r="I59" s="861"/>
      <c r="J59" s="946"/>
      <c r="K59" s="947" t="s">
        <v>303</v>
      </c>
      <c r="L59" s="948" t="s">
        <v>304</v>
      </c>
      <c r="M59" s="947" t="s">
        <v>305</v>
      </c>
      <c r="N59" s="949" t="s">
        <v>306</v>
      </c>
    </row>
    <row r="60" spans="2:14">
      <c r="B60" s="346"/>
      <c r="C60" s="950"/>
      <c r="D60" s="951"/>
      <c r="E60" s="951"/>
      <c r="F60" s="951" t="s">
        <v>307</v>
      </c>
      <c r="G60" s="951"/>
      <c r="H60" s="951"/>
      <c r="I60" s="951"/>
      <c r="J60" s="952"/>
      <c r="K60" s="953">
        <f>K58*K59</f>
        <v>1042.1442999999997</v>
      </c>
      <c r="L60" s="953">
        <f>L58*L59</f>
        <v>0</v>
      </c>
      <c r="M60" s="953">
        <f>M58*M59</f>
        <v>0</v>
      </c>
      <c r="N60" s="954">
        <f>N58*N59</f>
        <v>0</v>
      </c>
    </row>
    <row r="61" spans="2:14">
      <c r="B61" s="874">
        <v>1</v>
      </c>
      <c r="C61" s="871" t="s">
        <v>337</v>
      </c>
      <c r="D61" s="871"/>
      <c r="E61" s="871">
        <v>12</v>
      </c>
      <c r="F61" s="889">
        <v>3.68</v>
      </c>
      <c r="G61" s="871">
        <v>4</v>
      </c>
      <c r="H61" s="871">
        <v>20</v>
      </c>
      <c r="I61" s="889">
        <f>G61*H61</f>
        <v>80</v>
      </c>
      <c r="J61" s="889"/>
      <c r="K61" s="889"/>
      <c r="L61" s="889"/>
      <c r="M61" s="889">
        <f>I61*F61</f>
        <v>294.40000000000003</v>
      </c>
      <c r="N61" s="890"/>
    </row>
    <row r="62" spans="2:14">
      <c r="B62" s="872"/>
      <c r="C62" s="861"/>
      <c r="D62" s="861"/>
      <c r="E62" s="861">
        <v>8</v>
      </c>
      <c r="F62" s="865">
        <v>0.7</v>
      </c>
      <c r="G62" s="861">
        <v>15</v>
      </c>
      <c r="H62" s="861">
        <v>20</v>
      </c>
      <c r="I62" s="865">
        <f>G62*H62</f>
        <v>300</v>
      </c>
      <c r="J62" s="865"/>
      <c r="K62" s="865">
        <f>F62*I62</f>
        <v>210</v>
      </c>
      <c r="L62" s="865"/>
      <c r="M62" s="865"/>
      <c r="N62" s="873"/>
    </row>
    <row r="63" spans="2:14">
      <c r="B63" s="872"/>
      <c r="C63" s="861" t="s">
        <v>338</v>
      </c>
      <c r="D63" s="861"/>
      <c r="E63" s="861"/>
      <c r="F63" s="865"/>
      <c r="G63" s="861"/>
      <c r="H63" s="861"/>
      <c r="I63" s="865"/>
      <c r="J63" s="865"/>
      <c r="K63" s="865"/>
      <c r="L63" s="865"/>
      <c r="M63" s="865"/>
      <c r="N63" s="873"/>
    </row>
    <row r="64" spans="2:14">
      <c r="B64" s="872">
        <v>2</v>
      </c>
      <c r="C64" s="861" t="s">
        <v>339</v>
      </c>
      <c r="D64" s="861"/>
      <c r="E64" s="861">
        <v>12</v>
      </c>
      <c r="F64" s="865">
        <v>8.2200000000000006</v>
      </c>
      <c r="G64" s="861">
        <v>2</v>
      </c>
      <c r="H64" s="861">
        <v>3</v>
      </c>
      <c r="I64" s="865">
        <f>G64*H64</f>
        <v>6</v>
      </c>
      <c r="J64" s="865"/>
      <c r="K64" s="865"/>
      <c r="L64" s="865"/>
      <c r="M64" s="865">
        <f>F64*I64</f>
        <v>49.320000000000007</v>
      </c>
      <c r="N64" s="873"/>
    </row>
    <row r="65" spans="2:14">
      <c r="B65" s="872"/>
      <c r="C65" s="861"/>
      <c r="D65" s="861"/>
      <c r="E65" s="861">
        <v>12</v>
      </c>
      <c r="F65" s="865">
        <v>7.38</v>
      </c>
      <c r="G65" s="861">
        <v>2</v>
      </c>
      <c r="H65" s="861">
        <v>4</v>
      </c>
      <c r="I65" s="865">
        <f t="shared" ref="I65:I85" si="5">G65*H65</f>
        <v>8</v>
      </c>
      <c r="J65" s="865"/>
      <c r="K65" s="865"/>
      <c r="L65" s="865"/>
      <c r="M65" s="865">
        <f>F65*I65</f>
        <v>59.04</v>
      </c>
      <c r="N65" s="873"/>
    </row>
    <row r="66" spans="2:14">
      <c r="B66" s="872"/>
      <c r="C66" s="891"/>
      <c r="D66" s="861"/>
      <c r="E66" s="861">
        <v>12</v>
      </c>
      <c r="F66" s="865">
        <v>9.25</v>
      </c>
      <c r="G66" s="861">
        <v>2</v>
      </c>
      <c r="H66" s="861">
        <v>4</v>
      </c>
      <c r="I66" s="865">
        <f t="shared" si="5"/>
        <v>8</v>
      </c>
      <c r="J66" s="865"/>
      <c r="K66" s="865"/>
      <c r="L66" s="865"/>
      <c r="M66" s="865">
        <f>F66*I66</f>
        <v>74</v>
      </c>
      <c r="N66" s="873"/>
    </row>
    <row r="67" spans="2:14">
      <c r="B67" s="872"/>
      <c r="C67" s="861"/>
      <c r="D67" s="861"/>
      <c r="E67" s="861">
        <v>12</v>
      </c>
      <c r="F67" s="865">
        <v>11.7</v>
      </c>
      <c r="G67" s="861">
        <v>2</v>
      </c>
      <c r="H67" s="861">
        <v>3</v>
      </c>
      <c r="I67" s="865">
        <f t="shared" si="5"/>
        <v>6</v>
      </c>
      <c r="J67" s="865"/>
      <c r="K67" s="865"/>
      <c r="L67" s="865"/>
      <c r="M67" s="865">
        <f>F67*I67</f>
        <v>70.199999999999989</v>
      </c>
      <c r="N67" s="873"/>
    </row>
    <row r="68" spans="2:14">
      <c r="B68" s="872"/>
      <c r="C68" s="861"/>
      <c r="D68" s="861"/>
      <c r="E68" s="861">
        <v>12</v>
      </c>
      <c r="F68" s="865">
        <v>11.85</v>
      </c>
      <c r="G68" s="861">
        <v>2</v>
      </c>
      <c r="H68" s="861">
        <v>3</v>
      </c>
      <c r="I68" s="865">
        <f t="shared" si="5"/>
        <v>6</v>
      </c>
      <c r="J68" s="865"/>
      <c r="K68" s="865"/>
      <c r="L68" s="865"/>
      <c r="M68" s="865">
        <f>F68*I68</f>
        <v>71.099999999999994</v>
      </c>
      <c r="N68" s="873"/>
    </row>
    <row r="69" spans="2:14">
      <c r="B69" s="872"/>
      <c r="C69" s="861"/>
      <c r="D69" s="861"/>
      <c r="E69" s="861">
        <v>8</v>
      </c>
      <c r="F69" s="865">
        <v>0.9</v>
      </c>
      <c r="G69" s="861">
        <v>2</v>
      </c>
      <c r="H69" s="861">
        <v>114</v>
      </c>
      <c r="I69" s="865">
        <f t="shared" si="5"/>
        <v>228</v>
      </c>
      <c r="J69" s="865"/>
      <c r="K69" s="865">
        <f>F69*I69</f>
        <v>205.20000000000002</v>
      </c>
      <c r="L69" s="865"/>
      <c r="M69" s="865"/>
      <c r="N69" s="873"/>
    </row>
    <row r="70" spans="2:14">
      <c r="B70" s="872">
        <v>3</v>
      </c>
      <c r="C70" s="861" t="s">
        <v>340</v>
      </c>
      <c r="D70" s="861"/>
      <c r="E70" s="861">
        <v>12</v>
      </c>
      <c r="F70" s="865">
        <v>8.2200000000000006</v>
      </c>
      <c r="G70" s="861">
        <v>2</v>
      </c>
      <c r="H70" s="861">
        <v>3</v>
      </c>
      <c r="I70" s="865">
        <f>G70*H70</f>
        <v>6</v>
      </c>
      <c r="J70" s="865"/>
      <c r="K70" s="865"/>
      <c r="L70" s="865"/>
      <c r="M70" s="865">
        <f>F70*I70</f>
        <v>49.320000000000007</v>
      </c>
      <c r="N70" s="873"/>
    </row>
    <row r="71" spans="2:14">
      <c r="B71" s="872"/>
      <c r="C71" s="861"/>
      <c r="D71" s="861"/>
      <c r="E71" s="861">
        <v>12</v>
      </c>
      <c r="F71" s="865">
        <v>7.38</v>
      </c>
      <c r="G71" s="861">
        <v>2</v>
      </c>
      <c r="H71" s="861">
        <v>4</v>
      </c>
      <c r="I71" s="865">
        <f t="shared" ref="I71:I76" si="6">G71*H71</f>
        <v>8</v>
      </c>
      <c r="J71" s="865"/>
      <c r="K71" s="865"/>
      <c r="L71" s="865"/>
      <c r="M71" s="865">
        <f>F71*I71</f>
        <v>59.04</v>
      </c>
      <c r="N71" s="873"/>
    </row>
    <row r="72" spans="2:14">
      <c r="B72" s="872"/>
      <c r="C72" s="861"/>
      <c r="D72" s="861"/>
      <c r="E72" s="861">
        <v>12</v>
      </c>
      <c r="F72" s="865">
        <v>9.25</v>
      </c>
      <c r="G72" s="861">
        <v>2</v>
      </c>
      <c r="H72" s="861">
        <v>4</v>
      </c>
      <c r="I72" s="865">
        <f t="shared" si="6"/>
        <v>8</v>
      </c>
      <c r="J72" s="865"/>
      <c r="K72" s="865"/>
      <c r="L72" s="865"/>
      <c r="M72" s="865">
        <f>F72*I72</f>
        <v>74</v>
      </c>
      <c r="N72" s="873"/>
    </row>
    <row r="73" spans="2:14">
      <c r="B73" s="872"/>
      <c r="C73" s="861"/>
      <c r="D73" s="861"/>
      <c r="E73" s="861"/>
      <c r="F73" s="865"/>
      <c r="G73" s="861"/>
      <c r="H73" s="861"/>
      <c r="I73" s="865"/>
      <c r="J73" s="865"/>
      <c r="K73" s="865"/>
      <c r="L73" s="865"/>
      <c r="M73" s="865"/>
      <c r="N73" s="873"/>
    </row>
    <row r="74" spans="2:14">
      <c r="B74" s="872"/>
      <c r="C74" s="861"/>
      <c r="D74" s="861"/>
      <c r="E74" s="861">
        <v>12</v>
      </c>
      <c r="F74" s="865">
        <v>11.7</v>
      </c>
      <c r="G74" s="861">
        <v>2</v>
      </c>
      <c r="H74" s="861">
        <v>3</v>
      </c>
      <c r="I74" s="865">
        <f t="shared" si="6"/>
        <v>6</v>
      </c>
      <c r="J74" s="865"/>
      <c r="K74" s="865"/>
      <c r="L74" s="865"/>
      <c r="M74" s="865">
        <f>F74*I74</f>
        <v>70.199999999999989</v>
      </c>
      <c r="N74" s="873"/>
    </row>
    <row r="75" spans="2:14">
      <c r="B75" s="872"/>
      <c r="C75" s="861"/>
      <c r="D75" s="861"/>
      <c r="E75" s="861">
        <v>12</v>
      </c>
      <c r="F75" s="865">
        <v>11.85</v>
      </c>
      <c r="G75" s="861">
        <v>2</v>
      </c>
      <c r="H75" s="861">
        <v>3</v>
      </c>
      <c r="I75" s="865">
        <f t="shared" si="6"/>
        <v>6</v>
      </c>
      <c r="J75" s="865"/>
      <c r="K75" s="865"/>
      <c r="L75" s="865"/>
      <c r="M75" s="865">
        <f>F75*I75</f>
        <v>71.099999999999994</v>
      </c>
      <c r="N75" s="873"/>
    </row>
    <row r="76" spans="2:14">
      <c r="B76" s="872"/>
      <c r="C76" s="861"/>
      <c r="D76" s="861"/>
      <c r="E76" s="861">
        <v>8</v>
      </c>
      <c r="F76" s="865">
        <v>0.9</v>
      </c>
      <c r="G76" s="861">
        <v>2</v>
      </c>
      <c r="H76" s="861">
        <v>114</v>
      </c>
      <c r="I76" s="865">
        <f t="shared" si="6"/>
        <v>228</v>
      </c>
      <c r="J76" s="865"/>
      <c r="K76" s="865">
        <f>F76*I76</f>
        <v>205.20000000000002</v>
      </c>
      <c r="L76" s="865"/>
      <c r="M76" s="865"/>
      <c r="N76" s="873"/>
    </row>
    <row r="77" spans="2:14">
      <c r="B77" s="872">
        <v>4</v>
      </c>
      <c r="C77" s="861" t="s">
        <v>341</v>
      </c>
      <c r="D77" s="861"/>
      <c r="E77" s="861">
        <v>12</v>
      </c>
      <c r="F77" s="865">
        <v>7.06</v>
      </c>
      <c r="G77" s="861">
        <v>2</v>
      </c>
      <c r="H77" s="861">
        <v>4</v>
      </c>
      <c r="I77" s="865">
        <f t="shared" si="5"/>
        <v>8</v>
      </c>
      <c r="J77" s="865"/>
      <c r="K77" s="865"/>
      <c r="L77" s="865"/>
      <c r="M77" s="865">
        <f>F77*I77</f>
        <v>56.48</v>
      </c>
      <c r="N77" s="873"/>
    </row>
    <row r="78" spans="2:14">
      <c r="B78" s="872"/>
      <c r="C78" s="861"/>
      <c r="D78" s="861"/>
      <c r="E78" s="861">
        <v>12</v>
      </c>
      <c r="F78" s="865">
        <v>7.1</v>
      </c>
      <c r="G78" s="861">
        <v>2</v>
      </c>
      <c r="H78" s="861">
        <v>4</v>
      </c>
      <c r="I78" s="865">
        <f t="shared" si="5"/>
        <v>8</v>
      </c>
      <c r="J78" s="865"/>
      <c r="K78" s="865"/>
      <c r="L78" s="865"/>
      <c r="M78" s="865">
        <f>F78*I78</f>
        <v>56.8</v>
      </c>
      <c r="N78" s="873"/>
    </row>
    <row r="79" spans="2:14">
      <c r="B79" s="872"/>
      <c r="C79" s="861"/>
      <c r="D79" s="861"/>
      <c r="E79" s="861">
        <v>12</v>
      </c>
      <c r="F79" s="865">
        <v>7.91</v>
      </c>
      <c r="G79" s="861">
        <v>2</v>
      </c>
      <c r="H79" s="861">
        <v>3</v>
      </c>
      <c r="I79" s="865">
        <f t="shared" si="5"/>
        <v>6</v>
      </c>
      <c r="J79" s="865"/>
      <c r="K79" s="865"/>
      <c r="L79" s="865"/>
      <c r="M79" s="865">
        <f>F79*I79</f>
        <v>47.46</v>
      </c>
      <c r="N79" s="873"/>
    </row>
    <row r="80" spans="2:14">
      <c r="B80" s="872"/>
      <c r="C80" s="861"/>
      <c r="D80" s="861"/>
      <c r="E80" s="861">
        <v>12</v>
      </c>
      <c r="F80" s="865">
        <v>5.85</v>
      </c>
      <c r="G80" s="861">
        <v>2</v>
      </c>
      <c r="H80" s="861">
        <v>3</v>
      </c>
      <c r="I80" s="865">
        <f t="shared" si="5"/>
        <v>6</v>
      </c>
      <c r="J80" s="865"/>
      <c r="K80" s="865"/>
      <c r="L80" s="865"/>
      <c r="M80" s="865">
        <f>F80*I80</f>
        <v>35.099999999999994</v>
      </c>
      <c r="N80" s="873"/>
    </row>
    <row r="81" spans="2:14">
      <c r="B81" s="872"/>
      <c r="C81" s="861"/>
      <c r="D81" s="861"/>
      <c r="E81" s="861">
        <v>8</v>
      </c>
      <c r="F81" s="865">
        <v>0.9</v>
      </c>
      <c r="G81" s="861">
        <v>2</v>
      </c>
      <c r="H81" s="861">
        <v>65</v>
      </c>
      <c r="I81" s="865">
        <f t="shared" si="5"/>
        <v>130</v>
      </c>
      <c r="J81" s="865"/>
      <c r="K81" s="865">
        <f>I81*F81</f>
        <v>117</v>
      </c>
      <c r="L81" s="865"/>
      <c r="M81" s="865"/>
      <c r="N81" s="873"/>
    </row>
    <row r="82" spans="2:14">
      <c r="B82" s="872">
        <v>5</v>
      </c>
      <c r="C82" s="861" t="s">
        <v>342</v>
      </c>
      <c r="D82" s="861"/>
      <c r="E82" s="861">
        <v>12</v>
      </c>
      <c r="F82" s="865">
        <v>7.06</v>
      </c>
      <c r="G82" s="861">
        <v>3</v>
      </c>
      <c r="H82" s="861">
        <v>4</v>
      </c>
      <c r="I82" s="865">
        <f t="shared" si="5"/>
        <v>12</v>
      </c>
      <c r="J82" s="865"/>
      <c r="K82" s="865"/>
      <c r="L82" s="865"/>
      <c r="M82" s="865">
        <f>F82*I82</f>
        <v>84.72</v>
      </c>
      <c r="N82" s="873"/>
    </row>
    <row r="83" spans="2:14">
      <c r="B83" s="872"/>
      <c r="C83" s="861"/>
      <c r="D83" s="861"/>
      <c r="E83" s="861">
        <v>12</v>
      </c>
      <c r="F83" s="865">
        <v>7.1</v>
      </c>
      <c r="G83" s="861">
        <v>3</v>
      </c>
      <c r="H83" s="861">
        <v>4</v>
      </c>
      <c r="I83" s="865">
        <f t="shared" si="5"/>
        <v>12</v>
      </c>
      <c r="J83" s="865"/>
      <c r="K83" s="865"/>
      <c r="L83" s="865"/>
      <c r="M83" s="865">
        <f>F83*I83</f>
        <v>85.199999999999989</v>
      </c>
      <c r="N83" s="873"/>
    </row>
    <row r="84" spans="2:14">
      <c r="B84" s="872"/>
      <c r="C84" s="861"/>
      <c r="D84" s="861"/>
      <c r="E84" s="861">
        <v>12</v>
      </c>
      <c r="F84" s="865">
        <v>7.91</v>
      </c>
      <c r="G84" s="861">
        <v>3</v>
      </c>
      <c r="H84" s="861">
        <v>3</v>
      </c>
      <c r="I84" s="865">
        <f t="shared" si="5"/>
        <v>9</v>
      </c>
      <c r="J84" s="865"/>
      <c r="K84" s="865"/>
      <c r="L84" s="865"/>
      <c r="M84" s="865">
        <f>F84*I84</f>
        <v>71.19</v>
      </c>
      <c r="N84" s="873"/>
    </row>
    <row r="85" spans="2:14">
      <c r="B85" s="872"/>
      <c r="C85" s="861"/>
      <c r="D85" s="861"/>
      <c r="E85" s="861">
        <v>12</v>
      </c>
      <c r="F85" s="865">
        <v>5.85</v>
      </c>
      <c r="G85" s="861">
        <v>3</v>
      </c>
      <c r="H85" s="861">
        <v>3</v>
      </c>
      <c r="I85" s="865">
        <f t="shared" si="5"/>
        <v>9</v>
      </c>
      <c r="J85" s="865"/>
      <c r="K85" s="865"/>
      <c r="L85" s="865"/>
      <c r="M85" s="865">
        <f>F85*I85</f>
        <v>52.65</v>
      </c>
      <c r="N85" s="873"/>
    </row>
    <row r="86" spans="2:14">
      <c r="B86" s="872"/>
      <c r="C86" s="861"/>
      <c r="D86" s="861"/>
      <c r="E86" s="861">
        <v>8</v>
      </c>
      <c r="F86" s="865">
        <v>0.9</v>
      </c>
      <c r="G86" s="861">
        <v>3</v>
      </c>
      <c r="H86" s="861">
        <v>65</v>
      </c>
      <c r="I86" s="865">
        <f>G86*H86</f>
        <v>195</v>
      </c>
      <c r="J86" s="865"/>
      <c r="K86" s="865">
        <f>I86*F86</f>
        <v>175.5</v>
      </c>
      <c r="L86" s="865"/>
      <c r="M86" s="865"/>
      <c r="N86" s="873"/>
    </row>
    <row r="87" spans="2:14">
      <c r="B87" s="872">
        <v>6</v>
      </c>
      <c r="C87" s="861" t="s">
        <v>1787</v>
      </c>
      <c r="D87" s="861"/>
      <c r="E87" s="861">
        <v>12</v>
      </c>
      <c r="F87" s="865">
        <v>1.35</v>
      </c>
      <c r="G87" s="861">
        <v>4</v>
      </c>
      <c r="H87" s="861">
        <v>2</v>
      </c>
      <c r="I87" s="865">
        <f>G87*H87</f>
        <v>8</v>
      </c>
      <c r="J87" s="865"/>
      <c r="K87" s="865"/>
      <c r="L87" s="867"/>
      <c r="M87" s="865">
        <f>F87*I87</f>
        <v>10.8</v>
      </c>
      <c r="N87" s="873"/>
    </row>
    <row r="88" spans="2:14">
      <c r="B88" s="872"/>
      <c r="C88" s="861"/>
      <c r="D88" s="861"/>
      <c r="E88" s="861">
        <v>12</v>
      </c>
      <c r="F88" s="865">
        <v>1.05</v>
      </c>
      <c r="G88" s="861">
        <v>4</v>
      </c>
      <c r="H88" s="861">
        <v>2</v>
      </c>
      <c r="I88" s="865">
        <f>G88*H88</f>
        <v>8</v>
      </c>
      <c r="J88" s="865"/>
      <c r="K88" s="865"/>
      <c r="L88" s="867"/>
      <c r="M88" s="865">
        <f>F88*I88</f>
        <v>8.4</v>
      </c>
      <c r="N88" s="873"/>
    </row>
    <row r="89" spans="2:14">
      <c r="B89" s="950"/>
      <c r="C89" s="951"/>
      <c r="D89" s="951"/>
      <c r="E89" s="951">
        <v>8</v>
      </c>
      <c r="F89" s="961">
        <v>0.6</v>
      </c>
      <c r="G89" s="951">
        <v>4</v>
      </c>
      <c r="H89" s="951">
        <v>6</v>
      </c>
      <c r="I89" s="961">
        <f>G89*H89</f>
        <v>24</v>
      </c>
      <c r="J89" s="961"/>
      <c r="K89" s="961">
        <f>I89*F89</f>
        <v>14.399999999999999</v>
      </c>
      <c r="L89" s="961"/>
      <c r="M89" s="961"/>
      <c r="N89" s="962"/>
    </row>
    <row r="90" spans="2:14">
      <c r="B90" s="346"/>
      <c r="C90" s="955"/>
      <c r="D90" s="956"/>
      <c r="E90" s="956"/>
      <c r="F90" s="2220" t="s">
        <v>301</v>
      </c>
      <c r="G90" s="2220"/>
      <c r="H90" s="2220"/>
      <c r="I90" s="2220"/>
      <c r="J90" s="957"/>
      <c r="K90" s="958">
        <f>SUM(K61:K89)</f>
        <v>927.30000000000007</v>
      </c>
      <c r="L90" s="958">
        <f>SUM(L61:L89)</f>
        <v>0</v>
      </c>
      <c r="M90" s="958">
        <f>SUM(M61:M89)</f>
        <v>1450.5200000000004</v>
      </c>
      <c r="N90" s="959">
        <f>SUM(N61:N89)</f>
        <v>0</v>
      </c>
    </row>
    <row r="91" spans="2:14">
      <c r="B91" s="346"/>
      <c r="C91" s="872"/>
      <c r="D91" s="861"/>
      <c r="E91" s="861"/>
      <c r="F91" s="861" t="s">
        <v>302</v>
      </c>
      <c r="G91" s="861"/>
      <c r="H91" s="861"/>
      <c r="I91" s="861"/>
      <c r="J91" s="946"/>
      <c r="K91" s="947" t="s">
        <v>303</v>
      </c>
      <c r="L91" s="948" t="s">
        <v>304</v>
      </c>
      <c r="M91" s="947" t="s">
        <v>305</v>
      </c>
      <c r="N91" s="949" t="s">
        <v>306</v>
      </c>
    </row>
    <row r="92" spans="2:14">
      <c r="B92" s="346"/>
      <c r="C92" s="950"/>
      <c r="D92" s="951"/>
      <c r="E92" s="951"/>
      <c r="F92" s="951" t="s">
        <v>307</v>
      </c>
      <c r="G92" s="951"/>
      <c r="H92" s="951"/>
      <c r="I92" s="951"/>
      <c r="J92" s="952"/>
      <c r="K92" s="953">
        <f>K90*K91</f>
        <v>366.28350000000006</v>
      </c>
      <c r="L92" s="953">
        <f>L90*L91</f>
        <v>0</v>
      </c>
      <c r="M92" s="953">
        <f>M90*M91</f>
        <v>1288.0617600000005</v>
      </c>
      <c r="N92" s="954">
        <f>N90*N91</f>
        <v>0</v>
      </c>
    </row>
  </sheetData>
  <mergeCells count="17">
    <mergeCell ref="B4:G4"/>
    <mergeCell ref="B6:B7"/>
    <mergeCell ref="C6:C7"/>
    <mergeCell ref="D6:D7"/>
    <mergeCell ref="E6:E7"/>
    <mergeCell ref="G6:I6"/>
    <mergeCell ref="B1:G1"/>
    <mergeCell ref="L1:N1"/>
    <mergeCell ref="L2:N2"/>
    <mergeCell ref="L3:N3"/>
    <mergeCell ref="B2:G2"/>
    <mergeCell ref="B3:G3"/>
    <mergeCell ref="C32:J32"/>
    <mergeCell ref="C33:J33"/>
    <mergeCell ref="C34:J34"/>
    <mergeCell ref="F58:I58"/>
    <mergeCell ref="F90:I90"/>
  </mergeCells>
  <pageMargins left="0.45" right="0.45" top="1" bottom="0.75" header="0.3" footer="0.3"/>
  <pageSetup scale="80" orientation="landscape" horizontalDpi="300" verticalDpi="300" r:id="rId1"/>
  <rowBreaks count="2" manualBreakCount="2">
    <brk id="34" max="14" man="1"/>
    <brk id="60" max="14" man="1"/>
  </row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B1:G47"/>
  <sheetViews>
    <sheetView view="pageBreakPreview" zoomScaleSheetLayoutView="100" workbookViewId="0">
      <selection activeCell="B11" sqref="B11:G11"/>
    </sheetView>
  </sheetViews>
  <sheetFormatPr defaultRowHeight="12.75"/>
  <cols>
    <col min="1" max="1" width="4.7109375" style="432" customWidth="1"/>
    <col min="2" max="2" width="7.5703125" style="432" customWidth="1"/>
    <col min="3" max="3" width="26.42578125" style="432" customWidth="1"/>
    <col min="4" max="4" width="15.7109375" style="432" customWidth="1"/>
    <col min="5" max="5" width="14.5703125" style="432" customWidth="1"/>
    <col min="6" max="6" width="15.7109375" style="432" customWidth="1"/>
    <col min="7" max="7" width="16.42578125" style="432" customWidth="1"/>
    <col min="8" max="8" width="2.42578125" style="432" customWidth="1"/>
    <col min="9" max="254" width="9.140625" style="432"/>
    <col min="255" max="255" width="7.5703125" style="432" customWidth="1"/>
    <col min="256" max="257" width="9.140625" style="432"/>
    <col min="258" max="258" width="5.85546875" style="432" customWidth="1"/>
    <col min="259" max="259" width="1.42578125" style="432" customWidth="1"/>
    <col min="260" max="260" width="15.7109375" style="432" customWidth="1"/>
    <col min="261" max="261" width="14.5703125" style="432" customWidth="1"/>
    <col min="262" max="262" width="15.7109375" style="432" customWidth="1"/>
    <col min="263" max="263" width="16.42578125" style="432" customWidth="1"/>
    <col min="264" max="510" width="9.140625" style="432"/>
    <col min="511" max="511" width="7.5703125" style="432" customWidth="1"/>
    <col min="512" max="513" width="9.140625" style="432"/>
    <col min="514" max="514" width="5.85546875" style="432" customWidth="1"/>
    <col min="515" max="515" width="1.42578125" style="432" customWidth="1"/>
    <col min="516" max="516" width="15.7109375" style="432" customWidth="1"/>
    <col min="517" max="517" width="14.5703125" style="432" customWidth="1"/>
    <col min="518" max="518" width="15.7109375" style="432" customWidth="1"/>
    <col min="519" max="519" width="16.42578125" style="432" customWidth="1"/>
    <col min="520" max="766" width="9.140625" style="432"/>
    <col min="767" max="767" width="7.5703125" style="432" customWidth="1"/>
    <col min="768" max="769" width="9.140625" style="432"/>
    <col min="770" max="770" width="5.85546875" style="432" customWidth="1"/>
    <col min="771" max="771" width="1.42578125" style="432" customWidth="1"/>
    <col min="772" max="772" width="15.7109375" style="432" customWidth="1"/>
    <col min="773" max="773" width="14.5703125" style="432" customWidth="1"/>
    <col min="774" max="774" width="15.7109375" style="432" customWidth="1"/>
    <col min="775" max="775" width="16.42578125" style="432" customWidth="1"/>
    <col min="776" max="1022" width="9.140625" style="432"/>
    <col min="1023" max="1023" width="7.5703125" style="432" customWidth="1"/>
    <col min="1024" max="1025" width="9.140625" style="432"/>
    <col min="1026" max="1026" width="5.85546875" style="432" customWidth="1"/>
    <col min="1027" max="1027" width="1.42578125" style="432" customWidth="1"/>
    <col min="1028" max="1028" width="15.7109375" style="432" customWidth="1"/>
    <col min="1029" max="1029" width="14.5703125" style="432" customWidth="1"/>
    <col min="1030" max="1030" width="15.7109375" style="432" customWidth="1"/>
    <col min="1031" max="1031" width="16.42578125" style="432" customWidth="1"/>
    <col min="1032" max="1278" width="9.140625" style="432"/>
    <col min="1279" max="1279" width="7.5703125" style="432" customWidth="1"/>
    <col min="1280" max="1281" width="9.140625" style="432"/>
    <col min="1282" max="1282" width="5.85546875" style="432" customWidth="1"/>
    <col min="1283" max="1283" width="1.42578125" style="432" customWidth="1"/>
    <col min="1284" max="1284" width="15.7109375" style="432" customWidth="1"/>
    <col min="1285" max="1285" width="14.5703125" style="432" customWidth="1"/>
    <col min="1286" max="1286" width="15.7109375" style="432" customWidth="1"/>
    <col min="1287" max="1287" width="16.42578125" style="432" customWidth="1"/>
    <col min="1288" max="1534" width="9.140625" style="432"/>
    <col min="1535" max="1535" width="7.5703125" style="432" customWidth="1"/>
    <col min="1536" max="1537" width="9.140625" style="432"/>
    <col min="1538" max="1538" width="5.85546875" style="432" customWidth="1"/>
    <col min="1539" max="1539" width="1.42578125" style="432" customWidth="1"/>
    <col min="1540" max="1540" width="15.7109375" style="432" customWidth="1"/>
    <col min="1541" max="1541" width="14.5703125" style="432" customWidth="1"/>
    <col min="1542" max="1542" width="15.7109375" style="432" customWidth="1"/>
    <col min="1543" max="1543" width="16.42578125" style="432" customWidth="1"/>
    <col min="1544" max="1790" width="9.140625" style="432"/>
    <col min="1791" max="1791" width="7.5703125" style="432" customWidth="1"/>
    <col min="1792" max="1793" width="9.140625" style="432"/>
    <col min="1794" max="1794" width="5.85546875" style="432" customWidth="1"/>
    <col min="1795" max="1795" width="1.42578125" style="432" customWidth="1"/>
    <col min="1796" max="1796" width="15.7109375" style="432" customWidth="1"/>
    <col min="1797" max="1797" width="14.5703125" style="432" customWidth="1"/>
    <col min="1798" max="1798" width="15.7109375" style="432" customWidth="1"/>
    <col min="1799" max="1799" width="16.42578125" style="432" customWidth="1"/>
    <col min="1800" max="2046" width="9.140625" style="432"/>
    <col min="2047" max="2047" width="7.5703125" style="432" customWidth="1"/>
    <col min="2048" max="2049" width="9.140625" style="432"/>
    <col min="2050" max="2050" width="5.85546875" style="432" customWidth="1"/>
    <col min="2051" max="2051" width="1.42578125" style="432" customWidth="1"/>
    <col min="2052" max="2052" width="15.7109375" style="432" customWidth="1"/>
    <col min="2053" max="2053" width="14.5703125" style="432" customWidth="1"/>
    <col min="2054" max="2054" width="15.7109375" style="432" customWidth="1"/>
    <col min="2055" max="2055" width="16.42578125" style="432" customWidth="1"/>
    <col min="2056" max="2302" width="9.140625" style="432"/>
    <col min="2303" max="2303" width="7.5703125" style="432" customWidth="1"/>
    <col min="2304" max="2305" width="9.140625" style="432"/>
    <col min="2306" max="2306" width="5.85546875" style="432" customWidth="1"/>
    <col min="2307" max="2307" width="1.42578125" style="432" customWidth="1"/>
    <col min="2308" max="2308" width="15.7109375" style="432" customWidth="1"/>
    <col min="2309" max="2309" width="14.5703125" style="432" customWidth="1"/>
    <col min="2310" max="2310" width="15.7109375" style="432" customWidth="1"/>
    <col min="2311" max="2311" width="16.42578125" style="432" customWidth="1"/>
    <col min="2312" max="2558" width="9.140625" style="432"/>
    <col min="2559" max="2559" width="7.5703125" style="432" customWidth="1"/>
    <col min="2560" max="2561" width="9.140625" style="432"/>
    <col min="2562" max="2562" width="5.85546875" style="432" customWidth="1"/>
    <col min="2563" max="2563" width="1.42578125" style="432" customWidth="1"/>
    <col min="2564" max="2564" width="15.7109375" style="432" customWidth="1"/>
    <col min="2565" max="2565" width="14.5703125" style="432" customWidth="1"/>
    <col min="2566" max="2566" width="15.7109375" style="432" customWidth="1"/>
    <col min="2567" max="2567" width="16.42578125" style="432" customWidth="1"/>
    <col min="2568" max="2814" width="9.140625" style="432"/>
    <col min="2815" max="2815" width="7.5703125" style="432" customWidth="1"/>
    <col min="2816" max="2817" width="9.140625" style="432"/>
    <col min="2818" max="2818" width="5.85546875" style="432" customWidth="1"/>
    <col min="2819" max="2819" width="1.42578125" style="432" customWidth="1"/>
    <col min="2820" max="2820" width="15.7109375" style="432" customWidth="1"/>
    <col min="2821" max="2821" width="14.5703125" style="432" customWidth="1"/>
    <col min="2822" max="2822" width="15.7109375" style="432" customWidth="1"/>
    <col min="2823" max="2823" width="16.42578125" style="432" customWidth="1"/>
    <col min="2824" max="3070" width="9.140625" style="432"/>
    <col min="3071" max="3071" width="7.5703125" style="432" customWidth="1"/>
    <col min="3072" max="3073" width="9.140625" style="432"/>
    <col min="3074" max="3074" width="5.85546875" style="432" customWidth="1"/>
    <col min="3075" max="3075" width="1.42578125" style="432" customWidth="1"/>
    <col min="3076" max="3076" width="15.7109375" style="432" customWidth="1"/>
    <col min="3077" max="3077" width="14.5703125" style="432" customWidth="1"/>
    <col min="3078" max="3078" width="15.7109375" style="432" customWidth="1"/>
    <col min="3079" max="3079" width="16.42578125" style="432" customWidth="1"/>
    <col min="3080" max="3326" width="9.140625" style="432"/>
    <col min="3327" max="3327" width="7.5703125" style="432" customWidth="1"/>
    <col min="3328" max="3329" width="9.140625" style="432"/>
    <col min="3330" max="3330" width="5.85546875" style="432" customWidth="1"/>
    <col min="3331" max="3331" width="1.42578125" style="432" customWidth="1"/>
    <col min="3332" max="3332" width="15.7109375" style="432" customWidth="1"/>
    <col min="3333" max="3333" width="14.5703125" style="432" customWidth="1"/>
    <col min="3334" max="3334" width="15.7109375" style="432" customWidth="1"/>
    <col min="3335" max="3335" width="16.42578125" style="432" customWidth="1"/>
    <col min="3336" max="3582" width="9.140625" style="432"/>
    <col min="3583" max="3583" width="7.5703125" style="432" customWidth="1"/>
    <col min="3584" max="3585" width="9.140625" style="432"/>
    <col min="3586" max="3586" width="5.85546875" style="432" customWidth="1"/>
    <col min="3587" max="3587" width="1.42578125" style="432" customWidth="1"/>
    <col min="3588" max="3588" width="15.7109375" style="432" customWidth="1"/>
    <col min="3589" max="3589" width="14.5703125" style="432" customWidth="1"/>
    <col min="3590" max="3590" width="15.7109375" style="432" customWidth="1"/>
    <col min="3591" max="3591" width="16.42578125" style="432" customWidth="1"/>
    <col min="3592" max="3838" width="9.140625" style="432"/>
    <col min="3839" max="3839" width="7.5703125" style="432" customWidth="1"/>
    <col min="3840" max="3841" width="9.140625" style="432"/>
    <col min="3842" max="3842" width="5.85546875" style="432" customWidth="1"/>
    <col min="3843" max="3843" width="1.42578125" style="432" customWidth="1"/>
    <col min="3844" max="3844" width="15.7109375" style="432" customWidth="1"/>
    <col min="3845" max="3845" width="14.5703125" style="432" customWidth="1"/>
    <col min="3846" max="3846" width="15.7109375" style="432" customWidth="1"/>
    <col min="3847" max="3847" width="16.42578125" style="432" customWidth="1"/>
    <col min="3848" max="4094" width="9.140625" style="432"/>
    <col min="4095" max="4095" width="7.5703125" style="432" customWidth="1"/>
    <col min="4096" max="4097" width="9.140625" style="432"/>
    <col min="4098" max="4098" width="5.85546875" style="432" customWidth="1"/>
    <col min="4099" max="4099" width="1.42578125" style="432" customWidth="1"/>
    <col min="4100" max="4100" width="15.7109375" style="432" customWidth="1"/>
    <col min="4101" max="4101" width="14.5703125" style="432" customWidth="1"/>
    <col min="4102" max="4102" width="15.7109375" style="432" customWidth="1"/>
    <col min="4103" max="4103" width="16.42578125" style="432" customWidth="1"/>
    <col min="4104" max="4350" width="9.140625" style="432"/>
    <col min="4351" max="4351" width="7.5703125" style="432" customWidth="1"/>
    <col min="4352" max="4353" width="9.140625" style="432"/>
    <col min="4354" max="4354" width="5.85546875" style="432" customWidth="1"/>
    <col min="4355" max="4355" width="1.42578125" style="432" customWidth="1"/>
    <col min="4356" max="4356" width="15.7109375" style="432" customWidth="1"/>
    <col min="4357" max="4357" width="14.5703125" style="432" customWidth="1"/>
    <col min="4358" max="4358" width="15.7109375" style="432" customWidth="1"/>
    <col min="4359" max="4359" width="16.42578125" style="432" customWidth="1"/>
    <col min="4360" max="4606" width="9.140625" style="432"/>
    <col min="4607" max="4607" width="7.5703125" style="432" customWidth="1"/>
    <col min="4608" max="4609" width="9.140625" style="432"/>
    <col min="4610" max="4610" width="5.85546875" style="432" customWidth="1"/>
    <col min="4611" max="4611" width="1.42578125" style="432" customWidth="1"/>
    <col min="4612" max="4612" width="15.7109375" style="432" customWidth="1"/>
    <col min="4613" max="4613" width="14.5703125" style="432" customWidth="1"/>
    <col min="4614" max="4614" width="15.7109375" style="432" customWidth="1"/>
    <col min="4615" max="4615" width="16.42578125" style="432" customWidth="1"/>
    <col min="4616" max="4862" width="9.140625" style="432"/>
    <col min="4863" max="4863" width="7.5703125" style="432" customWidth="1"/>
    <col min="4864" max="4865" width="9.140625" style="432"/>
    <col min="4866" max="4866" width="5.85546875" style="432" customWidth="1"/>
    <col min="4867" max="4867" width="1.42578125" style="432" customWidth="1"/>
    <col min="4868" max="4868" width="15.7109375" style="432" customWidth="1"/>
    <col min="4869" max="4869" width="14.5703125" style="432" customWidth="1"/>
    <col min="4870" max="4870" width="15.7109375" style="432" customWidth="1"/>
    <col min="4871" max="4871" width="16.42578125" style="432" customWidth="1"/>
    <col min="4872" max="5118" width="9.140625" style="432"/>
    <col min="5119" max="5119" width="7.5703125" style="432" customWidth="1"/>
    <col min="5120" max="5121" width="9.140625" style="432"/>
    <col min="5122" max="5122" width="5.85546875" style="432" customWidth="1"/>
    <col min="5123" max="5123" width="1.42578125" style="432" customWidth="1"/>
    <col min="5124" max="5124" width="15.7109375" style="432" customWidth="1"/>
    <col min="5125" max="5125" width="14.5703125" style="432" customWidth="1"/>
    <col min="5126" max="5126" width="15.7109375" style="432" customWidth="1"/>
    <col min="5127" max="5127" width="16.42578125" style="432" customWidth="1"/>
    <col min="5128" max="5374" width="9.140625" style="432"/>
    <col min="5375" max="5375" width="7.5703125" style="432" customWidth="1"/>
    <col min="5376" max="5377" width="9.140625" style="432"/>
    <col min="5378" max="5378" width="5.85546875" style="432" customWidth="1"/>
    <col min="5379" max="5379" width="1.42578125" style="432" customWidth="1"/>
    <col min="5380" max="5380" width="15.7109375" style="432" customWidth="1"/>
    <col min="5381" max="5381" width="14.5703125" style="432" customWidth="1"/>
    <col min="5382" max="5382" width="15.7109375" style="432" customWidth="1"/>
    <col min="5383" max="5383" width="16.42578125" style="432" customWidth="1"/>
    <col min="5384" max="5630" width="9.140625" style="432"/>
    <col min="5631" max="5631" width="7.5703125" style="432" customWidth="1"/>
    <col min="5632" max="5633" width="9.140625" style="432"/>
    <col min="5634" max="5634" width="5.85546875" style="432" customWidth="1"/>
    <col min="5635" max="5635" width="1.42578125" style="432" customWidth="1"/>
    <col min="5636" max="5636" width="15.7109375" style="432" customWidth="1"/>
    <col min="5637" max="5637" width="14.5703125" style="432" customWidth="1"/>
    <col min="5638" max="5638" width="15.7109375" style="432" customWidth="1"/>
    <col min="5639" max="5639" width="16.42578125" style="432" customWidth="1"/>
    <col min="5640" max="5886" width="9.140625" style="432"/>
    <col min="5887" max="5887" width="7.5703125" style="432" customWidth="1"/>
    <col min="5888" max="5889" width="9.140625" style="432"/>
    <col min="5890" max="5890" width="5.85546875" style="432" customWidth="1"/>
    <col min="5891" max="5891" width="1.42578125" style="432" customWidth="1"/>
    <col min="5892" max="5892" width="15.7109375" style="432" customWidth="1"/>
    <col min="5893" max="5893" width="14.5703125" style="432" customWidth="1"/>
    <col min="5894" max="5894" width="15.7109375" style="432" customWidth="1"/>
    <col min="5895" max="5895" width="16.42578125" style="432" customWidth="1"/>
    <col min="5896" max="6142" width="9.140625" style="432"/>
    <col min="6143" max="6143" width="7.5703125" style="432" customWidth="1"/>
    <col min="6144" max="6145" width="9.140625" style="432"/>
    <col min="6146" max="6146" width="5.85546875" style="432" customWidth="1"/>
    <col min="6147" max="6147" width="1.42578125" style="432" customWidth="1"/>
    <col min="6148" max="6148" width="15.7109375" style="432" customWidth="1"/>
    <col min="6149" max="6149" width="14.5703125" style="432" customWidth="1"/>
    <col min="6150" max="6150" width="15.7109375" style="432" customWidth="1"/>
    <col min="6151" max="6151" width="16.42578125" style="432" customWidth="1"/>
    <col min="6152" max="6398" width="9.140625" style="432"/>
    <col min="6399" max="6399" width="7.5703125" style="432" customWidth="1"/>
    <col min="6400" max="6401" width="9.140625" style="432"/>
    <col min="6402" max="6402" width="5.85546875" style="432" customWidth="1"/>
    <col min="6403" max="6403" width="1.42578125" style="432" customWidth="1"/>
    <col min="6404" max="6404" width="15.7109375" style="432" customWidth="1"/>
    <col min="6405" max="6405" width="14.5703125" style="432" customWidth="1"/>
    <col min="6406" max="6406" width="15.7109375" style="432" customWidth="1"/>
    <col min="6407" max="6407" width="16.42578125" style="432" customWidth="1"/>
    <col min="6408" max="6654" width="9.140625" style="432"/>
    <col min="6655" max="6655" width="7.5703125" style="432" customWidth="1"/>
    <col min="6656" max="6657" width="9.140625" style="432"/>
    <col min="6658" max="6658" width="5.85546875" style="432" customWidth="1"/>
    <col min="6659" max="6659" width="1.42578125" style="432" customWidth="1"/>
    <col min="6660" max="6660" width="15.7109375" style="432" customWidth="1"/>
    <col min="6661" max="6661" width="14.5703125" style="432" customWidth="1"/>
    <col min="6662" max="6662" width="15.7109375" style="432" customWidth="1"/>
    <col min="6663" max="6663" width="16.42578125" style="432" customWidth="1"/>
    <col min="6664" max="6910" width="9.140625" style="432"/>
    <col min="6911" max="6911" width="7.5703125" style="432" customWidth="1"/>
    <col min="6912" max="6913" width="9.140625" style="432"/>
    <col min="6914" max="6914" width="5.85546875" style="432" customWidth="1"/>
    <col min="6915" max="6915" width="1.42578125" style="432" customWidth="1"/>
    <col min="6916" max="6916" width="15.7109375" style="432" customWidth="1"/>
    <col min="6917" max="6917" width="14.5703125" style="432" customWidth="1"/>
    <col min="6918" max="6918" width="15.7109375" style="432" customWidth="1"/>
    <col min="6919" max="6919" width="16.42578125" style="432" customWidth="1"/>
    <col min="6920" max="7166" width="9.140625" style="432"/>
    <col min="7167" max="7167" width="7.5703125" style="432" customWidth="1"/>
    <col min="7168" max="7169" width="9.140625" style="432"/>
    <col min="7170" max="7170" width="5.85546875" style="432" customWidth="1"/>
    <col min="7171" max="7171" width="1.42578125" style="432" customWidth="1"/>
    <col min="7172" max="7172" width="15.7109375" style="432" customWidth="1"/>
    <col min="7173" max="7173" width="14.5703125" style="432" customWidth="1"/>
    <col min="7174" max="7174" width="15.7109375" style="432" customWidth="1"/>
    <col min="7175" max="7175" width="16.42578125" style="432" customWidth="1"/>
    <col min="7176" max="7422" width="9.140625" style="432"/>
    <col min="7423" max="7423" width="7.5703125" style="432" customWidth="1"/>
    <col min="7424" max="7425" width="9.140625" style="432"/>
    <col min="7426" max="7426" width="5.85546875" style="432" customWidth="1"/>
    <col min="7427" max="7427" width="1.42578125" style="432" customWidth="1"/>
    <col min="7428" max="7428" width="15.7109375" style="432" customWidth="1"/>
    <col min="7429" max="7429" width="14.5703125" style="432" customWidth="1"/>
    <col min="7430" max="7430" width="15.7109375" style="432" customWidth="1"/>
    <col min="7431" max="7431" width="16.42578125" style="432" customWidth="1"/>
    <col min="7432" max="7678" width="9.140625" style="432"/>
    <col min="7679" max="7679" width="7.5703125" style="432" customWidth="1"/>
    <col min="7680" max="7681" width="9.140625" style="432"/>
    <col min="7682" max="7682" width="5.85546875" style="432" customWidth="1"/>
    <col min="7683" max="7683" width="1.42578125" style="432" customWidth="1"/>
    <col min="7684" max="7684" width="15.7109375" style="432" customWidth="1"/>
    <col min="7685" max="7685" width="14.5703125" style="432" customWidth="1"/>
    <col min="7686" max="7686" width="15.7109375" style="432" customWidth="1"/>
    <col min="7687" max="7687" width="16.42578125" style="432" customWidth="1"/>
    <col min="7688" max="7934" width="9.140625" style="432"/>
    <col min="7935" max="7935" width="7.5703125" style="432" customWidth="1"/>
    <col min="7936" max="7937" width="9.140625" style="432"/>
    <col min="7938" max="7938" width="5.85546875" style="432" customWidth="1"/>
    <col min="7939" max="7939" width="1.42578125" style="432" customWidth="1"/>
    <col min="7940" max="7940" width="15.7109375" style="432" customWidth="1"/>
    <col min="7941" max="7941" width="14.5703125" style="432" customWidth="1"/>
    <col min="7942" max="7942" width="15.7109375" style="432" customWidth="1"/>
    <col min="7943" max="7943" width="16.42578125" style="432" customWidth="1"/>
    <col min="7944" max="8190" width="9.140625" style="432"/>
    <col min="8191" max="8191" width="7.5703125" style="432" customWidth="1"/>
    <col min="8192" max="8193" width="9.140625" style="432"/>
    <col min="8194" max="8194" width="5.85546875" style="432" customWidth="1"/>
    <col min="8195" max="8195" width="1.42578125" style="432" customWidth="1"/>
    <col min="8196" max="8196" width="15.7109375" style="432" customWidth="1"/>
    <col min="8197" max="8197" width="14.5703125" style="432" customWidth="1"/>
    <col min="8198" max="8198" width="15.7109375" style="432" customWidth="1"/>
    <col min="8199" max="8199" width="16.42578125" style="432" customWidth="1"/>
    <col min="8200" max="8446" width="9.140625" style="432"/>
    <col min="8447" max="8447" width="7.5703125" style="432" customWidth="1"/>
    <col min="8448" max="8449" width="9.140625" style="432"/>
    <col min="8450" max="8450" width="5.85546875" style="432" customWidth="1"/>
    <col min="8451" max="8451" width="1.42578125" style="432" customWidth="1"/>
    <col min="8452" max="8452" width="15.7109375" style="432" customWidth="1"/>
    <col min="8453" max="8453" width="14.5703125" style="432" customWidth="1"/>
    <col min="8454" max="8454" width="15.7109375" style="432" customWidth="1"/>
    <col min="8455" max="8455" width="16.42578125" style="432" customWidth="1"/>
    <col min="8456" max="8702" width="9.140625" style="432"/>
    <col min="8703" max="8703" width="7.5703125" style="432" customWidth="1"/>
    <col min="8704" max="8705" width="9.140625" style="432"/>
    <col min="8706" max="8706" width="5.85546875" style="432" customWidth="1"/>
    <col min="8707" max="8707" width="1.42578125" style="432" customWidth="1"/>
    <col min="8708" max="8708" width="15.7109375" style="432" customWidth="1"/>
    <col min="8709" max="8709" width="14.5703125" style="432" customWidth="1"/>
    <col min="8710" max="8710" width="15.7109375" style="432" customWidth="1"/>
    <col min="8711" max="8711" width="16.42578125" style="432" customWidth="1"/>
    <col min="8712" max="8958" width="9.140625" style="432"/>
    <col min="8959" max="8959" width="7.5703125" style="432" customWidth="1"/>
    <col min="8960" max="8961" width="9.140625" style="432"/>
    <col min="8962" max="8962" width="5.85546875" style="432" customWidth="1"/>
    <col min="8963" max="8963" width="1.42578125" style="432" customWidth="1"/>
    <col min="8964" max="8964" width="15.7109375" style="432" customWidth="1"/>
    <col min="8965" max="8965" width="14.5703125" style="432" customWidth="1"/>
    <col min="8966" max="8966" width="15.7109375" style="432" customWidth="1"/>
    <col min="8967" max="8967" width="16.42578125" style="432" customWidth="1"/>
    <col min="8968" max="9214" width="9.140625" style="432"/>
    <col min="9215" max="9215" width="7.5703125" style="432" customWidth="1"/>
    <col min="9216" max="9217" width="9.140625" style="432"/>
    <col min="9218" max="9218" width="5.85546875" style="432" customWidth="1"/>
    <col min="9219" max="9219" width="1.42578125" style="432" customWidth="1"/>
    <col min="9220" max="9220" width="15.7109375" style="432" customWidth="1"/>
    <col min="9221" max="9221" width="14.5703125" style="432" customWidth="1"/>
    <col min="9222" max="9222" width="15.7109375" style="432" customWidth="1"/>
    <col min="9223" max="9223" width="16.42578125" style="432" customWidth="1"/>
    <col min="9224" max="9470" width="9.140625" style="432"/>
    <col min="9471" max="9471" width="7.5703125" style="432" customWidth="1"/>
    <col min="9472" max="9473" width="9.140625" style="432"/>
    <col min="9474" max="9474" width="5.85546875" style="432" customWidth="1"/>
    <col min="9475" max="9475" width="1.42578125" style="432" customWidth="1"/>
    <col min="9476" max="9476" width="15.7109375" style="432" customWidth="1"/>
    <col min="9477" max="9477" width="14.5703125" style="432" customWidth="1"/>
    <col min="9478" max="9478" width="15.7109375" style="432" customWidth="1"/>
    <col min="9479" max="9479" width="16.42578125" style="432" customWidth="1"/>
    <col min="9480" max="9726" width="9.140625" style="432"/>
    <col min="9727" max="9727" width="7.5703125" style="432" customWidth="1"/>
    <col min="9728" max="9729" width="9.140625" style="432"/>
    <col min="9730" max="9730" width="5.85546875" style="432" customWidth="1"/>
    <col min="9731" max="9731" width="1.42578125" style="432" customWidth="1"/>
    <col min="9732" max="9732" width="15.7109375" style="432" customWidth="1"/>
    <col min="9733" max="9733" width="14.5703125" style="432" customWidth="1"/>
    <col min="9734" max="9734" width="15.7109375" style="432" customWidth="1"/>
    <col min="9735" max="9735" width="16.42578125" style="432" customWidth="1"/>
    <col min="9736" max="9982" width="9.140625" style="432"/>
    <col min="9983" max="9983" width="7.5703125" style="432" customWidth="1"/>
    <col min="9984" max="9985" width="9.140625" style="432"/>
    <col min="9986" max="9986" width="5.85546875" style="432" customWidth="1"/>
    <col min="9987" max="9987" width="1.42578125" style="432" customWidth="1"/>
    <col min="9988" max="9988" width="15.7109375" style="432" customWidth="1"/>
    <col min="9989" max="9989" width="14.5703125" style="432" customWidth="1"/>
    <col min="9990" max="9990" width="15.7109375" style="432" customWidth="1"/>
    <col min="9991" max="9991" width="16.42578125" style="432" customWidth="1"/>
    <col min="9992" max="10238" width="9.140625" style="432"/>
    <col min="10239" max="10239" width="7.5703125" style="432" customWidth="1"/>
    <col min="10240" max="10241" width="9.140625" style="432"/>
    <col min="10242" max="10242" width="5.85546875" style="432" customWidth="1"/>
    <col min="10243" max="10243" width="1.42578125" style="432" customWidth="1"/>
    <col min="10244" max="10244" width="15.7109375" style="432" customWidth="1"/>
    <col min="10245" max="10245" width="14.5703125" style="432" customWidth="1"/>
    <col min="10246" max="10246" width="15.7109375" style="432" customWidth="1"/>
    <col min="10247" max="10247" width="16.42578125" style="432" customWidth="1"/>
    <col min="10248" max="10494" width="9.140625" style="432"/>
    <col min="10495" max="10495" width="7.5703125" style="432" customWidth="1"/>
    <col min="10496" max="10497" width="9.140625" style="432"/>
    <col min="10498" max="10498" width="5.85546875" style="432" customWidth="1"/>
    <col min="10499" max="10499" width="1.42578125" style="432" customWidth="1"/>
    <col min="10500" max="10500" width="15.7109375" style="432" customWidth="1"/>
    <col min="10501" max="10501" width="14.5703125" style="432" customWidth="1"/>
    <col min="10502" max="10502" width="15.7109375" style="432" customWidth="1"/>
    <col min="10503" max="10503" width="16.42578125" style="432" customWidth="1"/>
    <col min="10504" max="10750" width="9.140625" style="432"/>
    <col min="10751" max="10751" width="7.5703125" style="432" customWidth="1"/>
    <col min="10752" max="10753" width="9.140625" style="432"/>
    <col min="10754" max="10754" width="5.85546875" style="432" customWidth="1"/>
    <col min="10755" max="10755" width="1.42578125" style="432" customWidth="1"/>
    <col min="10756" max="10756" width="15.7109375" style="432" customWidth="1"/>
    <col min="10757" max="10757" width="14.5703125" style="432" customWidth="1"/>
    <col min="10758" max="10758" width="15.7109375" style="432" customWidth="1"/>
    <col min="10759" max="10759" width="16.42578125" style="432" customWidth="1"/>
    <col min="10760" max="11006" width="9.140625" style="432"/>
    <col min="11007" max="11007" width="7.5703125" style="432" customWidth="1"/>
    <col min="11008" max="11009" width="9.140625" style="432"/>
    <col min="11010" max="11010" width="5.85546875" style="432" customWidth="1"/>
    <col min="11011" max="11011" width="1.42578125" style="432" customWidth="1"/>
    <col min="11012" max="11012" width="15.7109375" style="432" customWidth="1"/>
    <col min="11013" max="11013" width="14.5703125" style="432" customWidth="1"/>
    <col min="11014" max="11014" width="15.7109375" style="432" customWidth="1"/>
    <col min="11015" max="11015" width="16.42578125" style="432" customWidth="1"/>
    <col min="11016" max="11262" width="9.140625" style="432"/>
    <col min="11263" max="11263" width="7.5703125" style="432" customWidth="1"/>
    <col min="11264" max="11265" width="9.140625" style="432"/>
    <col min="11266" max="11266" width="5.85546875" style="432" customWidth="1"/>
    <col min="11267" max="11267" width="1.42578125" style="432" customWidth="1"/>
    <col min="11268" max="11268" width="15.7109375" style="432" customWidth="1"/>
    <col min="11269" max="11269" width="14.5703125" style="432" customWidth="1"/>
    <col min="11270" max="11270" width="15.7109375" style="432" customWidth="1"/>
    <col min="11271" max="11271" width="16.42578125" style="432" customWidth="1"/>
    <col min="11272" max="11518" width="9.140625" style="432"/>
    <col min="11519" max="11519" width="7.5703125" style="432" customWidth="1"/>
    <col min="11520" max="11521" width="9.140625" style="432"/>
    <col min="11522" max="11522" width="5.85546875" style="432" customWidth="1"/>
    <col min="11523" max="11523" width="1.42578125" style="432" customWidth="1"/>
    <col min="11524" max="11524" width="15.7109375" style="432" customWidth="1"/>
    <col min="11525" max="11525" width="14.5703125" style="432" customWidth="1"/>
    <col min="11526" max="11526" width="15.7109375" style="432" customWidth="1"/>
    <col min="11527" max="11527" width="16.42578125" style="432" customWidth="1"/>
    <col min="11528" max="11774" width="9.140625" style="432"/>
    <col min="11775" max="11775" width="7.5703125" style="432" customWidth="1"/>
    <col min="11776" max="11777" width="9.140625" style="432"/>
    <col min="11778" max="11778" width="5.85546875" style="432" customWidth="1"/>
    <col min="11779" max="11779" width="1.42578125" style="432" customWidth="1"/>
    <col min="11780" max="11780" width="15.7109375" style="432" customWidth="1"/>
    <col min="11781" max="11781" width="14.5703125" style="432" customWidth="1"/>
    <col min="11782" max="11782" width="15.7109375" style="432" customWidth="1"/>
    <col min="11783" max="11783" width="16.42578125" style="432" customWidth="1"/>
    <col min="11784" max="12030" width="9.140625" style="432"/>
    <col min="12031" max="12031" width="7.5703125" style="432" customWidth="1"/>
    <col min="12032" max="12033" width="9.140625" style="432"/>
    <col min="12034" max="12034" width="5.85546875" style="432" customWidth="1"/>
    <col min="12035" max="12035" width="1.42578125" style="432" customWidth="1"/>
    <col min="12036" max="12036" width="15.7109375" style="432" customWidth="1"/>
    <col min="12037" max="12037" width="14.5703125" style="432" customWidth="1"/>
    <col min="12038" max="12038" width="15.7109375" style="432" customWidth="1"/>
    <col min="12039" max="12039" width="16.42578125" style="432" customWidth="1"/>
    <col min="12040" max="12286" width="9.140625" style="432"/>
    <col min="12287" max="12287" width="7.5703125" style="432" customWidth="1"/>
    <col min="12288" max="12289" width="9.140625" style="432"/>
    <col min="12290" max="12290" width="5.85546875" style="432" customWidth="1"/>
    <col min="12291" max="12291" width="1.42578125" style="432" customWidth="1"/>
    <col min="12292" max="12292" width="15.7109375" style="432" customWidth="1"/>
    <col min="12293" max="12293" width="14.5703125" style="432" customWidth="1"/>
    <col min="12294" max="12294" width="15.7109375" style="432" customWidth="1"/>
    <col min="12295" max="12295" width="16.42578125" style="432" customWidth="1"/>
    <col min="12296" max="12542" width="9.140625" style="432"/>
    <col min="12543" max="12543" width="7.5703125" style="432" customWidth="1"/>
    <col min="12544" max="12545" width="9.140625" style="432"/>
    <col min="12546" max="12546" width="5.85546875" style="432" customWidth="1"/>
    <col min="12547" max="12547" width="1.42578125" style="432" customWidth="1"/>
    <col min="12548" max="12548" width="15.7109375" style="432" customWidth="1"/>
    <col min="12549" max="12549" width="14.5703125" style="432" customWidth="1"/>
    <col min="12550" max="12550" width="15.7109375" style="432" customWidth="1"/>
    <col min="12551" max="12551" width="16.42578125" style="432" customWidth="1"/>
    <col min="12552" max="12798" width="9.140625" style="432"/>
    <col min="12799" max="12799" width="7.5703125" style="432" customWidth="1"/>
    <col min="12800" max="12801" width="9.140625" style="432"/>
    <col min="12802" max="12802" width="5.85546875" style="432" customWidth="1"/>
    <col min="12803" max="12803" width="1.42578125" style="432" customWidth="1"/>
    <col min="12804" max="12804" width="15.7109375" style="432" customWidth="1"/>
    <col min="12805" max="12805" width="14.5703125" style="432" customWidth="1"/>
    <col min="12806" max="12806" width="15.7109375" style="432" customWidth="1"/>
    <col min="12807" max="12807" width="16.42578125" style="432" customWidth="1"/>
    <col min="12808" max="13054" width="9.140625" style="432"/>
    <col min="13055" max="13055" width="7.5703125" style="432" customWidth="1"/>
    <col min="13056" max="13057" width="9.140625" style="432"/>
    <col min="13058" max="13058" width="5.85546875" style="432" customWidth="1"/>
    <col min="13059" max="13059" width="1.42578125" style="432" customWidth="1"/>
    <col min="13060" max="13060" width="15.7109375" style="432" customWidth="1"/>
    <col min="13061" max="13061" width="14.5703125" style="432" customWidth="1"/>
    <col min="13062" max="13062" width="15.7109375" style="432" customWidth="1"/>
    <col min="13063" max="13063" width="16.42578125" style="432" customWidth="1"/>
    <col min="13064" max="13310" width="9.140625" style="432"/>
    <col min="13311" max="13311" width="7.5703125" style="432" customWidth="1"/>
    <col min="13312" max="13313" width="9.140625" style="432"/>
    <col min="13314" max="13314" width="5.85546875" style="432" customWidth="1"/>
    <col min="13315" max="13315" width="1.42578125" style="432" customWidth="1"/>
    <col min="13316" max="13316" width="15.7109375" style="432" customWidth="1"/>
    <col min="13317" max="13317" width="14.5703125" style="432" customWidth="1"/>
    <col min="13318" max="13318" width="15.7109375" style="432" customWidth="1"/>
    <col min="13319" max="13319" width="16.42578125" style="432" customWidth="1"/>
    <col min="13320" max="13566" width="9.140625" style="432"/>
    <col min="13567" max="13567" width="7.5703125" style="432" customWidth="1"/>
    <col min="13568" max="13569" width="9.140625" style="432"/>
    <col min="13570" max="13570" width="5.85546875" style="432" customWidth="1"/>
    <col min="13571" max="13571" width="1.42578125" style="432" customWidth="1"/>
    <col min="13572" max="13572" width="15.7109375" style="432" customWidth="1"/>
    <col min="13573" max="13573" width="14.5703125" style="432" customWidth="1"/>
    <col min="13574" max="13574" width="15.7109375" style="432" customWidth="1"/>
    <col min="13575" max="13575" width="16.42578125" style="432" customWidth="1"/>
    <col min="13576" max="13822" width="9.140625" style="432"/>
    <col min="13823" max="13823" width="7.5703125" style="432" customWidth="1"/>
    <col min="13824" max="13825" width="9.140625" style="432"/>
    <col min="13826" max="13826" width="5.85546875" style="432" customWidth="1"/>
    <col min="13827" max="13827" width="1.42578125" style="432" customWidth="1"/>
    <col min="13828" max="13828" width="15.7109375" style="432" customWidth="1"/>
    <col min="13829" max="13829" width="14.5703125" style="432" customWidth="1"/>
    <col min="13830" max="13830" width="15.7109375" style="432" customWidth="1"/>
    <col min="13831" max="13831" width="16.42578125" style="432" customWidth="1"/>
    <col min="13832" max="14078" width="9.140625" style="432"/>
    <col min="14079" max="14079" width="7.5703125" style="432" customWidth="1"/>
    <col min="14080" max="14081" width="9.140625" style="432"/>
    <col min="14082" max="14082" width="5.85546875" style="432" customWidth="1"/>
    <col min="14083" max="14083" width="1.42578125" style="432" customWidth="1"/>
    <col min="14084" max="14084" width="15.7109375" style="432" customWidth="1"/>
    <col min="14085" max="14085" width="14.5703125" style="432" customWidth="1"/>
    <col min="14086" max="14086" width="15.7109375" style="432" customWidth="1"/>
    <col min="14087" max="14087" width="16.42578125" style="432" customWidth="1"/>
    <col min="14088" max="14334" width="9.140625" style="432"/>
    <col min="14335" max="14335" width="7.5703125" style="432" customWidth="1"/>
    <col min="14336" max="14337" width="9.140625" style="432"/>
    <col min="14338" max="14338" width="5.85546875" style="432" customWidth="1"/>
    <col min="14339" max="14339" width="1.42578125" style="432" customWidth="1"/>
    <col min="14340" max="14340" width="15.7109375" style="432" customWidth="1"/>
    <col min="14341" max="14341" width="14.5703125" style="432" customWidth="1"/>
    <col min="14342" max="14342" width="15.7109375" style="432" customWidth="1"/>
    <col min="14343" max="14343" width="16.42578125" style="432" customWidth="1"/>
    <col min="14344" max="14590" width="9.140625" style="432"/>
    <col min="14591" max="14591" width="7.5703125" style="432" customWidth="1"/>
    <col min="14592" max="14593" width="9.140625" style="432"/>
    <col min="14594" max="14594" width="5.85546875" style="432" customWidth="1"/>
    <col min="14595" max="14595" width="1.42578125" style="432" customWidth="1"/>
    <col min="14596" max="14596" width="15.7109375" style="432" customWidth="1"/>
    <col min="14597" max="14597" width="14.5703125" style="432" customWidth="1"/>
    <col min="14598" max="14598" width="15.7109375" style="432" customWidth="1"/>
    <col min="14599" max="14599" width="16.42578125" style="432" customWidth="1"/>
    <col min="14600" max="14846" width="9.140625" style="432"/>
    <col min="14847" max="14847" width="7.5703125" style="432" customWidth="1"/>
    <col min="14848" max="14849" width="9.140625" style="432"/>
    <col min="14850" max="14850" width="5.85546875" style="432" customWidth="1"/>
    <col min="14851" max="14851" width="1.42578125" style="432" customWidth="1"/>
    <col min="14852" max="14852" width="15.7109375" style="432" customWidth="1"/>
    <col min="14853" max="14853" width="14.5703125" style="432" customWidth="1"/>
    <col min="14854" max="14854" width="15.7109375" style="432" customWidth="1"/>
    <col min="14855" max="14855" width="16.42578125" style="432" customWidth="1"/>
    <col min="14856" max="15102" width="9.140625" style="432"/>
    <col min="15103" max="15103" width="7.5703125" style="432" customWidth="1"/>
    <col min="15104" max="15105" width="9.140625" style="432"/>
    <col min="15106" max="15106" width="5.85546875" style="432" customWidth="1"/>
    <col min="15107" max="15107" width="1.42578125" style="432" customWidth="1"/>
    <col min="15108" max="15108" width="15.7109375" style="432" customWidth="1"/>
    <col min="15109" max="15109" width="14.5703125" style="432" customWidth="1"/>
    <col min="15110" max="15110" width="15.7109375" style="432" customWidth="1"/>
    <col min="15111" max="15111" width="16.42578125" style="432" customWidth="1"/>
    <col min="15112" max="15358" width="9.140625" style="432"/>
    <col min="15359" max="15359" width="7.5703125" style="432" customWidth="1"/>
    <col min="15360" max="15361" width="9.140625" style="432"/>
    <col min="15362" max="15362" width="5.85546875" style="432" customWidth="1"/>
    <col min="15363" max="15363" width="1.42578125" style="432" customWidth="1"/>
    <col min="15364" max="15364" width="15.7109375" style="432" customWidth="1"/>
    <col min="15365" max="15365" width="14.5703125" style="432" customWidth="1"/>
    <col min="15366" max="15366" width="15.7109375" style="432" customWidth="1"/>
    <col min="15367" max="15367" width="16.42578125" style="432" customWidth="1"/>
    <col min="15368" max="15614" width="9.140625" style="432"/>
    <col min="15615" max="15615" width="7.5703125" style="432" customWidth="1"/>
    <col min="15616" max="15617" width="9.140625" style="432"/>
    <col min="15618" max="15618" width="5.85546875" style="432" customWidth="1"/>
    <col min="15619" max="15619" width="1.42578125" style="432" customWidth="1"/>
    <col min="15620" max="15620" width="15.7109375" style="432" customWidth="1"/>
    <col min="15621" max="15621" width="14.5703125" style="432" customWidth="1"/>
    <col min="15622" max="15622" width="15.7109375" style="432" customWidth="1"/>
    <col min="15623" max="15623" width="16.42578125" style="432" customWidth="1"/>
    <col min="15624" max="15870" width="9.140625" style="432"/>
    <col min="15871" max="15871" width="7.5703125" style="432" customWidth="1"/>
    <col min="15872" max="15873" width="9.140625" style="432"/>
    <col min="15874" max="15874" width="5.85546875" style="432" customWidth="1"/>
    <col min="15875" max="15875" width="1.42578125" style="432" customWidth="1"/>
    <col min="15876" max="15876" width="15.7109375" style="432" customWidth="1"/>
    <col min="15877" max="15877" width="14.5703125" style="432" customWidth="1"/>
    <col min="15878" max="15878" width="15.7109375" style="432" customWidth="1"/>
    <col min="15879" max="15879" width="16.42578125" style="432" customWidth="1"/>
    <col min="15880" max="16126" width="9.140625" style="432"/>
    <col min="16127" max="16127" width="7.5703125" style="432" customWidth="1"/>
    <col min="16128" max="16129" width="9.140625" style="432"/>
    <col min="16130" max="16130" width="5.85546875" style="432" customWidth="1"/>
    <col min="16131" max="16131" width="1.42578125" style="432" customWidth="1"/>
    <col min="16132" max="16132" width="15.7109375" style="432" customWidth="1"/>
    <col min="16133" max="16133" width="14.5703125" style="432" customWidth="1"/>
    <col min="16134" max="16134" width="15.7109375" style="432" customWidth="1"/>
    <col min="16135" max="16135" width="16.42578125" style="432" customWidth="1"/>
    <col min="16136" max="16384" width="9.140625" style="432"/>
  </cols>
  <sheetData>
    <row r="1" spans="2:7" ht="18">
      <c r="B1" s="2080" t="s">
        <v>1520</v>
      </c>
      <c r="C1" s="2080"/>
      <c r="D1" s="2080"/>
      <c r="E1" s="2080"/>
      <c r="F1" s="2080"/>
      <c r="G1" s="2080"/>
    </row>
    <row r="2" spans="2:7" ht="18">
      <c r="B2" s="1781"/>
      <c r="C2" s="1781"/>
      <c r="D2" s="1782"/>
      <c r="E2" s="1809"/>
      <c r="F2" s="1809"/>
      <c r="G2" s="1841"/>
    </row>
    <row r="3" spans="2:7" ht="18">
      <c r="B3" s="2110" t="s">
        <v>1521</v>
      </c>
      <c r="C3" s="2110"/>
      <c r="D3" s="2110"/>
      <c r="E3" s="2110"/>
      <c r="F3" s="1810"/>
      <c r="G3" s="1842"/>
    </row>
    <row r="4" spans="2:7" ht="18">
      <c r="B4" s="2110" t="s">
        <v>1299</v>
      </c>
      <c r="C4" s="2110"/>
      <c r="D4" s="2110"/>
      <c r="E4" s="2110"/>
      <c r="F4" s="1811"/>
      <c r="G4" s="1842"/>
    </row>
    <row r="5" spans="2:7" ht="18">
      <c r="B5" s="2110" t="s">
        <v>1522</v>
      </c>
      <c r="C5" s="2110"/>
      <c r="D5" s="2110"/>
      <c r="E5" s="2110"/>
      <c r="F5" s="1811"/>
      <c r="G5" s="1843"/>
    </row>
    <row r="6" spans="2:7" ht="18">
      <c r="B6" s="2110" t="s">
        <v>1523</v>
      </c>
      <c r="C6" s="2110"/>
      <c r="D6" s="2110"/>
      <c r="E6" s="2110"/>
      <c r="F6" s="1808"/>
      <c r="G6" s="1843"/>
    </row>
    <row r="7" spans="2:7" ht="18">
      <c r="B7" s="2110" t="s">
        <v>3535</v>
      </c>
      <c r="C7" s="2110"/>
      <c r="D7" s="2110"/>
      <c r="E7" s="2110"/>
      <c r="F7" s="1843"/>
      <c r="G7" s="1843"/>
    </row>
    <row r="8" spans="2:7" ht="18">
      <c r="B8" s="1783"/>
      <c r="C8" s="1783"/>
      <c r="D8" s="1783"/>
      <c r="E8" s="1783"/>
      <c r="F8" s="1843"/>
      <c r="G8" s="1843"/>
    </row>
    <row r="9" spans="2:7" ht="18">
      <c r="B9" s="1783"/>
      <c r="C9" s="1783"/>
      <c r="D9" s="1783"/>
      <c r="E9" s="1783"/>
      <c r="F9" s="1843"/>
      <c r="G9" s="1843"/>
    </row>
    <row r="10" spans="2:7" ht="18">
      <c r="B10" s="1783"/>
      <c r="C10" s="1783"/>
      <c r="D10" s="1783"/>
      <c r="E10" s="1783"/>
      <c r="F10" s="1843"/>
      <c r="G10" s="1843"/>
    </row>
    <row r="11" spans="2:7" ht="18">
      <c r="B11" s="2087" t="s">
        <v>1301</v>
      </c>
      <c r="C11" s="2087"/>
      <c r="D11" s="2087"/>
      <c r="E11" s="2087"/>
      <c r="F11" s="2087"/>
      <c r="G11" s="2087"/>
    </row>
    <row r="13" spans="2:7" ht="13.5" thickBot="1"/>
    <row r="14" spans="2:7" s="1843" customFormat="1" ht="15" thickTop="1">
      <c r="B14" s="2226" t="s">
        <v>1302</v>
      </c>
      <c r="C14" s="2229" t="s">
        <v>0</v>
      </c>
      <c r="D14" s="2232" t="s">
        <v>1303</v>
      </c>
      <c r="E14" s="2232"/>
      <c r="F14" s="2232" t="s">
        <v>1304</v>
      </c>
      <c r="G14" s="2233"/>
    </row>
    <row r="15" spans="2:7" s="1843" customFormat="1" ht="14.25">
      <c r="B15" s="2227"/>
      <c r="C15" s="2230"/>
      <c r="D15" s="1872" t="s">
        <v>1305</v>
      </c>
      <c r="E15" s="1872" t="s">
        <v>1306</v>
      </c>
      <c r="F15" s="1872" t="s">
        <v>1305</v>
      </c>
      <c r="G15" s="1873" t="s">
        <v>1306</v>
      </c>
    </row>
    <row r="16" spans="2:7" s="1843" customFormat="1" ht="15" thickBot="1">
      <c r="B16" s="2228"/>
      <c r="C16" s="2231"/>
      <c r="D16" s="1874" t="s">
        <v>1307</v>
      </c>
      <c r="E16" s="1874" t="s">
        <v>1308</v>
      </c>
      <c r="F16" s="1874" t="s">
        <v>1307</v>
      </c>
      <c r="G16" s="1875" t="s">
        <v>1308</v>
      </c>
    </row>
    <row r="17" spans="2:7" s="1843" customFormat="1" ht="16.5" thickTop="1">
      <c r="B17" s="1876"/>
      <c r="C17" s="1877" t="s">
        <v>1309</v>
      </c>
      <c r="D17" s="1878"/>
      <c r="E17" s="1852"/>
      <c r="F17" s="1879"/>
      <c r="G17" s="1880"/>
    </row>
    <row r="18" spans="2:7" s="1843" customFormat="1" ht="15.75">
      <c r="B18" s="1849">
        <v>1</v>
      </c>
      <c r="C18" s="1855" t="s">
        <v>1310</v>
      </c>
      <c r="D18" s="1856">
        <v>187493.67</v>
      </c>
      <c r="E18" s="1856">
        <f>'Diagno. Meas'!I16</f>
        <v>72095.607500000013</v>
      </c>
      <c r="F18" s="1881">
        <f t="shared" ref="F18:G20" si="0">D18</f>
        <v>187493.67</v>
      </c>
      <c r="G18" s="1882">
        <f t="shared" si="0"/>
        <v>72095.607500000013</v>
      </c>
    </row>
    <row r="19" spans="2:7" s="1843" customFormat="1" ht="15.75">
      <c r="B19" s="1849">
        <v>2</v>
      </c>
      <c r="C19" s="1855" t="s">
        <v>1311</v>
      </c>
      <c r="D19" s="1856">
        <v>324434</v>
      </c>
      <c r="E19" s="1856">
        <f>'Diagno. Meas'!I30</f>
        <v>229221.859</v>
      </c>
      <c r="F19" s="1881">
        <f t="shared" si="0"/>
        <v>324434</v>
      </c>
      <c r="G19" s="1882">
        <f t="shared" si="0"/>
        <v>229221.859</v>
      </c>
    </row>
    <row r="20" spans="2:7" s="1843" customFormat="1" ht="15.75">
      <c r="B20" s="1849">
        <v>3</v>
      </c>
      <c r="C20" s="1855" t="s">
        <v>1312</v>
      </c>
      <c r="D20" s="1856">
        <v>107800</v>
      </c>
      <c r="E20" s="1856">
        <f>'Diagno. Meas'!I34</f>
        <v>36827.030000000006</v>
      </c>
      <c r="F20" s="1881">
        <f t="shared" si="0"/>
        <v>107800</v>
      </c>
      <c r="G20" s="1882">
        <f t="shared" si="0"/>
        <v>36827.030000000006</v>
      </c>
    </row>
    <row r="21" spans="2:7" s="1843" customFormat="1" ht="15.75">
      <c r="B21" s="1849"/>
      <c r="C21" s="1859" t="s">
        <v>1313</v>
      </c>
      <c r="D21" s="1856">
        <f>SUM(D18:D20)</f>
        <v>619727.67000000004</v>
      </c>
      <c r="E21" s="1856">
        <f>SUM(E18:E20)</f>
        <v>338144.49650000001</v>
      </c>
      <c r="F21" s="1856">
        <f>SUM(F18:F20)</f>
        <v>619727.67000000004</v>
      </c>
      <c r="G21" s="1882">
        <f>SUM(G18:G20)</f>
        <v>338144.49650000001</v>
      </c>
    </row>
    <row r="22" spans="2:7" s="1843" customFormat="1" ht="15.75">
      <c r="B22" s="1849"/>
      <c r="C22" s="1860" t="s">
        <v>1314</v>
      </c>
      <c r="D22" s="1856"/>
      <c r="E22" s="1856"/>
      <c r="F22" s="1881"/>
      <c r="G22" s="1882"/>
    </row>
    <row r="23" spans="2:7" s="1843" customFormat="1" ht="15.75">
      <c r="B23" s="1849">
        <v>1</v>
      </c>
      <c r="C23" s="1855" t="s">
        <v>1311</v>
      </c>
      <c r="D23" s="1856">
        <v>100282</v>
      </c>
      <c r="E23" s="1856">
        <f>'Diagno. Meas'!I50</f>
        <v>110243.02840000001</v>
      </c>
      <c r="F23" s="1881">
        <f>D23</f>
        <v>100282</v>
      </c>
      <c r="G23" s="1882">
        <f>E23</f>
        <v>110243.02840000001</v>
      </c>
    </row>
    <row r="24" spans="2:7" s="1843" customFormat="1" ht="15.75">
      <c r="B24" s="1849">
        <v>2</v>
      </c>
      <c r="C24" s="1861" t="s">
        <v>1315</v>
      </c>
      <c r="D24" s="1856">
        <v>110900</v>
      </c>
      <c r="E24" s="1856">
        <f>'Diagno. Meas'!I55</f>
        <v>136260.465</v>
      </c>
      <c r="F24" s="1881">
        <f t="shared" ref="F24:G32" si="1">D24</f>
        <v>110900</v>
      </c>
      <c r="G24" s="1882">
        <f t="shared" si="1"/>
        <v>136260.465</v>
      </c>
    </row>
    <row r="25" spans="2:7" s="1843" customFormat="1" ht="15.75">
      <c r="B25" s="1849">
        <v>3</v>
      </c>
      <c r="C25" s="1855" t="s">
        <v>1596</v>
      </c>
      <c r="D25" s="1856">
        <v>135547.6</v>
      </c>
      <c r="E25" s="1856">
        <f>'Diagno. Meas'!I61</f>
        <v>130242.2</v>
      </c>
      <c r="F25" s="1881">
        <f t="shared" si="1"/>
        <v>135547.6</v>
      </c>
      <c r="G25" s="1882">
        <f t="shared" si="1"/>
        <v>130242.2</v>
      </c>
    </row>
    <row r="26" spans="2:7" s="1843" customFormat="1" ht="15.75">
      <c r="B26" s="1849">
        <v>4</v>
      </c>
      <c r="C26" s="1855" t="s">
        <v>1595</v>
      </c>
      <c r="D26" s="1856">
        <v>123031.61</v>
      </c>
      <c r="E26" s="1856">
        <f>'Diagno. Meas'!I71</f>
        <v>75757.62000000001</v>
      </c>
      <c r="F26" s="1881">
        <f t="shared" si="1"/>
        <v>123031.61</v>
      </c>
      <c r="G26" s="1882">
        <f t="shared" si="1"/>
        <v>75757.62000000001</v>
      </c>
    </row>
    <row r="27" spans="2:7" s="1843" customFormat="1" ht="15.75">
      <c r="B27" s="1849">
        <v>5</v>
      </c>
      <c r="C27" s="1855" t="s">
        <v>1318</v>
      </c>
      <c r="D27" s="1856">
        <v>87105</v>
      </c>
      <c r="E27" s="1856">
        <f>'Diagno. Meas'!I88</f>
        <v>52202.5</v>
      </c>
      <c r="F27" s="1881">
        <f t="shared" si="1"/>
        <v>87105</v>
      </c>
      <c r="G27" s="1882">
        <f t="shared" si="1"/>
        <v>52202.5</v>
      </c>
    </row>
    <row r="28" spans="2:7" s="1843" customFormat="1" ht="15.75">
      <c r="B28" s="1849">
        <v>6</v>
      </c>
      <c r="C28" s="1855" t="s">
        <v>1319</v>
      </c>
      <c r="D28" s="1856">
        <v>362075</v>
      </c>
      <c r="E28" s="1856">
        <f>'Diagno. Meas'!I101</f>
        <v>294949.06</v>
      </c>
      <c r="F28" s="1881">
        <f t="shared" si="1"/>
        <v>362075</v>
      </c>
      <c r="G28" s="1882">
        <f t="shared" si="1"/>
        <v>294949.06</v>
      </c>
    </row>
    <row r="29" spans="2:7" s="1843" customFormat="1" ht="15.75">
      <c r="B29" s="1849">
        <v>7</v>
      </c>
      <c r="C29" s="1862" t="s">
        <v>1320</v>
      </c>
      <c r="D29" s="1856">
        <v>24696</v>
      </c>
      <c r="E29" s="1856">
        <f>'Diagno. Meas'!I106</f>
        <v>28404.552399999997</v>
      </c>
      <c r="F29" s="1881">
        <f t="shared" si="1"/>
        <v>24696</v>
      </c>
      <c r="G29" s="1882">
        <f t="shared" si="1"/>
        <v>28404.552399999997</v>
      </c>
    </row>
    <row r="30" spans="2:7" s="1843" customFormat="1" ht="15.75">
      <c r="B30" s="1849">
        <v>8</v>
      </c>
      <c r="C30" s="1862" t="s">
        <v>1321</v>
      </c>
      <c r="D30" s="1856">
        <v>10545</v>
      </c>
      <c r="E30" s="1856"/>
      <c r="F30" s="1881">
        <f t="shared" si="1"/>
        <v>10545</v>
      </c>
      <c r="G30" s="1882">
        <f t="shared" si="1"/>
        <v>0</v>
      </c>
    </row>
    <row r="31" spans="2:7" s="1843" customFormat="1" ht="15.75">
      <c r="B31" s="1849">
        <v>9</v>
      </c>
      <c r="C31" s="1862" t="s">
        <v>1322</v>
      </c>
      <c r="D31" s="1856">
        <v>43195</v>
      </c>
      <c r="E31" s="1856">
        <f>'Diagno. Meas'!I121</f>
        <v>12249.85</v>
      </c>
      <c r="F31" s="1881">
        <f t="shared" si="1"/>
        <v>43195</v>
      </c>
      <c r="G31" s="1882">
        <f t="shared" si="1"/>
        <v>12249.85</v>
      </c>
    </row>
    <row r="32" spans="2:7" s="1843" customFormat="1" ht="15.75">
      <c r="B32" s="1849">
        <v>10</v>
      </c>
      <c r="C32" s="1862" t="s">
        <v>1323</v>
      </c>
      <c r="D32" s="1856">
        <v>85890.18</v>
      </c>
      <c r="E32" s="1856">
        <f>'Diagno. Meas'!I150</f>
        <v>72954.75</v>
      </c>
      <c r="F32" s="1881">
        <f t="shared" si="1"/>
        <v>85890.18</v>
      </c>
      <c r="G32" s="1882">
        <f t="shared" si="1"/>
        <v>72954.75</v>
      </c>
    </row>
    <row r="33" spans="2:7" s="1843" customFormat="1" ht="15.75">
      <c r="B33" s="1849"/>
      <c r="C33" s="1859" t="s">
        <v>1324</v>
      </c>
      <c r="D33" s="1856">
        <f>SUM(D23:D32)</f>
        <v>1083267.3899999999</v>
      </c>
      <c r="E33" s="1856">
        <f>SUM(E23:E32)</f>
        <v>913264.02579999994</v>
      </c>
      <c r="F33" s="1881">
        <f>D33</f>
        <v>1083267.3899999999</v>
      </c>
      <c r="G33" s="1882">
        <f>SUM(G22:G32)</f>
        <v>913264.02579999994</v>
      </c>
    </row>
    <row r="34" spans="2:7" s="1843" customFormat="1" ht="16.5" thickBot="1">
      <c r="B34" s="1883"/>
      <c r="C34" s="1884" t="s">
        <v>1325</v>
      </c>
      <c r="D34" s="1885">
        <f>D21+D33</f>
        <v>1702995.06</v>
      </c>
      <c r="E34" s="1885">
        <f>E21+E33</f>
        <v>1251408.5222999998</v>
      </c>
      <c r="F34" s="1866">
        <f>F21+F33</f>
        <v>1702995.06</v>
      </c>
      <c r="G34" s="1867">
        <f>G21+G33</f>
        <v>1251408.5222999998</v>
      </c>
    </row>
    <row r="35" spans="2:7" s="1843" customFormat="1" ht="13.5" thickTop="1"/>
    <row r="36" spans="2:7" s="1843" customFormat="1" ht="14.25">
      <c r="B36" s="1886"/>
      <c r="C36" s="1886"/>
      <c r="D36" s="1886"/>
      <c r="E36" s="1886"/>
      <c r="F36" s="1886"/>
      <c r="G36" s="1887"/>
    </row>
    <row r="37" spans="2:7" s="1843" customFormat="1" ht="15.75">
      <c r="B37" s="2173"/>
      <c r="C37" s="2173"/>
      <c r="D37" s="2173"/>
      <c r="E37" s="2173"/>
      <c r="F37" s="2173"/>
      <c r="G37" s="2173"/>
    </row>
    <row r="38" spans="2:7" s="1843" customFormat="1" ht="14.25">
      <c r="B38" s="1886" t="s">
        <v>1326</v>
      </c>
      <c r="C38" s="1886"/>
      <c r="D38" s="1886"/>
      <c r="E38" s="1886"/>
      <c r="F38" s="1886"/>
      <c r="G38" s="1887"/>
    </row>
    <row r="39" spans="2:7" s="1843" customFormat="1" ht="15.75">
      <c r="B39" s="1886" t="s">
        <v>3536</v>
      </c>
      <c r="C39" s="1886"/>
      <c r="D39" s="1886"/>
      <c r="E39" s="1869"/>
      <c r="F39" s="1886"/>
      <c r="G39" s="1887"/>
    </row>
    <row r="40" spans="2:7" s="1843" customFormat="1" ht="15.75">
      <c r="B40" s="1886"/>
      <c r="C40" s="1886"/>
      <c r="D40" s="1886"/>
      <c r="E40" s="1869"/>
      <c r="F40" s="1886"/>
      <c r="G40" s="1887"/>
    </row>
    <row r="41" spans="2:7" s="1843" customFormat="1" ht="15.75">
      <c r="B41" s="1886"/>
      <c r="C41" s="1886"/>
      <c r="D41" s="1886"/>
      <c r="E41" s="1869"/>
      <c r="F41" s="1886"/>
      <c r="G41" s="1887"/>
    </row>
    <row r="42" spans="2:7" s="1843" customFormat="1" ht="15.75">
      <c r="B42" s="1886"/>
      <c r="C42" s="1886"/>
      <c r="D42" s="1886"/>
      <c r="E42" s="1869"/>
      <c r="F42" s="1886"/>
      <c r="G42" s="1887"/>
    </row>
    <row r="43" spans="2:7" s="1843" customFormat="1" ht="15.75">
      <c r="B43" s="1886"/>
      <c r="C43" s="1886"/>
      <c r="D43" s="1886"/>
      <c r="E43" s="1869"/>
      <c r="F43" s="1886"/>
      <c r="G43" s="1887"/>
    </row>
    <row r="44" spans="2:7" s="1843" customFormat="1"/>
    <row r="45" spans="2:7" s="1843" customFormat="1"/>
    <row r="46" spans="2:7" s="1843" customFormat="1"/>
    <row r="47" spans="2:7" s="1843" customFormat="1">
      <c r="B47" s="1843" t="s">
        <v>1327</v>
      </c>
      <c r="D47" s="2225"/>
      <c r="E47" s="2225"/>
      <c r="F47" s="2225" t="s">
        <v>1329</v>
      </c>
      <c r="G47" s="2225"/>
    </row>
  </sheetData>
  <mergeCells count="14">
    <mergeCell ref="D47:E47"/>
    <mergeCell ref="F47:G47"/>
    <mergeCell ref="B14:B16"/>
    <mergeCell ref="C14:C16"/>
    <mergeCell ref="D14:E14"/>
    <mergeCell ref="F14:G14"/>
    <mergeCell ref="B37:G37"/>
    <mergeCell ref="B7:E7"/>
    <mergeCell ref="B11:G11"/>
    <mergeCell ref="B1:G1"/>
    <mergeCell ref="B3:E3"/>
    <mergeCell ref="B4:E4"/>
    <mergeCell ref="B5:E5"/>
    <mergeCell ref="B6:E6"/>
  </mergeCells>
  <pageMargins left="0.7" right="0.45" top="1" bottom="0.75" header="0.3" footer="0.3"/>
  <pageSetup scale="9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B1:P160"/>
  <sheetViews>
    <sheetView view="pageBreakPreview" zoomScaleSheetLayoutView="100" zoomScalePageLayoutView="85" workbookViewId="0">
      <selection activeCell="B16" sqref="B16:D16"/>
    </sheetView>
  </sheetViews>
  <sheetFormatPr defaultRowHeight="15.75"/>
  <cols>
    <col min="1" max="1" width="5.28515625" style="1307" customWidth="1"/>
    <col min="2" max="2" width="6.42578125" style="1308" customWidth="1"/>
    <col min="3" max="3" width="45.7109375" style="1307" customWidth="1"/>
    <col min="4" max="4" width="8" style="1308" customWidth="1"/>
    <col min="5" max="6" width="9" style="1308" bestFit="1" customWidth="1"/>
    <col min="7" max="7" width="13.7109375" style="1308" customWidth="1"/>
    <col min="8" max="8" width="9" style="1308" bestFit="1" customWidth="1"/>
    <col min="9" max="9" width="11.28515625" style="1569" bestFit="1" customWidth="1"/>
    <col min="10" max="10" width="1.85546875" style="1307" customWidth="1"/>
    <col min="11" max="11" width="9.28515625" style="1307" customWidth="1"/>
    <col min="12" max="257" width="9.140625" style="1307"/>
    <col min="258" max="258" width="6.42578125" style="1307" customWidth="1"/>
    <col min="259" max="259" width="45" style="1307" customWidth="1"/>
    <col min="260" max="260" width="8" style="1307" customWidth="1"/>
    <col min="261" max="261" width="9.7109375" style="1307" customWidth="1"/>
    <col min="262" max="262" width="10.5703125" style="1307" customWidth="1"/>
    <col min="263" max="263" width="12.7109375" style="1307" customWidth="1"/>
    <col min="264" max="264" width="10.7109375" style="1307" customWidth="1"/>
    <col min="265" max="265" width="16.28515625" style="1307" customWidth="1"/>
    <col min="266" max="266" width="12.140625" style="1307" bestFit="1" customWidth="1"/>
    <col min="267" max="267" width="9.28515625" style="1307" bestFit="1" customWidth="1"/>
    <col min="268" max="513" width="9.140625" style="1307"/>
    <col min="514" max="514" width="6.42578125" style="1307" customWidth="1"/>
    <col min="515" max="515" width="45" style="1307" customWidth="1"/>
    <col min="516" max="516" width="8" style="1307" customWidth="1"/>
    <col min="517" max="517" width="9.7109375" style="1307" customWidth="1"/>
    <col min="518" max="518" width="10.5703125" style="1307" customWidth="1"/>
    <col min="519" max="519" width="12.7109375" style="1307" customWidth="1"/>
    <col min="520" max="520" width="10.7109375" style="1307" customWidth="1"/>
    <col min="521" max="521" width="16.28515625" style="1307" customWidth="1"/>
    <col min="522" max="522" width="12.140625" style="1307" bestFit="1" customWidth="1"/>
    <col min="523" max="523" width="9.28515625" style="1307" bestFit="1" customWidth="1"/>
    <col min="524" max="769" width="9.140625" style="1307"/>
    <col min="770" max="770" width="6.42578125" style="1307" customWidth="1"/>
    <col min="771" max="771" width="45" style="1307" customWidth="1"/>
    <col min="772" max="772" width="8" style="1307" customWidth="1"/>
    <col min="773" max="773" width="9.7109375" style="1307" customWidth="1"/>
    <col min="774" max="774" width="10.5703125" style="1307" customWidth="1"/>
    <col min="775" max="775" width="12.7109375" style="1307" customWidth="1"/>
    <col min="776" max="776" width="10.7109375" style="1307" customWidth="1"/>
    <col min="777" max="777" width="16.28515625" style="1307" customWidth="1"/>
    <col min="778" max="778" width="12.140625" style="1307" bestFit="1" customWidth="1"/>
    <col min="779" max="779" width="9.28515625" style="1307" bestFit="1" customWidth="1"/>
    <col min="780" max="1025" width="9.140625" style="1307"/>
    <col min="1026" max="1026" width="6.42578125" style="1307" customWidth="1"/>
    <col min="1027" max="1027" width="45" style="1307" customWidth="1"/>
    <col min="1028" max="1028" width="8" style="1307" customWidth="1"/>
    <col min="1029" max="1029" width="9.7109375" style="1307" customWidth="1"/>
    <col min="1030" max="1030" width="10.5703125" style="1307" customWidth="1"/>
    <col min="1031" max="1031" width="12.7109375" style="1307" customWidth="1"/>
    <col min="1032" max="1032" width="10.7109375" style="1307" customWidth="1"/>
    <col min="1033" max="1033" width="16.28515625" style="1307" customWidth="1"/>
    <col min="1034" max="1034" width="12.140625" style="1307" bestFit="1" customWidth="1"/>
    <col min="1035" max="1035" width="9.28515625" style="1307" bestFit="1" customWidth="1"/>
    <col min="1036" max="1281" width="9.140625" style="1307"/>
    <col min="1282" max="1282" width="6.42578125" style="1307" customWidth="1"/>
    <col min="1283" max="1283" width="45" style="1307" customWidth="1"/>
    <col min="1284" max="1284" width="8" style="1307" customWidth="1"/>
    <col min="1285" max="1285" width="9.7109375" style="1307" customWidth="1"/>
    <col min="1286" max="1286" width="10.5703125" style="1307" customWidth="1"/>
    <col min="1287" max="1287" width="12.7109375" style="1307" customWidth="1"/>
    <col min="1288" max="1288" width="10.7109375" style="1307" customWidth="1"/>
    <col min="1289" max="1289" width="16.28515625" style="1307" customWidth="1"/>
    <col min="1290" max="1290" width="12.140625" style="1307" bestFit="1" customWidth="1"/>
    <col min="1291" max="1291" width="9.28515625" style="1307" bestFit="1" customWidth="1"/>
    <col min="1292" max="1537" width="9.140625" style="1307"/>
    <col min="1538" max="1538" width="6.42578125" style="1307" customWidth="1"/>
    <col min="1539" max="1539" width="45" style="1307" customWidth="1"/>
    <col min="1540" max="1540" width="8" style="1307" customWidth="1"/>
    <col min="1541" max="1541" width="9.7109375" style="1307" customWidth="1"/>
    <col min="1542" max="1542" width="10.5703125" style="1307" customWidth="1"/>
    <col min="1543" max="1543" width="12.7109375" style="1307" customWidth="1"/>
    <col min="1544" max="1544" width="10.7109375" style="1307" customWidth="1"/>
    <col min="1545" max="1545" width="16.28515625" style="1307" customWidth="1"/>
    <col min="1546" max="1546" width="12.140625" style="1307" bestFit="1" customWidth="1"/>
    <col min="1547" max="1547" width="9.28515625" style="1307" bestFit="1" customWidth="1"/>
    <col min="1548" max="1793" width="9.140625" style="1307"/>
    <col min="1794" max="1794" width="6.42578125" style="1307" customWidth="1"/>
    <col min="1795" max="1795" width="45" style="1307" customWidth="1"/>
    <col min="1796" max="1796" width="8" style="1307" customWidth="1"/>
    <col min="1797" max="1797" width="9.7109375" style="1307" customWidth="1"/>
    <col min="1798" max="1798" width="10.5703125" style="1307" customWidth="1"/>
    <col min="1799" max="1799" width="12.7109375" style="1307" customWidth="1"/>
    <col min="1800" max="1800" width="10.7109375" style="1307" customWidth="1"/>
    <col min="1801" max="1801" width="16.28515625" style="1307" customWidth="1"/>
    <col min="1802" max="1802" width="12.140625" style="1307" bestFit="1" customWidth="1"/>
    <col min="1803" max="1803" width="9.28515625" style="1307" bestFit="1" customWidth="1"/>
    <col min="1804" max="2049" width="9.140625" style="1307"/>
    <col min="2050" max="2050" width="6.42578125" style="1307" customWidth="1"/>
    <col min="2051" max="2051" width="45" style="1307" customWidth="1"/>
    <col min="2052" max="2052" width="8" style="1307" customWidth="1"/>
    <col min="2053" max="2053" width="9.7109375" style="1307" customWidth="1"/>
    <col min="2054" max="2054" width="10.5703125" style="1307" customWidth="1"/>
    <col min="2055" max="2055" width="12.7109375" style="1307" customWidth="1"/>
    <col min="2056" max="2056" width="10.7109375" style="1307" customWidth="1"/>
    <col min="2057" max="2057" width="16.28515625" style="1307" customWidth="1"/>
    <col min="2058" max="2058" width="12.140625" style="1307" bestFit="1" customWidth="1"/>
    <col min="2059" max="2059" width="9.28515625" style="1307" bestFit="1" customWidth="1"/>
    <col min="2060" max="2305" width="9.140625" style="1307"/>
    <col min="2306" max="2306" width="6.42578125" style="1307" customWidth="1"/>
    <col min="2307" max="2307" width="45" style="1307" customWidth="1"/>
    <col min="2308" max="2308" width="8" style="1307" customWidth="1"/>
    <col min="2309" max="2309" width="9.7109375" style="1307" customWidth="1"/>
    <col min="2310" max="2310" width="10.5703125" style="1307" customWidth="1"/>
    <col min="2311" max="2311" width="12.7109375" style="1307" customWidth="1"/>
    <col min="2312" max="2312" width="10.7109375" style="1307" customWidth="1"/>
    <col min="2313" max="2313" width="16.28515625" style="1307" customWidth="1"/>
    <col min="2314" max="2314" width="12.140625" style="1307" bestFit="1" customWidth="1"/>
    <col min="2315" max="2315" width="9.28515625" style="1307" bestFit="1" customWidth="1"/>
    <col min="2316" max="2561" width="9.140625" style="1307"/>
    <col min="2562" max="2562" width="6.42578125" style="1307" customWidth="1"/>
    <col min="2563" max="2563" width="45" style="1307" customWidth="1"/>
    <col min="2564" max="2564" width="8" style="1307" customWidth="1"/>
    <col min="2565" max="2565" width="9.7109375" style="1307" customWidth="1"/>
    <col min="2566" max="2566" width="10.5703125" style="1307" customWidth="1"/>
    <col min="2567" max="2567" width="12.7109375" style="1307" customWidth="1"/>
    <col min="2568" max="2568" width="10.7109375" style="1307" customWidth="1"/>
    <col min="2569" max="2569" width="16.28515625" style="1307" customWidth="1"/>
    <col min="2570" max="2570" width="12.140625" style="1307" bestFit="1" customWidth="1"/>
    <col min="2571" max="2571" width="9.28515625" style="1307" bestFit="1" customWidth="1"/>
    <col min="2572" max="2817" width="9.140625" style="1307"/>
    <col min="2818" max="2818" width="6.42578125" style="1307" customWidth="1"/>
    <col min="2819" max="2819" width="45" style="1307" customWidth="1"/>
    <col min="2820" max="2820" width="8" style="1307" customWidth="1"/>
    <col min="2821" max="2821" width="9.7109375" style="1307" customWidth="1"/>
    <col min="2822" max="2822" width="10.5703125" style="1307" customWidth="1"/>
    <col min="2823" max="2823" width="12.7109375" style="1307" customWidth="1"/>
    <col min="2824" max="2824" width="10.7109375" style="1307" customWidth="1"/>
    <col min="2825" max="2825" width="16.28515625" style="1307" customWidth="1"/>
    <col min="2826" max="2826" width="12.140625" style="1307" bestFit="1" customWidth="1"/>
    <col min="2827" max="2827" width="9.28515625" style="1307" bestFit="1" customWidth="1"/>
    <col min="2828" max="3073" width="9.140625" style="1307"/>
    <col min="3074" max="3074" width="6.42578125" style="1307" customWidth="1"/>
    <col min="3075" max="3075" width="45" style="1307" customWidth="1"/>
    <col min="3076" max="3076" width="8" style="1307" customWidth="1"/>
    <col min="3077" max="3077" width="9.7109375" style="1307" customWidth="1"/>
    <col min="3078" max="3078" width="10.5703125" style="1307" customWidth="1"/>
    <col min="3079" max="3079" width="12.7109375" style="1307" customWidth="1"/>
    <col min="3080" max="3080" width="10.7109375" style="1307" customWidth="1"/>
    <col min="3081" max="3081" width="16.28515625" style="1307" customWidth="1"/>
    <col min="3082" max="3082" width="12.140625" style="1307" bestFit="1" customWidth="1"/>
    <col min="3083" max="3083" width="9.28515625" style="1307" bestFit="1" customWidth="1"/>
    <col min="3084" max="3329" width="9.140625" style="1307"/>
    <col min="3330" max="3330" width="6.42578125" style="1307" customWidth="1"/>
    <col min="3331" max="3331" width="45" style="1307" customWidth="1"/>
    <col min="3332" max="3332" width="8" style="1307" customWidth="1"/>
    <col min="3333" max="3333" width="9.7109375" style="1307" customWidth="1"/>
    <col min="3334" max="3334" width="10.5703125" style="1307" customWidth="1"/>
    <col min="3335" max="3335" width="12.7109375" style="1307" customWidth="1"/>
    <col min="3336" max="3336" width="10.7109375" style="1307" customWidth="1"/>
    <col min="3337" max="3337" width="16.28515625" style="1307" customWidth="1"/>
    <col min="3338" max="3338" width="12.140625" style="1307" bestFit="1" customWidth="1"/>
    <col min="3339" max="3339" width="9.28515625" style="1307" bestFit="1" customWidth="1"/>
    <col min="3340" max="3585" width="9.140625" style="1307"/>
    <col min="3586" max="3586" width="6.42578125" style="1307" customWidth="1"/>
    <col min="3587" max="3587" width="45" style="1307" customWidth="1"/>
    <col min="3588" max="3588" width="8" style="1307" customWidth="1"/>
    <col min="3589" max="3589" width="9.7109375" style="1307" customWidth="1"/>
    <col min="3590" max="3590" width="10.5703125" style="1307" customWidth="1"/>
    <col min="3591" max="3591" width="12.7109375" style="1307" customWidth="1"/>
    <col min="3592" max="3592" width="10.7109375" style="1307" customWidth="1"/>
    <col min="3593" max="3593" width="16.28515625" style="1307" customWidth="1"/>
    <col min="3594" max="3594" width="12.140625" style="1307" bestFit="1" customWidth="1"/>
    <col min="3595" max="3595" width="9.28515625" style="1307" bestFit="1" customWidth="1"/>
    <col min="3596" max="3841" width="9.140625" style="1307"/>
    <col min="3842" max="3842" width="6.42578125" style="1307" customWidth="1"/>
    <col min="3843" max="3843" width="45" style="1307" customWidth="1"/>
    <col min="3844" max="3844" width="8" style="1307" customWidth="1"/>
    <col min="3845" max="3845" width="9.7109375" style="1307" customWidth="1"/>
    <col min="3846" max="3846" width="10.5703125" style="1307" customWidth="1"/>
    <col min="3847" max="3847" width="12.7109375" style="1307" customWidth="1"/>
    <col min="3848" max="3848" width="10.7109375" style="1307" customWidth="1"/>
    <col min="3849" max="3849" width="16.28515625" style="1307" customWidth="1"/>
    <col min="3850" max="3850" width="12.140625" style="1307" bestFit="1" customWidth="1"/>
    <col min="3851" max="3851" width="9.28515625" style="1307" bestFit="1" customWidth="1"/>
    <col min="3852" max="4097" width="9.140625" style="1307"/>
    <col min="4098" max="4098" width="6.42578125" style="1307" customWidth="1"/>
    <col min="4099" max="4099" width="45" style="1307" customWidth="1"/>
    <col min="4100" max="4100" width="8" style="1307" customWidth="1"/>
    <col min="4101" max="4101" width="9.7109375" style="1307" customWidth="1"/>
    <col min="4102" max="4102" width="10.5703125" style="1307" customWidth="1"/>
    <col min="4103" max="4103" width="12.7109375" style="1307" customWidth="1"/>
    <col min="4104" max="4104" width="10.7109375" style="1307" customWidth="1"/>
    <col min="4105" max="4105" width="16.28515625" style="1307" customWidth="1"/>
    <col min="4106" max="4106" width="12.140625" style="1307" bestFit="1" customWidth="1"/>
    <col min="4107" max="4107" width="9.28515625" style="1307" bestFit="1" customWidth="1"/>
    <col min="4108" max="4353" width="9.140625" style="1307"/>
    <col min="4354" max="4354" width="6.42578125" style="1307" customWidth="1"/>
    <col min="4355" max="4355" width="45" style="1307" customWidth="1"/>
    <col min="4356" max="4356" width="8" style="1307" customWidth="1"/>
    <col min="4357" max="4357" width="9.7109375" style="1307" customWidth="1"/>
    <col min="4358" max="4358" width="10.5703125" style="1307" customWidth="1"/>
    <col min="4359" max="4359" width="12.7109375" style="1307" customWidth="1"/>
    <col min="4360" max="4360" width="10.7109375" style="1307" customWidth="1"/>
    <col min="4361" max="4361" width="16.28515625" style="1307" customWidth="1"/>
    <col min="4362" max="4362" width="12.140625" style="1307" bestFit="1" customWidth="1"/>
    <col min="4363" max="4363" width="9.28515625" style="1307" bestFit="1" customWidth="1"/>
    <col min="4364" max="4609" width="9.140625" style="1307"/>
    <col min="4610" max="4610" width="6.42578125" style="1307" customWidth="1"/>
    <col min="4611" max="4611" width="45" style="1307" customWidth="1"/>
    <col min="4612" max="4612" width="8" style="1307" customWidth="1"/>
    <col min="4613" max="4613" width="9.7109375" style="1307" customWidth="1"/>
    <col min="4614" max="4614" width="10.5703125" style="1307" customWidth="1"/>
    <col min="4615" max="4615" width="12.7109375" style="1307" customWidth="1"/>
    <col min="4616" max="4616" width="10.7109375" style="1307" customWidth="1"/>
    <col min="4617" max="4617" width="16.28515625" style="1307" customWidth="1"/>
    <col min="4618" max="4618" width="12.140625" style="1307" bestFit="1" customWidth="1"/>
    <col min="4619" max="4619" width="9.28515625" style="1307" bestFit="1" customWidth="1"/>
    <col min="4620" max="4865" width="9.140625" style="1307"/>
    <col min="4866" max="4866" width="6.42578125" style="1307" customWidth="1"/>
    <col min="4867" max="4867" width="45" style="1307" customWidth="1"/>
    <col min="4868" max="4868" width="8" style="1307" customWidth="1"/>
    <col min="4869" max="4869" width="9.7109375" style="1307" customWidth="1"/>
    <col min="4870" max="4870" width="10.5703125" style="1307" customWidth="1"/>
    <col min="4871" max="4871" width="12.7109375" style="1307" customWidth="1"/>
    <col min="4872" max="4872" width="10.7109375" style="1307" customWidth="1"/>
    <col min="4873" max="4873" width="16.28515625" style="1307" customWidth="1"/>
    <col min="4874" max="4874" width="12.140625" style="1307" bestFit="1" customWidth="1"/>
    <col min="4875" max="4875" width="9.28515625" style="1307" bestFit="1" customWidth="1"/>
    <col min="4876" max="5121" width="9.140625" style="1307"/>
    <col min="5122" max="5122" width="6.42578125" style="1307" customWidth="1"/>
    <col min="5123" max="5123" width="45" style="1307" customWidth="1"/>
    <col min="5124" max="5124" width="8" style="1307" customWidth="1"/>
    <col min="5125" max="5125" width="9.7109375" style="1307" customWidth="1"/>
    <col min="5126" max="5126" width="10.5703125" style="1307" customWidth="1"/>
    <col min="5127" max="5127" width="12.7109375" style="1307" customWidth="1"/>
    <col min="5128" max="5128" width="10.7109375" style="1307" customWidth="1"/>
    <col min="5129" max="5129" width="16.28515625" style="1307" customWidth="1"/>
    <col min="5130" max="5130" width="12.140625" style="1307" bestFit="1" customWidth="1"/>
    <col min="5131" max="5131" width="9.28515625" style="1307" bestFit="1" customWidth="1"/>
    <col min="5132" max="5377" width="9.140625" style="1307"/>
    <col min="5378" max="5378" width="6.42578125" style="1307" customWidth="1"/>
    <col min="5379" max="5379" width="45" style="1307" customWidth="1"/>
    <col min="5380" max="5380" width="8" style="1307" customWidth="1"/>
    <col min="5381" max="5381" width="9.7109375" style="1307" customWidth="1"/>
    <col min="5382" max="5382" width="10.5703125" style="1307" customWidth="1"/>
    <col min="5383" max="5383" width="12.7109375" style="1307" customWidth="1"/>
    <col min="5384" max="5384" width="10.7109375" style="1307" customWidth="1"/>
    <col min="5385" max="5385" width="16.28515625" style="1307" customWidth="1"/>
    <col min="5386" max="5386" width="12.140625" style="1307" bestFit="1" customWidth="1"/>
    <col min="5387" max="5387" width="9.28515625" style="1307" bestFit="1" customWidth="1"/>
    <col min="5388" max="5633" width="9.140625" style="1307"/>
    <col min="5634" max="5634" width="6.42578125" style="1307" customWidth="1"/>
    <col min="5635" max="5635" width="45" style="1307" customWidth="1"/>
    <col min="5636" max="5636" width="8" style="1307" customWidth="1"/>
    <col min="5637" max="5637" width="9.7109375" style="1307" customWidth="1"/>
    <col min="5638" max="5638" width="10.5703125" style="1307" customWidth="1"/>
    <col min="5639" max="5639" width="12.7109375" style="1307" customWidth="1"/>
    <col min="5640" max="5640" width="10.7109375" style="1307" customWidth="1"/>
    <col min="5641" max="5641" width="16.28515625" style="1307" customWidth="1"/>
    <col min="5642" max="5642" width="12.140625" style="1307" bestFit="1" customWidth="1"/>
    <col min="5643" max="5643" width="9.28515625" style="1307" bestFit="1" customWidth="1"/>
    <col min="5644" max="5889" width="9.140625" style="1307"/>
    <col min="5890" max="5890" width="6.42578125" style="1307" customWidth="1"/>
    <col min="5891" max="5891" width="45" style="1307" customWidth="1"/>
    <col min="5892" max="5892" width="8" style="1307" customWidth="1"/>
    <col min="5893" max="5893" width="9.7109375" style="1307" customWidth="1"/>
    <col min="5894" max="5894" width="10.5703125" style="1307" customWidth="1"/>
    <col min="5895" max="5895" width="12.7109375" style="1307" customWidth="1"/>
    <col min="5896" max="5896" width="10.7109375" style="1307" customWidth="1"/>
    <col min="5897" max="5897" width="16.28515625" style="1307" customWidth="1"/>
    <col min="5898" max="5898" width="12.140625" style="1307" bestFit="1" customWidth="1"/>
    <col min="5899" max="5899" width="9.28515625" style="1307" bestFit="1" customWidth="1"/>
    <col min="5900" max="6145" width="9.140625" style="1307"/>
    <col min="6146" max="6146" width="6.42578125" style="1307" customWidth="1"/>
    <col min="6147" max="6147" width="45" style="1307" customWidth="1"/>
    <col min="6148" max="6148" width="8" style="1307" customWidth="1"/>
    <col min="6149" max="6149" width="9.7109375" style="1307" customWidth="1"/>
    <col min="6150" max="6150" width="10.5703125" style="1307" customWidth="1"/>
    <col min="6151" max="6151" width="12.7109375" style="1307" customWidth="1"/>
    <col min="6152" max="6152" width="10.7109375" style="1307" customWidth="1"/>
    <col min="6153" max="6153" width="16.28515625" style="1307" customWidth="1"/>
    <col min="6154" max="6154" width="12.140625" style="1307" bestFit="1" customWidth="1"/>
    <col min="6155" max="6155" width="9.28515625" style="1307" bestFit="1" customWidth="1"/>
    <col min="6156" max="6401" width="9.140625" style="1307"/>
    <col min="6402" max="6402" width="6.42578125" style="1307" customWidth="1"/>
    <col min="6403" max="6403" width="45" style="1307" customWidth="1"/>
    <col min="6404" max="6404" width="8" style="1307" customWidth="1"/>
    <col min="6405" max="6405" width="9.7109375" style="1307" customWidth="1"/>
    <col min="6406" max="6406" width="10.5703125" style="1307" customWidth="1"/>
    <col min="6407" max="6407" width="12.7109375" style="1307" customWidth="1"/>
    <col min="6408" max="6408" width="10.7109375" style="1307" customWidth="1"/>
    <col min="6409" max="6409" width="16.28515625" style="1307" customWidth="1"/>
    <col min="6410" max="6410" width="12.140625" style="1307" bestFit="1" customWidth="1"/>
    <col min="6411" max="6411" width="9.28515625" style="1307" bestFit="1" customWidth="1"/>
    <col min="6412" max="6657" width="9.140625" style="1307"/>
    <col min="6658" max="6658" width="6.42578125" style="1307" customWidth="1"/>
    <col min="6659" max="6659" width="45" style="1307" customWidth="1"/>
    <col min="6660" max="6660" width="8" style="1307" customWidth="1"/>
    <col min="6661" max="6661" width="9.7109375" style="1307" customWidth="1"/>
    <col min="6662" max="6662" width="10.5703125" style="1307" customWidth="1"/>
    <col min="6663" max="6663" width="12.7109375" style="1307" customWidth="1"/>
    <col min="6664" max="6664" width="10.7109375" style="1307" customWidth="1"/>
    <col min="6665" max="6665" width="16.28515625" style="1307" customWidth="1"/>
    <col min="6666" max="6666" width="12.140625" style="1307" bestFit="1" customWidth="1"/>
    <col min="6667" max="6667" width="9.28515625" style="1307" bestFit="1" customWidth="1"/>
    <col min="6668" max="6913" width="9.140625" style="1307"/>
    <col min="6914" max="6914" width="6.42578125" style="1307" customWidth="1"/>
    <col min="6915" max="6915" width="45" style="1307" customWidth="1"/>
    <col min="6916" max="6916" width="8" style="1307" customWidth="1"/>
    <col min="6917" max="6917" width="9.7109375" style="1307" customWidth="1"/>
    <col min="6918" max="6918" width="10.5703125" style="1307" customWidth="1"/>
    <col min="6919" max="6919" width="12.7109375" style="1307" customWidth="1"/>
    <col min="6920" max="6920" width="10.7109375" style="1307" customWidth="1"/>
    <col min="6921" max="6921" width="16.28515625" style="1307" customWidth="1"/>
    <col min="6922" max="6922" width="12.140625" style="1307" bestFit="1" customWidth="1"/>
    <col min="6923" max="6923" width="9.28515625" style="1307" bestFit="1" customWidth="1"/>
    <col min="6924" max="7169" width="9.140625" style="1307"/>
    <col min="7170" max="7170" width="6.42578125" style="1307" customWidth="1"/>
    <col min="7171" max="7171" width="45" style="1307" customWidth="1"/>
    <col min="7172" max="7172" width="8" style="1307" customWidth="1"/>
    <col min="7173" max="7173" width="9.7109375" style="1307" customWidth="1"/>
    <col min="7174" max="7174" width="10.5703125" style="1307" customWidth="1"/>
    <col min="7175" max="7175" width="12.7109375" style="1307" customWidth="1"/>
    <col min="7176" max="7176" width="10.7109375" style="1307" customWidth="1"/>
    <col min="7177" max="7177" width="16.28515625" style="1307" customWidth="1"/>
    <col min="7178" max="7178" width="12.140625" style="1307" bestFit="1" customWidth="1"/>
    <col min="7179" max="7179" width="9.28515625" style="1307" bestFit="1" customWidth="1"/>
    <col min="7180" max="7425" width="9.140625" style="1307"/>
    <col min="7426" max="7426" width="6.42578125" style="1307" customWidth="1"/>
    <col min="7427" max="7427" width="45" style="1307" customWidth="1"/>
    <col min="7428" max="7428" width="8" style="1307" customWidth="1"/>
    <col min="7429" max="7429" width="9.7109375" style="1307" customWidth="1"/>
    <col min="7430" max="7430" width="10.5703125" style="1307" customWidth="1"/>
    <col min="7431" max="7431" width="12.7109375" style="1307" customWidth="1"/>
    <col min="7432" max="7432" width="10.7109375" style="1307" customWidth="1"/>
    <col min="7433" max="7433" width="16.28515625" style="1307" customWidth="1"/>
    <col min="7434" max="7434" width="12.140625" style="1307" bestFit="1" customWidth="1"/>
    <col min="7435" max="7435" width="9.28515625" style="1307" bestFit="1" customWidth="1"/>
    <col min="7436" max="7681" width="9.140625" style="1307"/>
    <col min="7682" max="7682" width="6.42578125" style="1307" customWidth="1"/>
    <col min="7683" max="7683" width="45" style="1307" customWidth="1"/>
    <col min="7684" max="7684" width="8" style="1307" customWidth="1"/>
    <col min="7685" max="7685" width="9.7109375" style="1307" customWidth="1"/>
    <col min="7686" max="7686" width="10.5703125" style="1307" customWidth="1"/>
    <col min="7687" max="7687" width="12.7109375" style="1307" customWidth="1"/>
    <col min="7688" max="7688" width="10.7109375" style="1307" customWidth="1"/>
    <col min="7689" max="7689" width="16.28515625" style="1307" customWidth="1"/>
    <col min="7690" max="7690" width="12.140625" style="1307" bestFit="1" customWidth="1"/>
    <col min="7691" max="7691" width="9.28515625" style="1307" bestFit="1" customWidth="1"/>
    <col min="7692" max="7937" width="9.140625" style="1307"/>
    <col min="7938" max="7938" width="6.42578125" style="1307" customWidth="1"/>
    <col min="7939" max="7939" width="45" style="1307" customWidth="1"/>
    <col min="7940" max="7940" width="8" style="1307" customWidth="1"/>
    <col min="7941" max="7941" width="9.7109375" style="1307" customWidth="1"/>
    <col min="7942" max="7942" width="10.5703125" style="1307" customWidth="1"/>
    <col min="7943" max="7943" width="12.7109375" style="1307" customWidth="1"/>
    <col min="7944" max="7944" width="10.7109375" style="1307" customWidth="1"/>
    <col min="7945" max="7945" width="16.28515625" style="1307" customWidth="1"/>
    <col min="7946" max="7946" width="12.140625" style="1307" bestFit="1" customWidth="1"/>
    <col min="7947" max="7947" width="9.28515625" style="1307" bestFit="1" customWidth="1"/>
    <col min="7948" max="8193" width="9.140625" style="1307"/>
    <col min="8194" max="8194" width="6.42578125" style="1307" customWidth="1"/>
    <col min="8195" max="8195" width="45" style="1307" customWidth="1"/>
    <col min="8196" max="8196" width="8" style="1307" customWidth="1"/>
    <col min="8197" max="8197" width="9.7109375" style="1307" customWidth="1"/>
    <col min="8198" max="8198" width="10.5703125" style="1307" customWidth="1"/>
    <col min="8199" max="8199" width="12.7109375" style="1307" customWidth="1"/>
    <col min="8200" max="8200" width="10.7109375" style="1307" customWidth="1"/>
    <col min="8201" max="8201" width="16.28515625" style="1307" customWidth="1"/>
    <col min="8202" max="8202" width="12.140625" style="1307" bestFit="1" customWidth="1"/>
    <col min="8203" max="8203" width="9.28515625" style="1307" bestFit="1" customWidth="1"/>
    <col min="8204" max="8449" width="9.140625" style="1307"/>
    <col min="8450" max="8450" width="6.42578125" style="1307" customWidth="1"/>
    <col min="8451" max="8451" width="45" style="1307" customWidth="1"/>
    <col min="8452" max="8452" width="8" style="1307" customWidth="1"/>
    <col min="8453" max="8453" width="9.7109375" style="1307" customWidth="1"/>
    <col min="8454" max="8454" width="10.5703125" style="1307" customWidth="1"/>
    <col min="8455" max="8455" width="12.7109375" style="1307" customWidth="1"/>
    <col min="8456" max="8456" width="10.7109375" style="1307" customWidth="1"/>
    <col min="8457" max="8457" width="16.28515625" style="1307" customWidth="1"/>
    <col min="8458" max="8458" width="12.140625" style="1307" bestFit="1" customWidth="1"/>
    <col min="8459" max="8459" width="9.28515625" style="1307" bestFit="1" customWidth="1"/>
    <col min="8460" max="8705" width="9.140625" style="1307"/>
    <col min="8706" max="8706" width="6.42578125" style="1307" customWidth="1"/>
    <col min="8707" max="8707" width="45" style="1307" customWidth="1"/>
    <col min="8708" max="8708" width="8" style="1307" customWidth="1"/>
    <col min="8709" max="8709" width="9.7109375" style="1307" customWidth="1"/>
    <col min="8710" max="8710" width="10.5703125" style="1307" customWidth="1"/>
    <col min="8711" max="8711" width="12.7109375" style="1307" customWidth="1"/>
    <col min="8712" max="8712" width="10.7109375" style="1307" customWidth="1"/>
    <col min="8713" max="8713" width="16.28515625" style="1307" customWidth="1"/>
    <col min="8714" max="8714" width="12.140625" style="1307" bestFit="1" customWidth="1"/>
    <col min="8715" max="8715" width="9.28515625" style="1307" bestFit="1" customWidth="1"/>
    <col min="8716" max="8961" width="9.140625" style="1307"/>
    <col min="8962" max="8962" width="6.42578125" style="1307" customWidth="1"/>
    <col min="8963" max="8963" width="45" style="1307" customWidth="1"/>
    <col min="8964" max="8964" width="8" style="1307" customWidth="1"/>
    <col min="8965" max="8965" width="9.7109375" style="1307" customWidth="1"/>
    <col min="8966" max="8966" width="10.5703125" style="1307" customWidth="1"/>
    <col min="8967" max="8967" width="12.7109375" style="1307" customWidth="1"/>
    <col min="8968" max="8968" width="10.7109375" style="1307" customWidth="1"/>
    <col min="8969" max="8969" width="16.28515625" style="1307" customWidth="1"/>
    <col min="8970" max="8970" width="12.140625" style="1307" bestFit="1" customWidth="1"/>
    <col min="8971" max="8971" width="9.28515625" style="1307" bestFit="1" customWidth="1"/>
    <col min="8972" max="9217" width="9.140625" style="1307"/>
    <col min="9218" max="9218" width="6.42578125" style="1307" customWidth="1"/>
    <col min="9219" max="9219" width="45" style="1307" customWidth="1"/>
    <col min="9220" max="9220" width="8" style="1307" customWidth="1"/>
    <col min="9221" max="9221" width="9.7109375" style="1307" customWidth="1"/>
    <col min="9222" max="9222" width="10.5703125" style="1307" customWidth="1"/>
    <col min="9223" max="9223" width="12.7109375" style="1307" customWidth="1"/>
    <col min="9224" max="9224" width="10.7109375" style="1307" customWidth="1"/>
    <col min="9225" max="9225" width="16.28515625" style="1307" customWidth="1"/>
    <col min="9226" max="9226" width="12.140625" style="1307" bestFit="1" customWidth="1"/>
    <col min="9227" max="9227" width="9.28515625" style="1307" bestFit="1" customWidth="1"/>
    <col min="9228" max="9473" width="9.140625" style="1307"/>
    <col min="9474" max="9474" width="6.42578125" style="1307" customWidth="1"/>
    <col min="9475" max="9475" width="45" style="1307" customWidth="1"/>
    <col min="9476" max="9476" width="8" style="1307" customWidth="1"/>
    <col min="9477" max="9477" width="9.7109375" style="1307" customWidth="1"/>
    <col min="9478" max="9478" width="10.5703125" style="1307" customWidth="1"/>
    <col min="9479" max="9479" width="12.7109375" style="1307" customWidth="1"/>
    <col min="9480" max="9480" width="10.7109375" style="1307" customWidth="1"/>
    <col min="9481" max="9481" width="16.28515625" style="1307" customWidth="1"/>
    <col min="9482" max="9482" width="12.140625" style="1307" bestFit="1" customWidth="1"/>
    <col min="9483" max="9483" width="9.28515625" style="1307" bestFit="1" customWidth="1"/>
    <col min="9484" max="9729" width="9.140625" style="1307"/>
    <col min="9730" max="9730" width="6.42578125" style="1307" customWidth="1"/>
    <col min="9731" max="9731" width="45" style="1307" customWidth="1"/>
    <col min="9732" max="9732" width="8" style="1307" customWidth="1"/>
    <col min="9733" max="9733" width="9.7109375" style="1307" customWidth="1"/>
    <col min="9734" max="9734" width="10.5703125" style="1307" customWidth="1"/>
    <col min="9735" max="9735" width="12.7109375" style="1307" customWidth="1"/>
    <col min="9736" max="9736" width="10.7109375" style="1307" customWidth="1"/>
    <col min="9737" max="9737" width="16.28515625" style="1307" customWidth="1"/>
    <col min="9738" max="9738" width="12.140625" style="1307" bestFit="1" customWidth="1"/>
    <col min="9739" max="9739" width="9.28515625" style="1307" bestFit="1" customWidth="1"/>
    <col min="9740" max="9985" width="9.140625" style="1307"/>
    <col min="9986" max="9986" width="6.42578125" style="1307" customWidth="1"/>
    <col min="9987" max="9987" width="45" style="1307" customWidth="1"/>
    <col min="9988" max="9988" width="8" style="1307" customWidth="1"/>
    <col min="9989" max="9989" width="9.7109375" style="1307" customWidth="1"/>
    <col min="9990" max="9990" width="10.5703125" style="1307" customWidth="1"/>
    <col min="9991" max="9991" width="12.7109375" style="1307" customWidth="1"/>
    <col min="9992" max="9992" width="10.7109375" style="1307" customWidth="1"/>
    <col min="9993" max="9993" width="16.28515625" style="1307" customWidth="1"/>
    <col min="9994" max="9994" width="12.140625" style="1307" bestFit="1" customWidth="1"/>
    <col min="9995" max="9995" width="9.28515625" style="1307" bestFit="1" customWidth="1"/>
    <col min="9996" max="10241" width="9.140625" style="1307"/>
    <col min="10242" max="10242" width="6.42578125" style="1307" customWidth="1"/>
    <col min="10243" max="10243" width="45" style="1307" customWidth="1"/>
    <col min="10244" max="10244" width="8" style="1307" customWidth="1"/>
    <col min="10245" max="10245" width="9.7109375" style="1307" customWidth="1"/>
    <col min="10246" max="10246" width="10.5703125" style="1307" customWidth="1"/>
    <col min="10247" max="10247" width="12.7109375" style="1307" customWidth="1"/>
    <col min="10248" max="10248" width="10.7109375" style="1307" customWidth="1"/>
    <col min="10249" max="10249" width="16.28515625" style="1307" customWidth="1"/>
    <col min="10250" max="10250" width="12.140625" style="1307" bestFit="1" customWidth="1"/>
    <col min="10251" max="10251" width="9.28515625" style="1307" bestFit="1" customWidth="1"/>
    <col min="10252" max="10497" width="9.140625" style="1307"/>
    <col min="10498" max="10498" width="6.42578125" style="1307" customWidth="1"/>
    <col min="10499" max="10499" width="45" style="1307" customWidth="1"/>
    <col min="10500" max="10500" width="8" style="1307" customWidth="1"/>
    <col min="10501" max="10501" width="9.7109375" style="1307" customWidth="1"/>
    <col min="10502" max="10502" width="10.5703125" style="1307" customWidth="1"/>
    <col min="10503" max="10503" width="12.7109375" style="1307" customWidth="1"/>
    <col min="10504" max="10504" width="10.7109375" style="1307" customWidth="1"/>
    <col min="10505" max="10505" width="16.28515625" style="1307" customWidth="1"/>
    <col min="10506" max="10506" width="12.140625" style="1307" bestFit="1" customWidth="1"/>
    <col min="10507" max="10507" width="9.28515625" style="1307" bestFit="1" customWidth="1"/>
    <col min="10508" max="10753" width="9.140625" style="1307"/>
    <col min="10754" max="10754" width="6.42578125" style="1307" customWidth="1"/>
    <col min="10755" max="10755" width="45" style="1307" customWidth="1"/>
    <col min="10756" max="10756" width="8" style="1307" customWidth="1"/>
    <col min="10757" max="10757" width="9.7109375" style="1307" customWidth="1"/>
    <col min="10758" max="10758" width="10.5703125" style="1307" customWidth="1"/>
    <col min="10759" max="10759" width="12.7109375" style="1307" customWidth="1"/>
    <col min="10760" max="10760" width="10.7109375" style="1307" customWidth="1"/>
    <col min="10761" max="10761" width="16.28515625" style="1307" customWidth="1"/>
    <col min="10762" max="10762" width="12.140625" style="1307" bestFit="1" customWidth="1"/>
    <col min="10763" max="10763" width="9.28515625" style="1307" bestFit="1" customWidth="1"/>
    <col min="10764" max="11009" width="9.140625" style="1307"/>
    <col min="11010" max="11010" width="6.42578125" style="1307" customWidth="1"/>
    <col min="11011" max="11011" width="45" style="1307" customWidth="1"/>
    <col min="11012" max="11012" width="8" style="1307" customWidth="1"/>
    <col min="11013" max="11013" width="9.7109375" style="1307" customWidth="1"/>
    <col min="11014" max="11014" width="10.5703125" style="1307" customWidth="1"/>
    <col min="11015" max="11015" width="12.7109375" style="1307" customWidth="1"/>
    <col min="11016" max="11016" width="10.7109375" style="1307" customWidth="1"/>
    <col min="11017" max="11017" width="16.28515625" style="1307" customWidth="1"/>
    <col min="11018" max="11018" width="12.140625" style="1307" bestFit="1" customWidth="1"/>
    <col min="11019" max="11019" width="9.28515625" style="1307" bestFit="1" customWidth="1"/>
    <col min="11020" max="11265" width="9.140625" style="1307"/>
    <col min="11266" max="11266" width="6.42578125" style="1307" customWidth="1"/>
    <col min="11267" max="11267" width="45" style="1307" customWidth="1"/>
    <col min="11268" max="11268" width="8" style="1307" customWidth="1"/>
    <col min="11269" max="11269" width="9.7109375" style="1307" customWidth="1"/>
    <col min="11270" max="11270" width="10.5703125" style="1307" customWidth="1"/>
    <col min="11271" max="11271" width="12.7109375" style="1307" customWidth="1"/>
    <col min="11272" max="11272" width="10.7109375" style="1307" customWidth="1"/>
    <col min="11273" max="11273" width="16.28515625" style="1307" customWidth="1"/>
    <col min="11274" max="11274" width="12.140625" style="1307" bestFit="1" customWidth="1"/>
    <col min="11275" max="11275" width="9.28515625" style="1307" bestFit="1" customWidth="1"/>
    <col min="11276" max="11521" width="9.140625" style="1307"/>
    <col min="11522" max="11522" width="6.42578125" style="1307" customWidth="1"/>
    <col min="11523" max="11523" width="45" style="1307" customWidth="1"/>
    <col min="11524" max="11524" width="8" style="1307" customWidth="1"/>
    <col min="11525" max="11525" width="9.7109375" style="1307" customWidth="1"/>
    <col min="11526" max="11526" width="10.5703125" style="1307" customWidth="1"/>
    <col min="11527" max="11527" width="12.7109375" style="1307" customWidth="1"/>
    <col min="11528" max="11528" width="10.7109375" style="1307" customWidth="1"/>
    <col min="11529" max="11529" width="16.28515625" style="1307" customWidth="1"/>
    <col min="11530" max="11530" width="12.140625" style="1307" bestFit="1" customWidth="1"/>
    <col min="11531" max="11531" width="9.28515625" style="1307" bestFit="1" customWidth="1"/>
    <col min="11532" max="11777" width="9.140625" style="1307"/>
    <col min="11778" max="11778" width="6.42578125" style="1307" customWidth="1"/>
    <col min="11779" max="11779" width="45" style="1307" customWidth="1"/>
    <col min="11780" max="11780" width="8" style="1307" customWidth="1"/>
    <col min="11781" max="11781" width="9.7109375" style="1307" customWidth="1"/>
    <col min="11782" max="11782" width="10.5703125" style="1307" customWidth="1"/>
    <col min="11783" max="11783" width="12.7109375" style="1307" customWidth="1"/>
    <col min="11784" max="11784" width="10.7109375" style="1307" customWidth="1"/>
    <col min="11785" max="11785" width="16.28515625" style="1307" customWidth="1"/>
    <col min="11786" max="11786" width="12.140625" style="1307" bestFit="1" customWidth="1"/>
    <col min="11787" max="11787" width="9.28515625" style="1307" bestFit="1" customWidth="1"/>
    <col min="11788" max="12033" width="9.140625" style="1307"/>
    <col min="12034" max="12034" width="6.42578125" style="1307" customWidth="1"/>
    <col min="12035" max="12035" width="45" style="1307" customWidth="1"/>
    <col min="12036" max="12036" width="8" style="1307" customWidth="1"/>
    <col min="12037" max="12037" width="9.7109375" style="1307" customWidth="1"/>
    <col min="12038" max="12038" width="10.5703125" style="1307" customWidth="1"/>
    <col min="12039" max="12039" width="12.7109375" style="1307" customWidth="1"/>
    <col min="12040" max="12040" width="10.7109375" style="1307" customWidth="1"/>
    <col min="12041" max="12041" width="16.28515625" style="1307" customWidth="1"/>
    <col min="12042" max="12042" width="12.140625" style="1307" bestFit="1" customWidth="1"/>
    <col min="12043" max="12043" width="9.28515625" style="1307" bestFit="1" customWidth="1"/>
    <col min="12044" max="12289" width="9.140625" style="1307"/>
    <col min="12290" max="12290" width="6.42578125" style="1307" customWidth="1"/>
    <col min="12291" max="12291" width="45" style="1307" customWidth="1"/>
    <col min="12292" max="12292" width="8" style="1307" customWidth="1"/>
    <col min="12293" max="12293" width="9.7109375" style="1307" customWidth="1"/>
    <col min="12294" max="12294" width="10.5703125" style="1307" customWidth="1"/>
    <col min="12295" max="12295" width="12.7109375" style="1307" customWidth="1"/>
    <col min="12296" max="12296" width="10.7109375" style="1307" customWidth="1"/>
    <col min="12297" max="12297" width="16.28515625" style="1307" customWidth="1"/>
    <col min="12298" max="12298" width="12.140625" style="1307" bestFit="1" customWidth="1"/>
    <col min="12299" max="12299" width="9.28515625" style="1307" bestFit="1" customWidth="1"/>
    <col min="12300" max="12545" width="9.140625" style="1307"/>
    <col min="12546" max="12546" width="6.42578125" style="1307" customWidth="1"/>
    <col min="12547" max="12547" width="45" style="1307" customWidth="1"/>
    <col min="12548" max="12548" width="8" style="1307" customWidth="1"/>
    <col min="12549" max="12549" width="9.7109375" style="1307" customWidth="1"/>
    <col min="12550" max="12550" width="10.5703125" style="1307" customWidth="1"/>
    <col min="12551" max="12551" width="12.7109375" style="1307" customWidth="1"/>
    <col min="12552" max="12552" width="10.7109375" style="1307" customWidth="1"/>
    <col min="12553" max="12553" width="16.28515625" style="1307" customWidth="1"/>
    <col min="12554" max="12554" width="12.140625" style="1307" bestFit="1" customWidth="1"/>
    <col min="12555" max="12555" width="9.28515625" style="1307" bestFit="1" customWidth="1"/>
    <col min="12556" max="12801" width="9.140625" style="1307"/>
    <col min="12802" max="12802" width="6.42578125" style="1307" customWidth="1"/>
    <col min="12803" max="12803" width="45" style="1307" customWidth="1"/>
    <col min="12804" max="12804" width="8" style="1307" customWidth="1"/>
    <col min="12805" max="12805" width="9.7109375" style="1307" customWidth="1"/>
    <col min="12806" max="12806" width="10.5703125" style="1307" customWidth="1"/>
    <col min="12807" max="12807" width="12.7109375" style="1307" customWidth="1"/>
    <col min="12808" max="12808" width="10.7109375" style="1307" customWidth="1"/>
    <col min="12809" max="12809" width="16.28515625" style="1307" customWidth="1"/>
    <col min="12810" max="12810" width="12.140625" style="1307" bestFit="1" customWidth="1"/>
    <col min="12811" max="12811" width="9.28515625" style="1307" bestFit="1" customWidth="1"/>
    <col min="12812" max="13057" width="9.140625" style="1307"/>
    <col min="13058" max="13058" width="6.42578125" style="1307" customWidth="1"/>
    <col min="13059" max="13059" width="45" style="1307" customWidth="1"/>
    <col min="13060" max="13060" width="8" style="1307" customWidth="1"/>
    <col min="13061" max="13061" width="9.7109375" style="1307" customWidth="1"/>
    <col min="13062" max="13062" width="10.5703125" style="1307" customWidth="1"/>
    <col min="13063" max="13063" width="12.7109375" style="1307" customWidth="1"/>
    <col min="13064" max="13064" width="10.7109375" style="1307" customWidth="1"/>
    <col min="13065" max="13065" width="16.28515625" style="1307" customWidth="1"/>
    <col min="13066" max="13066" width="12.140625" style="1307" bestFit="1" customWidth="1"/>
    <col min="13067" max="13067" width="9.28515625" style="1307" bestFit="1" customWidth="1"/>
    <col min="13068" max="13313" width="9.140625" style="1307"/>
    <col min="13314" max="13314" width="6.42578125" style="1307" customWidth="1"/>
    <col min="13315" max="13315" width="45" style="1307" customWidth="1"/>
    <col min="13316" max="13316" width="8" style="1307" customWidth="1"/>
    <col min="13317" max="13317" width="9.7109375" style="1307" customWidth="1"/>
    <col min="13318" max="13318" width="10.5703125" style="1307" customWidth="1"/>
    <col min="13319" max="13319" width="12.7109375" style="1307" customWidth="1"/>
    <col min="13320" max="13320" width="10.7109375" style="1307" customWidth="1"/>
    <col min="13321" max="13321" width="16.28515625" style="1307" customWidth="1"/>
    <col min="13322" max="13322" width="12.140625" style="1307" bestFit="1" customWidth="1"/>
    <col min="13323" max="13323" width="9.28515625" style="1307" bestFit="1" customWidth="1"/>
    <col min="13324" max="13569" width="9.140625" style="1307"/>
    <col min="13570" max="13570" width="6.42578125" style="1307" customWidth="1"/>
    <col min="13571" max="13571" width="45" style="1307" customWidth="1"/>
    <col min="13572" max="13572" width="8" style="1307" customWidth="1"/>
    <col min="13573" max="13573" width="9.7109375" style="1307" customWidth="1"/>
    <col min="13574" max="13574" width="10.5703125" style="1307" customWidth="1"/>
    <col min="13575" max="13575" width="12.7109375" style="1307" customWidth="1"/>
    <col min="13576" max="13576" width="10.7109375" style="1307" customWidth="1"/>
    <col min="13577" max="13577" width="16.28515625" style="1307" customWidth="1"/>
    <col min="13578" max="13578" width="12.140625" style="1307" bestFit="1" customWidth="1"/>
    <col min="13579" max="13579" width="9.28515625" style="1307" bestFit="1" customWidth="1"/>
    <col min="13580" max="13825" width="9.140625" style="1307"/>
    <col min="13826" max="13826" width="6.42578125" style="1307" customWidth="1"/>
    <col min="13827" max="13827" width="45" style="1307" customWidth="1"/>
    <col min="13828" max="13828" width="8" style="1307" customWidth="1"/>
    <col min="13829" max="13829" width="9.7109375" style="1307" customWidth="1"/>
    <col min="13830" max="13830" width="10.5703125" style="1307" customWidth="1"/>
    <col min="13831" max="13831" width="12.7109375" style="1307" customWidth="1"/>
    <col min="13832" max="13832" width="10.7109375" style="1307" customWidth="1"/>
    <col min="13833" max="13833" width="16.28515625" style="1307" customWidth="1"/>
    <col min="13834" max="13834" width="12.140625" style="1307" bestFit="1" customWidth="1"/>
    <col min="13835" max="13835" width="9.28515625" style="1307" bestFit="1" customWidth="1"/>
    <col min="13836" max="14081" width="9.140625" style="1307"/>
    <col min="14082" max="14082" width="6.42578125" style="1307" customWidth="1"/>
    <col min="14083" max="14083" width="45" style="1307" customWidth="1"/>
    <col min="14084" max="14084" width="8" style="1307" customWidth="1"/>
    <col min="14085" max="14085" width="9.7109375" style="1307" customWidth="1"/>
    <col min="14086" max="14086" width="10.5703125" style="1307" customWidth="1"/>
    <col min="14087" max="14087" width="12.7109375" style="1307" customWidth="1"/>
    <col min="14088" max="14088" width="10.7109375" style="1307" customWidth="1"/>
    <col min="14089" max="14089" width="16.28515625" style="1307" customWidth="1"/>
    <col min="14090" max="14090" width="12.140625" style="1307" bestFit="1" customWidth="1"/>
    <col min="14091" max="14091" width="9.28515625" style="1307" bestFit="1" customWidth="1"/>
    <col min="14092" max="14337" width="9.140625" style="1307"/>
    <col min="14338" max="14338" width="6.42578125" style="1307" customWidth="1"/>
    <col min="14339" max="14339" width="45" style="1307" customWidth="1"/>
    <col min="14340" max="14340" width="8" style="1307" customWidth="1"/>
    <col min="14341" max="14341" width="9.7109375" style="1307" customWidth="1"/>
    <col min="14342" max="14342" width="10.5703125" style="1307" customWidth="1"/>
    <col min="14343" max="14343" width="12.7109375" style="1307" customWidth="1"/>
    <col min="14344" max="14344" width="10.7109375" style="1307" customWidth="1"/>
    <col min="14345" max="14345" width="16.28515625" style="1307" customWidth="1"/>
    <col min="14346" max="14346" width="12.140625" style="1307" bestFit="1" customWidth="1"/>
    <col min="14347" max="14347" width="9.28515625" style="1307" bestFit="1" customWidth="1"/>
    <col min="14348" max="14593" width="9.140625" style="1307"/>
    <col min="14594" max="14594" width="6.42578125" style="1307" customWidth="1"/>
    <col min="14595" max="14595" width="45" style="1307" customWidth="1"/>
    <col min="14596" max="14596" width="8" style="1307" customWidth="1"/>
    <col min="14597" max="14597" width="9.7109375" style="1307" customWidth="1"/>
    <col min="14598" max="14598" width="10.5703125" style="1307" customWidth="1"/>
    <col min="14599" max="14599" width="12.7109375" style="1307" customWidth="1"/>
    <col min="14600" max="14600" width="10.7109375" style="1307" customWidth="1"/>
    <col min="14601" max="14601" width="16.28515625" style="1307" customWidth="1"/>
    <col min="14602" max="14602" width="12.140625" style="1307" bestFit="1" customWidth="1"/>
    <col min="14603" max="14603" width="9.28515625" style="1307" bestFit="1" customWidth="1"/>
    <col min="14604" max="14849" width="9.140625" style="1307"/>
    <col min="14850" max="14850" width="6.42578125" style="1307" customWidth="1"/>
    <col min="14851" max="14851" width="45" style="1307" customWidth="1"/>
    <col min="14852" max="14852" width="8" style="1307" customWidth="1"/>
    <col min="14853" max="14853" width="9.7109375" style="1307" customWidth="1"/>
    <col min="14854" max="14854" width="10.5703125" style="1307" customWidth="1"/>
    <col min="14855" max="14855" width="12.7109375" style="1307" customWidth="1"/>
    <col min="14856" max="14856" width="10.7109375" style="1307" customWidth="1"/>
    <col min="14857" max="14857" width="16.28515625" style="1307" customWidth="1"/>
    <col min="14858" max="14858" width="12.140625" style="1307" bestFit="1" customWidth="1"/>
    <col min="14859" max="14859" width="9.28515625" style="1307" bestFit="1" customWidth="1"/>
    <col min="14860" max="15105" width="9.140625" style="1307"/>
    <col min="15106" max="15106" width="6.42578125" style="1307" customWidth="1"/>
    <col min="15107" max="15107" width="45" style="1307" customWidth="1"/>
    <col min="15108" max="15108" width="8" style="1307" customWidth="1"/>
    <col min="15109" max="15109" width="9.7109375" style="1307" customWidth="1"/>
    <col min="15110" max="15110" width="10.5703125" style="1307" customWidth="1"/>
    <col min="15111" max="15111" width="12.7109375" style="1307" customWidth="1"/>
    <col min="15112" max="15112" width="10.7109375" style="1307" customWidth="1"/>
    <col min="15113" max="15113" width="16.28515625" style="1307" customWidth="1"/>
    <col min="15114" max="15114" width="12.140625" style="1307" bestFit="1" customWidth="1"/>
    <col min="15115" max="15115" width="9.28515625" style="1307" bestFit="1" customWidth="1"/>
    <col min="15116" max="15361" width="9.140625" style="1307"/>
    <col min="15362" max="15362" width="6.42578125" style="1307" customWidth="1"/>
    <col min="15363" max="15363" width="45" style="1307" customWidth="1"/>
    <col min="15364" max="15364" width="8" style="1307" customWidth="1"/>
    <col min="15365" max="15365" width="9.7109375" style="1307" customWidth="1"/>
    <col min="15366" max="15366" width="10.5703125" style="1307" customWidth="1"/>
    <col min="15367" max="15367" width="12.7109375" style="1307" customWidth="1"/>
    <col min="15368" max="15368" width="10.7109375" style="1307" customWidth="1"/>
    <col min="15369" max="15369" width="16.28515625" style="1307" customWidth="1"/>
    <col min="15370" max="15370" width="12.140625" style="1307" bestFit="1" customWidth="1"/>
    <col min="15371" max="15371" width="9.28515625" style="1307" bestFit="1" customWidth="1"/>
    <col min="15372" max="15617" width="9.140625" style="1307"/>
    <col min="15618" max="15618" width="6.42578125" style="1307" customWidth="1"/>
    <col min="15619" max="15619" width="45" style="1307" customWidth="1"/>
    <col min="15620" max="15620" width="8" style="1307" customWidth="1"/>
    <col min="15621" max="15621" width="9.7109375" style="1307" customWidth="1"/>
    <col min="15622" max="15622" width="10.5703125" style="1307" customWidth="1"/>
    <col min="15623" max="15623" width="12.7109375" style="1307" customWidth="1"/>
    <col min="15624" max="15624" width="10.7109375" style="1307" customWidth="1"/>
    <col min="15625" max="15625" width="16.28515625" style="1307" customWidth="1"/>
    <col min="15626" max="15626" width="12.140625" style="1307" bestFit="1" customWidth="1"/>
    <col min="15627" max="15627" width="9.28515625" style="1307" bestFit="1" customWidth="1"/>
    <col min="15628" max="15873" width="9.140625" style="1307"/>
    <col min="15874" max="15874" width="6.42578125" style="1307" customWidth="1"/>
    <col min="15875" max="15875" width="45" style="1307" customWidth="1"/>
    <col min="15876" max="15876" width="8" style="1307" customWidth="1"/>
    <col min="15877" max="15877" width="9.7109375" style="1307" customWidth="1"/>
    <col min="15878" max="15878" width="10.5703125" style="1307" customWidth="1"/>
    <col min="15879" max="15879" width="12.7109375" style="1307" customWidth="1"/>
    <col min="15880" max="15880" width="10.7109375" style="1307" customWidth="1"/>
    <col min="15881" max="15881" width="16.28515625" style="1307" customWidth="1"/>
    <col min="15882" max="15882" width="12.140625" style="1307" bestFit="1" customWidth="1"/>
    <col min="15883" max="15883" width="9.28515625" style="1307" bestFit="1" customWidth="1"/>
    <col min="15884" max="16129" width="9.140625" style="1307"/>
    <col min="16130" max="16130" width="6.42578125" style="1307" customWidth="1"/>
    <col min="16131" max="16131" width="45" style="1307" customWidth="1"/>
    <col min="16132" max="16132" width="8" style="1307" customWidth="1"/>
    <col min="16133" max="16133" width="9.7109375" style="1307" customWidth="1"/>
    <col min="16134" max="16134" width="10.5703125" style="1307" customWidth="1"/>
    <col min="16135" max="16135" width="12.7109375" style="1307" customWidth="1"/>
    <col min="16136" max="16136" width="10.7109375" style="1307" customWidth="1"/>
    <col min="16137" max="16137" width="16.28515625" style="1307" customWidth="1"/>
    <col min="16138" max="16138" width="12.140625" style="1307" bestFit="1" customWidth="1"/>
    <col min="16139" max="16139" width="9.28515625" style="1307" bestFit="1" customWidth="1"/>
    <col min="16140" max="16384" width="9.140625" style="1307"/>
  </cols>
  <sheetData>
    <row r="1" spans="2:16" s="340" customFormat="1">
      <c r="B1" s="1286" t="s">
        <v>1257</v>
      </c>
      <c r="C1" s="1286"/>
      <c r="D1" s="1286"/>
      <c r="E1" s="1286"/>
      <c r="F1" s="1286"/>
      <c r="G1" s="1286"/>
      <c r="H1" s="2053"/>
      <c r="I1" s="2053"/>
      <c r="N1" s="341"/>
      <c r="O1" s="341"/>
    </row>
    <row r="2" spans="2:16" s="340" customFormat="1">
      <c r="B2" s="1286" t="s">
        <v>1208</v>
      </c>
      <c r="C2" s="1286"/>
      <c r="D2" s="1286"/>
      <c r="E2" s="1286"/>
      <c r="F2" s="1286"/>
      <c r="G2" s="1286"/>
      <c r="H2" s="2054"/>
      <c r="I2" s="2054"/>
      <c r="N2" s="341"/>
      <c r="O2" s="341"/>
    </row>
    <row r="3" spans="2:16" s="340" customFormat="1">
      <c r="B3" s="1286" t="s">
        <v>1258</v>
      </c>
      <c r="C3" s="1286"/>
      <c r="D3" s="1286"/>
      <c r="E3" s="1286"/>
      <c r="F3" s="1286"/>
      <c r="G3" s="1286"/>
      <c r="H3" s="2054" t="s">
        <v>1792</v>
      </c>
      <c r="I3" s="2054"/>
      <c r="N3" s="1287"/>
      <c r="O3" s="1287"/>
    </row>
    <row r="4" spans="2:16" s="340" customFormat="1">
      <c r="B4" s="1286" t="s">
        <v>1209</v>
      </c>
      <c r="C4" s="1286"/>
      <c r="D4" s="1286"/>
      <c r="E4" s="1286"/>
      <c r="F4" s="1286"/>
      <c r="G4" s="1286"/>
      <c r="H4" s="1286"/>
      <c r="I4" s="1286"/>
      <c r="N4" s="341"/>
      <c r="O4" s="341"/>
      <c r="P4" s="341"/>
    </row>
    <row r="5" spans="2:16" s="340" customFormat="1">
      <c r="B5" s="1286"/>
      <c r="C5" s="1286"/>
      <c r="D5" s="1286"/>
      <c r="E5" s="1286"/>
      <c r="F5" s="1286"/>
      <c r="G5" s="1286"/>
      <c r="H5" s="1286"/>
      <c r="I5" s="1286"/>
      <c r="N5" s="341"/>
      <c r="O5" s="341"/>
      <c r="P5" s="341"/>
    </row>
    <row r="6" spans="2:16">
      <c r="B6" s="2055" t="s">
        <v>1492</v>
      </c>
      <c r="C6" s="2055" t="s">
        <v>0</v>
      </c>
      <c r="D6" s="2055" t="s">
        <v>1491</v>
      </c>
      <c r="E6" s="2055" t="s">
        <v>1489</v>
      </c>
      <c r="F6" s="2055"/>
      <c r="G6" s="2055"/>
      <c r="H6" s="2055" t="s">
        <v>1308</v>
      </c>
      <c r="I6" s="2055"/>
    </row>
    <row r="7" spans="2:16">
      <c r="B7" s="2146"/>
      <c r="C7" s="2146"/>
      <c r="D7" s="2146"/>
      <c r="E7" s="1419" t="s">
        <v>1487</v>
      </c>
      <c r="F7" s="1419" t="s">
        <v>1488</v>
      </c>
      <c r="G7" s="1419" t="s">
        <v>1486</v>
      </c>
      <c r="H7" s="1419" t="s">
        <v>1487</v>
      </c>
      <c r="I7" s="1419" t="s">
        <v>1486</v>
      </c>
    </row>
    <row r="8" spans="2:16">
      <c r="B8" s="1496"/>
      <c r="C8" s="1551" t="s">
        <v>1485</v>
      </c>
      <c r="D8" s="1493"/>
      <c r="E8" s="1493"/>
      <c r="F8" s="1582"/>
      <c r="G8" s="1493"/>
      <c r="H8" s="1493"/>
      <c r="I8" s="1583"/>
    </row>
    <row r="9" spans="2:16">
      <c r="B9" s="1497"/>
      <c r="C9" s="1547" t="s">
        <v>1484</v>
      </c>
      <c r="D9" s="1448"/>
      <c r="E9" s="1448"/>
      <c r="F9" s="1571"/>
      <c r="G9" s="1448"/>
      <c r="H9" s="1448"/>
      <c r="I9" s="1572"/>
    </row>
    <row r="10" spans="2:16" ht="18">
      <c r="B10" s="1498">
        <v>1.1000000000000001</v>
      </c>
      <c r="C10" s="1453" t="s">
        <v>1483</v>
      </c>
      <c r="D10" s="1451" t="s">
        <v>3201</v>
      </c>
      <c r="E10" s="1451">
        <v>343</v>
      </c>
      <c r="F10" s="1451">
        <v>8</v>
      </c>
      <c r="G10" s="1451">
        <f>E10*F10</f>
        <v>2744</v>
      </c>
      <c r="H10" s="1451">
        <f>'Diagno. Sub TOS'!D14</f>
        <v>301.72500000000002</v>
      </c>
      <c r="I10" s="1573">
        <f>F10*H10</f>
        <v>2413.8000000000002</v>
      </c>
    </row>
    <row r="11" spans="2:16" ht="18">
      <c r="B11" s="1498">
        <v>1.2</v>
      </c>
      <c r="C11" s="1453" t="s">
        <v>1482</v>
      </c>
      <c r="D11" s="1451" t="s">
        <v>3200</v>
      </c>
      <c r="E11" s="1451">
        <v>349</v>
      </c>
      <c r="F11" s="1451">
        <v>70</v>
      </c>
      <c r="G11" s="1451">
        <f t="shared" ref="G11:G69" si="0">E11*F11</f>
        <v>24430</v>
      </c>
      <c r="H11" s="1451">
        <f>'Diagno. Sub TOS'!D29+'Diagno. Sub TOS'!D42</f>
        <v>62.550000000000004</v>
      </c>
      <c r="I11" s="1573">
        <f t="shared" ref="I11:I70" si="1">F11*H11</f>
        <v>4378.5</v>
      </c>
    </row>
    <row r="12" spans="2:16" ht="18">
      <c r="B12" s="1498">
        <v>1.3</v>
      </c>
      <c r="C12" s="1453" t="s">
        <v>1481</v>
      </c>
      <c r="D12" s="1451" t="s">
        <v>3200</v>
      </c>
      <c r="E12" s="1451">
        <f>E11/3</f>
        <v>116.33333333333333</v>
      </c>
      <c r="F12" s="1451">
        <v>70</v>
      </c>
      <c r="G12" s="1451">
        <f t="shared" si="0"/>
        <v>8143.333333333333</v>
      </c>
      <c r="H12" s="1451"/>
      <c r="I12" s="1573">
        <f t="shared" si="1"/>
        <v>0</v>
      </c>
    </row>
    <row r="13" spans="2:16" ht="18">
      <c r="B13" s="1498">
        <v>1.4</v>
      </c>
      <c r="C13" s="1453" t="s">
        <v>1480</v>
      </c>
      <c r="D13" s="1451" t="s">
        <v>3200</v>
      </c>
      <c r="E13" s="1451">
        <f>E12+E11</f>
        <v>465.33333333333331</v>
      </c>
      <c r="F13" s="1451">
        <v>150</v>
      </c>
      <c r="G13" s="1451">
        <f t="shared" si="0"/>
        <v>69800</v>
      </c>
      <c r="H13" s="1451">
        <f>'Diagno. Sub TOS'!H20</f>
        <v>93.740550000000013</v>
      </c>
      <c r="I13" s="1573">
        <f t="shared" si="1"/>
        <v>14061.082500000002</v>
      </c>
    </row>
    <row r="14" spans="2:16" ht="18">
      <c r="B14" s="1498">
        <v>1.5</v>
      </c>
      <c r="C14" s="1453" t="s">
        <v>1479</v>
      </c>
      <c r="D14" s="1451" t="s">
        <v>3200</v>
      </c>
      <c r="E14" s="1451">
        <f>E13+(0.3*E10)</f>
        <v>568.23333333333335</v>
      </c>
      <c r="F14" s="1451">
        <v>70</v>
      </c>
      <c r="G14" s="1451">
        <f t="shared" si="0"/>
        <v>39776.333333333336</v>
      </c>
      <c r="H14" s="1451">
        <f>'Diagno. Sub TOS'!H40</f>
        <v>153.0675</v>
      </c>
      <c r="I14" s="1573">
        <f t="shared" si="1"/>
        <v>10714.725</v>
      </c>
    </row>
    <row r="15" spans="2:16" ht="18">
      <c r="B15" s="1499">
        <v>1.6</v>
      </c>
      <c r="C15" s="1483" t="s">
        <v>1497</v>
      </c>
      <c r="D15" s="1479" t="s">
        <v>3201</v>
      </c>
      <c r="E15" s="1479">
        <v>213</v>
      </c>
      <c r="F15" s="1479">
        <v>200</v>
      </c>
      <c r="G15" s="1479">
        <f t="shared" si="0"/>
        <v>42600</v>
      </c>
      <c r="H15" s="1479">
        <f>'Diagno. Sub TOS'!H54</f>
        <v>202.63750000000002</v>
      </c>
      <c r="I15" s="1575">
        <f t="shared" si="1"/>
        <v>40527.5</v>
      </c>
    </row>
    <row r="16" spans="2:16">
      <c r="B16" s="2058" t="s">
        <v>1330</v>
      </c>
      <c r="C16" s="2058"/>
      <c r="D16" s="2058"/>
      <c r="E16" s="1481"/>
      <c r="F16" s="1481"/>
      <c r="G16" s="1481">
        <f>SUM(G10:G15)</f>
        <v>187493.66666666669</v>
      </c>
      <c r="H16" s="1481"/>
      <c r="I16" s="1565">
        <f>SUM(I10:I15)</f>
        <v>72095.607500000013</v>
      </c>
    </row>
    <row r="17" spans="2:9">
      <c r="B17" s="1500"/>
      <c r="C17" s="1554" t="s">
        <v>1477</v>
      </c>
      <c r="D17" s="1484"/>
      <c r="E17" s="1484"/>
      <c r="F17" s="1484"/>
      <c r="G17" s="1484"/>
      <c r="H17" s="1484"/>
      <c r="I17" s="1576"/>
    </row>
    <row r="18" spans="2:9" ht="18">
      <c r="B18" s="1498">
        <v>2.1</v>
      </c>
      <c r="C18" s="1453" t="s">
        <v>1476</v>
      </c>
      <c r="D18" s="1451" t="s">
        <v>3201</v>
      </c>
      <c r="E18" s="1451">
        <v>70</v>
      </c>
      <c r="F18" s="1451">
        <v>150</v>
      </c>
      <c r="G18" s="1451">
        <f t="shared" si="0"/>
        <v>10500</v>
      </c>
      <c r="H18" s="1451">
        <f>'Diagno. Sub TOS'!H64</f>
        <v>49.14</v>
      </c>
      <c r="I18" s="1573">
        <f t="shared" si="1"/>
        <v>7371</v>
      </c>
    </row>
    <row r="19" spans="2:9" ht="18">
      <c r="B19" s="1498">
        <v>2.2000000000000002</v>
      </c>
      <c r="C19" s="1453" t="s">
        <v>1475</v>
      </c>
      <c r="D19" s="1451" t="s">
        <v>3201</v>
      </c>
      <c r="E19" s="1451">
        <v>18</v>
      </c>
      <c r="F19" s="1451">
        <v>150</v>
      </c>
      <c r="G19" s="1451">
        <f t="shared" si="0"/>
        <v>2700</v>
      </c>
      <c r="H19" s="1451"/>
      <c r="I19" s="1573">
        <f t="shared" si="1"/>
        <v>0</v>
      </c>
    </row>
    <row r="20" spans="2:9" ht="18">
      <c r="B20" s="1498">
        <v>2.2999999999999998</v>
      </c>
      <c r="C20" s="1453" t="s">
        <v>1474</v>
      </c>
      <c r="D20" s="1451" t="s">
        <v>3201</v>
      </c>
      <c r="E20" s="1451">
        <v>213</v>
      </c>
      <c r="F20" s="1451">
        <v>400</v>
      </c>
      <c r="G20" s="1451">
        <f t="shared" si="0"/>
        <v>85200</v>
      </c>
      <c r="H20" s="1451">
        <f>'Diagno. Sub TOS'!D78</f>
        <v>202.63750000000002</v>
      </c>
      <c r="I20" s="1573">
        <f t="shared" si="1"/>
        <v>81055</v>
      </c>
    </row>
    <row r="21" spans="2:9" ht="18">
      <c r="B21" s="1498">
        <v>2.4</v>
      </c>
      <c r="C21" s="1453" t="s">
        <v>1473</v>
      </c>
      <c r="D21" s="1451" t="s">
        <v>3200</v>
      </c>
      <c r="E21" s="1451">
        <v>22</v>
      </c>
      <c r="F21" s="1451">
        <v>3200</v>
      </c>
      <c r="G21" s="1451">
        <f t="shared" si="0"/>
        <v>70400</v>
      </c>
      <c r="H21" s="1451">
        <f>'Diagno. Sub TOS'!D89</f>
        <v>12.555</v>
      </c>
      <c r="I21" s="1573">
        <f t="shared" si="1"/>
        <v>40176</v>
      </c>
    </row>
    <row r="22" spans="2:9">
      <c r="B22" s="1498"/>
      <c r="C22" s="1453" t="s">
        <v>1568</v>
      </c>
      <c r="D22" s="1451"/>
      <c r="E22" s="1451"/>
      <c r="F22" s="1451"/>
      <c r="G22" s="1451"/>
      <c r="H22" s="1451"/>
      <c r="I22" s="1573"/>
    </row>
    <row r="23" spans="2:9" ht="18">
      <c r="B23" s="1498">
        <v>2.7</v>
      </c>
      <c r="C23" s="1453" t="s">
        <v>1</v>
      </c>
      <c r="D23" s="1451" t="s">
        <v>3201</v>
      </c>
      <c r="E23" s="1451">
        <v>70</v>
      </c>
      <c r="F23" s="1451">
        <v>120</v>
      </c>
      <c r="G23" s="1451">
        <f t="shared" si="0"/>
        <v>8400</v>
      </c>
      <c r="H23" s="1451">
        <f>'Diagno. Sub TOS'!D102</f>
        <v>98.240000000000009</v>
      </c>
      <c r="I23" s="1573">
        <f t="shared" si="1"/>
        <v>11788.800000000001</v>
      </c>
    </row>
    <row r="24" spans="2:9" ht="18">
      <c r="B24" s="1501">
        <v>2.1</v>
      </c>
      <c r="C24" s="1453" t="s">
        <v>2</v>
      </c>
      <c r="D24" s="1451" t="s">
        <v>3201</v>
      </c>
      <c r="E24" s="1451">
        <v>5</v>
      </c>
      <c r="F24" s="1451">
        <v>150</v>
      </c>
      <c r="G24" s="1451">
        <f t="shared" si="0"/>
        <v>750</v>
      </c>
      <c r="H24" s="1451"/>
      <c r="I24" s="1573">
        <f t="shared" si="1"/>
        <v>0</v>
      </c>
    </row>
    <row r="25" spans="2:9">
      <c r="B25" s="1501"/>
      <c r="C25" s="1453" t="s">
        <v>1454</v>
      </c>
      <c r="D25" s="1451"/>
      <c r="E25" s="1451"/>
      <c r="F25" s="1451"/>
      <c r="G25" s="1451"/>
      <c r="H25" s="1451"/>
      <c r="I25" s="1573"/>
    </row>
    <row r="26" spans="2:9">
      <c r="B26" s="1501">
        <v>2.11</v>
      </c>
      <c r="C26" s="1453" t="s">
        <v>1468</v>
      </c>
      <c r="D26" s="1451" t="s">
        <v>1450</v>
      </c>
      <c r="E26" s="1451">
        <v>1008</v>
      </c>
      <c r="F26" s="1451">
        <v>36</v>
      </c>
      <c r="G26" s="1451">
        <f t="shared" si="0"/>
        <v>36288</v>
      </c>
      <c r="H26" s="1451">
        <f>'Diagno. Sub TOS'!D106</f>
        <v>1054.2609</v>
      </c>
      <c r="I26" s="1573">
        <f t="shared" si="1"/>
        <v>37953.392399999997</v>
      </c>
    </row>
    <row r="27" spans="2:9">
      <c r="B27" s="1501">
        <v>2.12</v>
      </c>
      <c r="C27" s="1453" t="s">
        <v>1467</v>
      </c>
      <c r="D27" s="1451" t="s">
        <v>1450</v>
      </c>
      <c r="E27" s="1451">
        <v>555</v>
      </c>
      <c r="F27" s="1451">
        <v>36</v>
      </c>
      <c r="G27" s="1451">
        <f t="shared" si="0"/>
        <v>19980</v>
      </c>
      <c r="H27" s="1451"/>
      <c r="I27" s="1573">
        <f t="shared" si="1"/>
        <v>0</v>
      </c>
    </row>
    <row r="28" spans="2:9">
      <c r="B28" s="1501">
        <v>2.13</v>
      </c>
      <c r="C28" s="1453" t="s">
        <v>1451</v>
      </c>
      <c r="D28" s="1451" t="s">
        <v>1450</v>
      </c>
      <c r="E28" s="1451">
        <v>1496</v>
      </c>
      <c r="F28" s="1451">
        <v>36</v>
      </c>
      <c r="G28" s="1451">
        <f t="shared" si="0"/>
        <v>53856</v>
      </c>
      <c r="H28" s="1451">
        <f>'Diagno. Sub TOS'!D109</f>
        <v>1260.85185</v>
      </c>
      <c r="I28" s="1573">
        <f t="shared" si="1"/>
        <v>45390.666599999997</v>
      </c>
    </row>
    <row r="29" spans="2:9">
      <c r="B29" s="1502">
        <v>2.14</v>
      </c>
      <c r="C29" s="1483" t="s">
        <v>1466</v>
      </c>
      <c r="D29" s="1479" t="s">
        <v>1406</v>
      </c>
      <c r="E29" s="1479">
        <v>208</v>
      </c>
      <c r="F29" s="1479">
        <v>30</v>
      </c>
      <c r="G29" s="1479">
        <f t="shared" si="0"/>
        <v>6240</v>
      </c>
      <c r="H29" s="1479">
        <f>'Diagno. Sub TOS'!D119</f>
        <v>182.9</v>
      </c>
      <c r="I29" s="1575">
        <f t="shared" si="1"/>
        <v>5487</v>
      </c>
    </row>
    <row r="30" spans="2:9">
      <c r="B30" s="2058" t="s">
        <v>1330</v>
      </c>
      <c r="C30" s="2058"/>
      <c r="D30" s="2058"/>
      <c r="E30" s="1481"/>
      <c r="F30" s="1481"/>
      <c r="G30" s="1481">
        <f>SUM(G18:G29)</f>
        <v>294314</v>
      </c>
      <c r="H30" s="1481"/>
      <c r="I30" s="1565">
        <f>SUM(I18:I29)</f>
        <v>229221.859</v>
      </c>
    </row>
    <row r="31" spans="2:9">
      <c r="B31" s="1500"/>
      <c r="C31" s="1554" t="s">
        <v>1465</v>
      </c>
      <c r="D31" s="1484"/>
      <c r="E31" s="1484"/>
      <c r="F31" s="1484"/>
      <c r="G31" s="1484"/>
      <c r="H31" s="1484"/>
      <c r="I31" s="1576"/>
    </row>
    <row r="32" spans="2:9" ht="18">
      <c r="B32" s="1498">
        <v>3.1</v>
      </c>
      <c r="C32" s="1453" t="s">
        <v>1464</v>
      </c>
      <c r="D32" s="1451" t="s">
        <v>3200</v>
      </c>
      <c r="E32" s="1451">
        <v>70</v>
      </c>
      <c r="F32" s="1451">
        <v>1250</v>
      </c>
      <c r="G32" s="1451">
        <f t="shared" si="0"/>
        <v>87500</v>
      </c>
      <c r="H32" s="1451">
        <f>'Diagno. Sub TOS'!H76</f>
        <v>22.604400000000005</v>
      </c>
      <c r="I32" s="1573">
        <f t="shared" si="1"/>
        <v>28255.500000000007</v>
      </c>
    </row>
    <row r="33" spans="2:9" ht="18">
      <c r="B33" s="1499">
        <v>3.2</v>
      </c>
      <c r="C33" s="1483" t="s">
        <v>1463</v>
      </c>
      <c r="D33" s="1479" t="s">
        <v>3200</v>
      </c>
      <c r="E33" s="1479">
        <v>14</v>
      </c>
      <c r="F33" s="1479">
        <v>1450</v>
      </c>
      <c r="G33" s="1479">
        <f t="shared" si="0"/>
        <v>20300</v>
      </c>
      <c r="H33" s="1479">
        <f>'Diagno. Sub TOS'!H88</f>
        <v>5.9114000000000004</v>
      </c>
      <c r="I33" s="1575">
        <f t="shared" si="1"/>
        <v>8571.5300000000007</v>
      </c>
    </row>
    <row r="34" spans="2:9">
      <c r="B34" s="2058" t="s">
        <v>1330</v>
      </c>
      <c r="C34" s="2058"/>
      <c r="D34" s="2058"/>
      <c r="E34" s="1481"/>
      <c r="F34" s="1481"/>
      <c r="G34" s="1481">
        <f>SUM(G32:G33)</f>
        <v>107800</v>
      </c>
      <c r="H34" s="1481"/>
      <c r="I34" s="1565">
        <f>SUM(I32:I33)</f>
        <v>36827.030000000006</v>
      </c>
    </row>
    <row r="35" spans="2:9">
      <c r="B35" s="1500"/>
      <c r="C35" s="1485" t="s">
        <v>1462</v>
      </c>
      <c r="D35" s="1484"/>
      <c r="E35" s="1484"/>
      <c r="F35" s="1484"/>
      <c r="G35" s="1484"/>
      <c r="H35" s="1484"/>
      <c r="I35" s="1576"/>
    </row>
    <row r="36" spans="2:9">
      <c r="B36" s="1501"/>
      <c r="C36" s="1548" t="s">
        <v>1461</v>
      </c>
      <c r="D36" s="1451"/>
      <c r="E36" s="1451"/>
      <c r="F36" s="1451"/>
      <c r="G36" s="1451"/>
      <c r="H36" s="1451"/>
      <c r="I36" s="1573"/>
    </row>
    <row r="37" spans="2:9">
      <c r="B37" s="1501"/>
      <c r="C37" s="1453" t="s">
        <v>1460</v>
      </c>
      <c r="D37" s="1451"/>
      <c r="E37" s="1451"/>
      <c r="F37" s="1451"/>
      <c r="G37" s="1451"/>
      <c r="H37" s="1451"/>
      <c r="I37" s="1573"/>
    </row>
    <row r="38" spans="2:9" ht="18">
      <c r="B38" s="1498">
        <v>1.1000000000000001</v>
      </c>
      <c r="C38" s="1453" t="s">
        <v>1459</v>
      </c>
      <c r="D38" s="1451" t="s">
        <v>3200</v>
      </c>
      <c r="E38" s="1451">
        <v>2</v>
      </c>
      <c r="F38" s="1451">
        <v>3200</v>
      </c>
      <c r="G38" s="1451">
        <f t="shared" si="0"/>
        <v>6400</v>
      </c>
      <c r="H38" s="1451">
        <f>'Diagno Super TOS'!D13</f>
        <v>1.9656000000000002</v>
      </c>
      <c r="I38" s="1573">
        <f t="shared" si="1"/>
        <v>6289.920000000001</v>
      </c>
    </row>
    <row r="39" spans="2:9" ht="18">
      <c r="B39" s="1498">
        <v>1.2</v>
      </c>
      <c r="C39" s="1453" t="s">
        <v>1458</v>
      </c>
      <c r="D39" s="1451" t="s">
        <v>3200</v>
      </c>
      <c r="E39" s="1451">
        <v>8</v>
      </c>
      <c r="F39" s="1451">
        <v>3200</v>
      </c>
      <c r="G39" s="1451">
        <f t="shared" si="0"/>
        <v>25600</v>
      </c>
      <c r="H39" s="1451">
        <f>'Diagno Super TOS'!D36</f>
        <v>8.5890000000000004</v>
      </c>
      <c r="I39" s="1573">
        <f t="shared" si="1"/>
        <v>27484.800000000003</v>
      </c>
    </row>
    <row r="40" spans="2:9" ht="18">
      <c r="B40" s="1498">
        <v>1.3</v>
      </c>
      <c r="C40" s="1453" t="s">
        <v>3</v>
      </c>
      <c r="D40" s="1451" t="s">
        <v>3200</v>
      </c>
      <c r="E40" s="1451">
        <v>0.8</v>
      </c>
      <c r="F40" s="1451">
        <v>3200</v>
      </c>
      <c r="G40" s="1451">
        <f t="shared" si="0"/>
        <v>2560</v>
      </c>
      <c r="H40" s="1451">
        <f>'Diagno Super TOS'!D63</f>
        <v>0.89700000000000002</v>
      </c>
      <c r="I40" s="1573">
        <f t="shared" si="1"/>
        <v>2870.4</v>
      </c>
    </row>
    <row r="41" spans="2:9">
      <c r="B41" s="1498"/>
      <c r="C41" s="1453" t="s">
        <v>1568</v>
      </c>
      <c r="D41" s="1451"/>
      <c r="E41" s="1451"/>
      <c r="F41" s="1451"/>
      <c r="G41" s="1451">
        <f t="shared" si="0"/>
        <v>0</v>
      </c>
      <c r="H41" s="1451"/>
      <c r="I41" s="1573">
        <f t="shared" si="1"/>
        <v>0</v>
      </c>
    </row>
    <row r="42" spans="2:9" ht="18">
      <c r="B42" s="1498">
        <v>1.4</v>
      </c>
      <c r="C42" s="1453" t="s">
        <v>1456</v>
      </c>
      <c r="D42" s="1451" t="s">
        <v>3201</v>
      </c>
      <c r="E42" s="1451">
        <v>47</v>
      </c>
      <c r="F42" s="1451">
        <v>130</v>
      </c>
      <c r="G42" s="1451">
        <f t="shared" si="0"/>
        <v>6110</v>
      </c>
      <c r="H42" s="1451">
        <f>'Diagno Super TOS'!H11</f>
        <v>39.312000000000005</v>
      </c>
      <c r="I42" s="1573">
        <f t="shared" si="1"/>
        <v>5110.5600000000004</v>
      </c>
    </row>
    <row r="43" spans="2:9" ht="18">
      <c r="B43" s="1498">
        <v>1.5</v>
      </c>
      <c r="C43" s="1453" t="s">
        <v>1455</v>
      </c>
      <c r="D43" s="1451" t="s">
        <v>3201</v>
      </c>
      <c r="E43" s="1451">
        <v>111</v>
      </c>
      <c r="F43" s="1451">
        <v>130</v>
      </c>
      <c r="G43" s="1451">
        <f t="shared" si="0"/>
        <v>14430</v>
      </c>
      <c r="H43" s="1451">
        <f>'Diagno Super TOS'!H35</f>
        <v>113.52000000000001</v>
      </c>
      <c r="I43" s="1573">
        <f t="shared" si="1"/>
        <v>14757.600000000002</v>
      </c>
    </row>
    <row r="44" spans="2:9" ht="18">
      <c r="B44" s="1498">
        <v>1.6</v>
      </c>
      <c r="C44" s="1453" t="s">
        <v>3</v>
      </c>
      <c r="D44" s="1451" t="s">
        <v>3201</v>
      </c>
      <c r="E44" s="1451">
        <v>9</v>
      </c>
      <c r="F44" s="1451">
        <v>130</v>
      </c>
      <c r="G44" s="1451">
        <f t="shared" si="0"/>
        <v>1170</v>
      </c>
      <c r="H44" s="1451">
        <f>'Diagno Super TOS'!H56</f>
        <v>14.482000000000005</v>
      </c>
      <c r="I44" s="1573">
        <f t="shared" si="1"/>
        <v>1882.6600000000005</v>
      </c>
    </row>
    <row r="45" spans="2:9">
      <c r="B45" s="1498"/>
      <c r="C45" s="1453" t="s">
        <v>1454</v>
      </c>
      <c r="D45" s="1451"/>
      <c r="E45" s="1451"/>
      <c r="F45" s="1451"/>
      <c r="G45" s="1451"/>
      <c r="H45" s="1451"/>
      <c r="I45" s="1573"/>
    </row>
    <row r="46" spans="2:9">
      <c r="B46" s="1498">
        <v>1.7</v>
      </c>
      <c r="C46" s="1453" t="s">
        <v>1453</v>
      </c>
      <c r="D46" s="1451" t="s">
        <v>1450</v>
      </c>
      <c r="E46" s="1451">
        <v>0</v>
      </c>
      <c r="F46" s="1451"/>
      <c r="G46" s="1451"/>
      <c r="H46" s="1451"/>
      <c r="I46" s="1573"/>
    </row>
    <row r="47" spans="2:9">
      <c r="B47" s="1498">
        <v>1.8</v>
      </c>
      <c r="C47" s="1453" t="s">
        <v>1452</v>
      </c>
      <c r="D47" s="1451" t="s">
        <v>1450</v>
      </c>
      <c r="E47" s="1451">
        <v>1028</v>
      </c>
      <c r="F47" s="1451">
        <v>36</v>
      </c>
      <c r="G47" s="1451">
        <f t="shared" si="0"/>
        <v>37008</v>
      </c>
      <c r="H47" s="1451">
        <f>'Diagno Super TOS'!H60</f>
        <v>1084.7364</v>
      </c>
      <c r="I47" s="1573">
        <f t="shared" si="1"/>
        <v>39050.510399999999</v>
      </c>
    </row>
    <row r="48" spans="2:9">
      <c r="B48" s="1498">
        <v>1.9</v>
      </c>
      <c r="C48" s="1453" t="s">
        <v>1451</v>
      </c>
      <c r="D48" s="1451" t="s">
        <v>1450</v>
      </c>
      <c r="E48" s="1451">
        <v>294</v>
      </c>
      <c r="F48" s="1451">
        <v>36</v>
      </c>
      <c r="G48" s="1451">
        <f t="shared" si="0"/>
        <v>10584</v>
      </c>
      <c r="H48" s="1451">
        <f>'Diagno Super TOS'!H64</f>
        <v>355.46050000000002</v>
      </c>
      <c r="I48" s="1573">
        <f t="shared" si="1"/>
        <v>12796.578000000001</v>
      </c>
    </row>
    <row r="49" spans="2:9">
      <c r="B49" s="1502">
        <v>1.1000000000000001</v>
      </c>
      <c r="C49" s="1483" t="s">
        <v>1499</v>
      </c>
      <c r="D49" s="1479" t="s">
        <v>1450</v>
      </c>
      <c r="E49" s="1479">
        <v>0</v>
      </c>
      <c r="F49" s="1479">
        <v>36</v>
      </c>
      <c r="G49" s="1479">
        <f t="shared" si="0"/>
        <v>0</v>
      </c>
      <c r="H49" s="1479"/>
      <c r="I49" s="1575">
        <f t="shared" si="1"/>
        <v>0</v>
      </c>
    </row>
    <row r="50" spans="2:9">
      <c r="B50" s="2058" t="s">
        <v>1330</v>
      </c>
      <c r="C50" s="2058"/>
      <c r="D50" s="2058"/>
      <c r="E50" s="1481"/>
      <c r="F50" s="1481"/>
      <c r="G50" s="1481">
        <f>SUM(G38:G49)</f>
        <v>103862</v>
      </c>
      <c r="H50" s="1481"/>
      <c r="I50" s="1565">
        <f>SUM(I38:I49)</f>
        <v>110243.02840000001</v>
      </c>
    </row>
    <row r="51" spans="2:9">
      <c r="B51" s="1500"/>
      <c r="C51" s="1556" t="s">
        <v>1449</v>
      </c>
      <c r="D51" s="1484"/>
      <c r="E51" s="1484"/>
      <c r="F51" s="1484"/>
      <c r="G51" s="1484"/>
      <c r="H51" s="1484"/>
      <c r="I51" s="1576"/>
    </row>
    <row r="52" spans="2:9">
      <c r="B52" s="1501"/>
      <c r="C52" s="1453" t="s">
        <v>1448</v>
      </c>
      <c r="D52" s="1451"/>
      <c r="E52" s="1451"/>
      <c r="F52" s="1451"/>
      <c r="G52" s="1451"/>
      <c r="H52" s="1451"/>
      <c r="I52" s="1573"/>
    </row>
    <row r="53" spans="2:9" ht="18">
      <c r="B53" s="1498">
        <v>2.1</v>
      </c>
      <c r="C53" s="1453" t="s">
        <v>1447</v>
      </c>
      <c r="D53" s="1451" t="s">
        <v>3201</v>
      </c>
      <c r="E53" s="1451">
        <v>134</v>
      </c>
      <c r="F53" s="1451">
        <v>350</v>
      </c>
      <c r="G53" s="1451">
        <f t="shared" si="0"/>
        <v>46900</v>
      </c>
      <c r="H53" s="1451">
        <f>'Diagno Super TOS'!D102</f>
        <v>148.44749999999999</v>
      </c>
      <c r="I53" s="1573">
        <f t="shared" si="1"/>
        <v>51956.625</v>
      </c>
    </row>
    <row r="54" spans="2:9" ht="18">
      <c r="B54" s="1499">
        <v>2.2000000000000002</v>
      </c>
      <c r="C54" s="1483" t="s">
        <v>1446</v>
      </c>
      <c r="D54" s="1479" t="s">
        <v>3201</v>
      </c>
      <c r="E54" s="1479">
        <v>200</v>
      </c>
      <c r="F54" s="1479">
        <v>320</v>
      </c>
      <c r="G54" s="1479">
        <f t="shared" si="0"/>
        <v>64000</v>
      </c>
      <c r="H54" s="1479">
        <f>'Diagno Super TOS'!D152</f>
        <v>263.4495</v>
      </c>
      <c r="I54" s="1575">
        <f t="shared" si="1"/>
        <v>84303.84</v>
      </c>
    </row>
    <row r="55" spans="2:9">
      <c r="B55" s="2058" t="s">
        <v>1330</v>
      </c>
      <c r="C55" s="2058"/>
      <c r="D55" s="2058"/>
      <c r="E55" s="1481"/>
      <c r="F55" s="1481"/>
      <c r="G55" s="1481">
        <f>SUM(G53:G54)</f>
        <v>110900</v>
      </c>
      <c r="H55" s="1481"/>
      <c r="I55" s="1565">
        <f>SUM(I53:I54)</f>
        <v>136260.465</v>
      </c>
    </row>
    <row r="56" spans="2:9">
      <c r="B56" s="1500"/>
      <c r="C56" s="1554" t="s">
        <v>1443</v>
      </c>
      <c r="D56" s="1484"/>
      <c r="E56" s="1484"/>
      <c r="F56" s="1484"/>
      <c r="G56" s="1484"/>
      <c r="H56" s="1484"/>
      <c r="I56" s="1576"/>
    </row>
    <row r="57" spans="2:9" ht="18">
      <c r="B57" s="1498">
        <v>3.1</v>
      </c>
      <c r="C57" s="1453" t="s">
        <v>1442</v>
      </c>
      <c r="D57" s="1451" t="s">
        <v>3201</v>
      </c>
      <c r="E57" s="1451">
        <v>319.41000000000003</v>
      </c>
      <c r="F57" s="1451">
        <v>360</v>
      </c>
      <c r="G57" s="1451">
        <f t="shared" si="0"/>
        <v>114987.6</v>
      </c>
      <c r="H57" s="1451">
        <f>'Diagno Super TOS'!D158</f>
        <v>313.6825</v>
      </c>
      <c r="I57" s="1573">
        <f t="shared" si="1"/>
        <v>112925.7</v>
      </c>
    </row>
    <row r="58" spans="2:9" ht="18">
      <c r="B58" s="1498">
        <v>3.2</v>
      </c>
      <c r="C58" s="1456" t="s">
        <v>1606</v>
      </c>
      <c r="D58" s="1451" t="s">
        <v>3201</v>
      </c>
      <c r="E58" s="1451">
        <v>43</v>
      </c>
      <c r="F58" s="1451">
        <v>160</v>
      </c>
      <c r="G58" s="1451">
        <f t="shared" si="0"/>
        <v>6880</v>
      </c>
      <c r="H58" s="1451">
        <f>'Diagno Super TOS'!D167</f>
        <v>37.049999999999997</v>
      </c>
      <c r="I58" s="1573">
        <f t="shared" si="1"/>
        <v>5928</v>
      </c>
    </row>
    <row r="59" spans="2:9">
      <c r="B59" s="1498">
        <v>3.3</v>
      </c>
      <c r="C59" s="1453" t="s">
        <v>1440</v>
      </c>
      <c r="D59" s="1451" t="s">
        <v>1406</v>
      </c>
      <c r="E59" s="1451">
        <v>72</v>
      </c>
      <c r="F59" s="1451">
        <v>110</v>
      </c>
      <c r="G59" s="1451">
        <f t="shared" si="0"/>
        <v>7920</v>
      </c>
      <c r="H59" s="1451">
        <f>'Diagno Super TOS'!D176</f>
        <v>50.95</v>
      </c>
      <c r="I59" s="1573">
        <f t="shared" si="1"/>
        <v>5604.5</v>
      </c>
    </row>
    <row r="60" spans="2:9">
      <c r="B60" s="1499">
        <v>3.4</v>
      </c>
      <c r="C60" s="1490" t="s">
        <v>1439</v>
      </c>
      <c r="D60" s="1483" t="s">
        <v>1406</v>
      </c>
      <c r="E60" s="1479">
        <v>48</v>
      </c>
      <c r="F60" s="1479">
        <v>120</v>
      </c>
      <c r="G60" s="1479">
        <f t="shared" si="0"/>
        <v>5760</v>
      </c>
      <c r="H60" s="1479">
        <f>'Diagno Super TOS'!D182</f>
        <v>48.2</v>
      </c>
      <c r="I60" s="1575">
        <f t="shared" si="1"/>
        <v>5784</v>
      </c>
    </row>
    <row r="61" spans="2:9">
      <c r="B61" s="2058" t="s">
        <v>1330</v>
      </c>
      <c r="C61" s="2058"/>
      <c r="D61" s="2058"/>
      <c r="E61" s="1481"/>
      <c r="F61" s="1481"/>
      <c r="G61" s="1481">
        <f>SUM(G57:G60)</f>
        <v>135547.6</v>
      </c>
      <c r="H61" s="1481"/>
      <c r="I61" s="1565">
        <f>SUM(I57:I60)</f>
        <v>130242.2</v>
      </c>
    </row>
    <row r="62" spans="2:9">
      <c r="B62" s="1500"/>
      <c r="C62" s="1554" t="s">
        <v>1438</v>
      </c>
      <c r="D62" s="1484"/>
      <c r="E62" s="1484"/>
      <c r="F62" s="1484"/>
      <c r="G62" s="1484"/>
      <c r="H62" s="1484"/>
      <c r="I62" s="1576"/>
    </row>
    <row r="63" spans="2:9">
      <c r="B63" s="1498">
        <v>4.0999999999999996</v>
      </c>
      <c r="C63" s="1453" t="s">
        <v>1437</v>
      </c>
      <c r="D63" s="1451" t="s">
        <v>1406</v>
      </c>
      <c r="E63" s="1451">
        <v>425.17</v>
      </c>
      <c r="F63" s="1451">
        <v>23</v>
      </c>
      <c r="G63" s="1451">
        <f t="shared" si="0"/>
        <v>9778.91</v>
      </c>
      <c r="H63" s="1451">
        <f>'Diagno Super TOS'!H133</f>
        <v>487.08000000000004</v>
      </c>
      <c r="I63" s="1573">
        <f t="shared" si="1"/>
        <v>11202.84</v>
      </c>
    </row>
    <row r="64" spans="2:9" ht="31.5">
      <c r="B64" s="1498">
        <v>4.2</v>
      </c>
      <c r="C64" s="1459" t="s">
        <v>1607</v>
      </c>
      <c r="D64" s="1451" t="s">
        <v>1406</v>
      </c>
      <c r="E64" s="1451">
        <v>268.60000000000002</v>
      </c>
      <c r="F64" s="1451">
        <v>16</v>
      </c>
      <c r="G64" s="1451">
        <f t="shared" si="0"/>
        <v>4297.6000000000004</v>
      </c>
      <c r="H64" s="1451">
        <f>'Diagno Super TOS'!H143</f>
        <v>544.67999999999995</v>
      </c>
      <c r="I64" s="1573">
        <f t="shared" si="1"/>
        <v>8714.8799999999992</v>
      </c>
    </row>
    <row r="65" spans="2:9">
      <c r="B65" s="1498">
        <v>4.3</v>
      </c>
      <c r="C65" s="1453" t="s">
        <v>1435</v>
      </c>
      <c r="D65" s="1451" t="s">
        <v>1406</v>
      </c>
      <c r="E65" s="1451">
        <v>238</v>
      </c>
      <c r="F65" s="1451">
        <v>33</v>
      </c>
      <c r="G65" s="1451">
        <f t="shared" si="0"/>
        <v>7854</v>
      </c>
      <c r="H65" s="1451">
        <f>'Diagno Super TOS'!H148</f>
        <v>416.7</v>
      </c>
      <c r="I65" s="1573">
        <f t="shared" si="1"/>
        <v>13751.1</v>
      </c>
    </row>
    <row r="66" spans="2:9">
      <c r="B66" s="1498">
        <v>4.4000000000000004</v>
      </c>
      <c r="C66" s="1453" t="s">
        <v>1434</v>
      </c>
      <c r="D66" s="1451" t="s">
        <v>1406</v>
      </c>
      <c r="E66" s="1451">
        <v>50.5</v>
      </c>
      <c r="F66" s="1451">
        <v>71</v>
      </c>
      <c r="G66" s="1451">
        <f t="shared" si="0"/>
        <v>3585.5</v>
      </c>
      <c r="H66" s="1451">
        <f>'Diagno Super TOS'!H157</f>
        <v>74.099999999999994</v>
      </c>
      <c r="I66" s="1573">
        <f t="shared" si="1"/>
        <v>5261.0999999999995</v>
      </c>
    </row>
    <row r="67" spans="2:9">
      <c r="B67" s="1498"/>
      <c r="C67" s="1453" t="s">
        <v>1433</v>
      </c>
      <c r="D67" s="1451"/>
      <c r="E67" s="1451"/>
      <c r="F67" s="1451"/>
      <c r="G67" s="1451">
        <f t="shared" si="0"/>
        <v>0</v>
      </c>
      <c r="H67" s="1451"/>
      <c r="I67" s="1573">
        <f t="shared" si="1"/>
        <v>0</v>
      </c>
    </row>
    <row r="68" spans="2:9">
      <c r="B68" s="1498">
        <v>4.5</v>
      </c>
      <c r="C68" s="1453" t="s">
        <v>1431</v>
      </c>
      <c r="D68" s="1451" t="s">
        <v>1416</v>
      </c>
      <c r="E68" s="1451">
        <v>7</v>
      </c>
      <c r="F68" s="1451">
        <v>4149.6000000000004</v>
      </c>
      <c r="G68" s="1451">
        <f t="shared" si="0"/>
        <v>29047.200000000004</v>
      </c>
      <c r="H68" s="1451">
        <f>'Diagno Super TOS'!H162</f>
        <v>6</v>
      </c>
      <c r="I68" s="1573">
        <f t="shared" si="1"/>
        <v>24897.600000000002</v>
      </c>
    </row>
    <row r="69" spans="2:9">
      <c r="B69" s="1498">
        <v>4.5999999999999996</v>
      </c>
      <c r="C69" s="1453" t="s">
        <v>1430</v>
      </c>
      <c r="D69" s="1451" t="s">
        <v>1416</v>
      </c>
      <c r="E69" s="1451">
        <v>6</v>
      </c>
      <c r="F69" s="1451">
        <v>3630.9</v>
      </c>
      <c r="G69" s="1451">
        <f t="shared" si="0"/>
        <v>21785.4</v>
      </c>
      <c r="H69" s="1451">
        <f>'Diagno Super TOS'!H166</f>
        <v>2</v>
      </c>
      <c r="I69" s="1573">
        <f t="shared" si="1"/>
        <v>7261.8</v>
      </c>
    </row>
    <row r="70" spans="2:9">
      <c r="B70" s="1499">
        <v>4.7</v>
      </c>
      <c r="C70" s="1483" t="s">
        <v>1429</v>
      </c>
      <c r="D70" s="1479" t="s">
        <v>1416</v>
      </c>
      <c r="E70" s="1479">
        <v>10</v>
      </c>
      <c r="F70" s="1479">
        <f>1900*0.9*2.73</f>
        <v>4668.3</v>
      </c>
      <c r="G70" s="1478"/>
      <c r="H70" s="1479">
        <f>'Diagno Super TOS'!H170</f>
        <v>1</v>
      </c>
      <c r="I70" s="1575">
        <f t="shared" si="1"/>
        <v>4668.3</v>
      </c>
    </row>
    <row r="71" spans="2:9">
      <c r="B71" s="2058" t="s">
        <v>1330</v>
      </c>
      <c r="C71" s="2058"/>
      <c r="D71" s="2058"/>
      <c r="E71" s="1481"/>
      <c r="F71" s="1481"/>
      <c r="G71" s="1481">
        <f>SUM(G63:G70)</f>
        <v>76348.610000000015</v>
      </c>
      <c r="H71" s="1481"/>
      <c r="I71" s="1565">
        <f>SUM(I63:I70)</f>
        <v>75757.62000000001</v>
      </c>
    </row>
    <row r="72" spans="2:9">
      <c r="B72" s="1500"/>
      <c r="C72" s="1554" t="s">
        <v>1428</v>
      </c>
      <c r="D72" s="1484"/>
      <c r="E72" s="1484"/>
      <c r="F72" s="1484"/>
      <c r="G72" s="1484"/>
      <c r="H72" s="1484"/>
      <c r="I72" s="1576"/>
    </row>
    <row r="73" spans="2:9">
      <c r="B73" s="1498"/>
      <c r="C73" s="1453" t="s">
        <v>1427</v>
      </c>
      <c r="D73" s="1451"/>
      <c r="E73" s="1451"/>
      <c r="F73" s="1451"/>
      <c r="G73" s="1451"/>
      <c r="H73" s="1451"/>
      <c r="I73" s="1573"/>
    </row>
    <row r="74" spans="2:9">
      <c r="B74" s="1498">
        <v>5.0999999999999996</v>
      </c>
      <c r="C74" s="1453" t="s">
        <v>1426</v>
      </c>
      <c r="D74" s="1451" t="s">
        <v>1416</v>
      </c>
      <c r="E74" s="1451">
        <v>6</v>
      </c>
      <c r="F74" s="1451">
        <v>3892.5</v>
      </c>
      <c r="G74" s="1451">
        <f t="shared" ref="G74:G119" si="2">E74*F74</f>
        <v>23355</v>
      </c>
      <c r="H74" s="1451">
        <f>'Diagno Super TOS'!H175</f>
        <v>13</v>
      </c>
      <c r="I74" s="1573">
        <f t="shared" ref="I74:I120" si="3">F74*H74</f>
        <v>50602.5</v>
      </c>
    </row>
    <row r="75" spans="2:9">
      <c r="B75" s="1498">
        <v>5.2</v>
      </c>
      <c r="C75" s="1453" t="s">
        <v>1608</v>
      </c>
      <c r="D75" s="1451" t="s">
        <v>1416</v>
      </c>
      <c r="E75" s="1451">
        <v>2</v>
      </c>
      <c r="F75" s="1451">
        <v>200</v>
      </c>
      <c r="G75" s="1451">
        <f t="shared" si="2"/>
        <v>400</v>
      </c>
      <c r="H75" s="1451"/>
      <c r="I75" s="1573">
        <f t="shared" si="3"/>
        <v>0</v>
      </c>
    </row>
    <row r="76" spans="2:9">
      <c r="B76" s="1498">
        <v>5.3</v>
      </c>
      <c r="C76" s="1453" t="s">
        <v>1425</v>
      </c>
      <c r="D76" s="1451" t="s">
        <v>1416</v>
      </c>
      <c r="E76" s="1451">
        <v>2</v>
      </c>
      <c r="F76" s="1451">
        <v>1800</v>
      </c>
      <c r="G76" s="1451">
        <f t="shared" si="2"/>
        <v>3600</v>
      </c>
      <c r="H76" s="1451"/>
      <c r="I76" s="1573">
        <f t="shared" si="3"/>
        <v>0</v>
      </c>
    </row>
    <row r="77" spans="2:9">
      <c r="B77" s="1498">
        <v>5.4</v>
      </c>
      <c r="C77" s="1453" t="s">
        <v>1609</v>
      </c>
      <c r="D77" s="1451" t="s">
        <v>1416</v>
      </c>
      <c r="E77" s="1451">
        <v>1</v>
      </c>
      <c r="F77" s="1451">
        <v>2200</v>
      </c>
      <c r="G77" s="1451">
        <f t="shared" si="2"/>
        <v>2200</v>
      </c>
      <c r="H77" s="1451"/>
      <c r="I77" s="1573">
        <f t="shared" si="3"/>
        <v>0</v>
      </c>
    </row>
    <row r="78" spans="2:9">
      <c r="B78" s="1498">
        <v>5.5</v>
      </c>
      <c r="C78" s="1453" t="s">
        <v>1610</v>
      </c>
      <c r="D78" s="1451" t="s">
        <v>1416</v>
      </c>
      <c r="E78" s="1451">
        <v>1</v>
      </c>
      <c r="F78" s="1451">
        <v>2200</v>
      </c>
      <c r="G78" s="1451">
        <f t="shared" si="2"/>
        <v>2200</v>
      </c>
      <c r="H78" s="1451"/>
      <c r="I78" s="1573">
        <f t="shared" si="3"/>
        <v>0</v>
      </c>
    </row>
    <row r="79" spans="2:9">
      <c r="B79" s="1498">
        <v>5.6</v>
      </c>
      <c r="C79" s="1453" t="s">
        <v>1611</v>
      </c>
      <c r="D79" s="1451" t="s">
        <v>1416</v>
      </c>
      <c r="E79" s="1451">
        <v>1</v>
      </c>
      <c r="F79" s="1451">
        <v>1600</v>
      </c>
      <c r="G79" s="1451">
        <f t="shared" si="2"/>
        <v>1600</v>
      </c>
      <c r="H79" s="1451">
        <f>'Diagno Super TOS'!H179</f>
        <v>1</v>
      </c>
      <c r="I79" s="1573">
        <f t="shared" si="3"/>
        <v>1600</v>
      </c>
    </row>
    <row r="80" spans="2:9">
      <c r="B80" s="1498">
        <v>5.7</v>
      </c>
      <c r="C80" s="1453" t="s">
        <v>1612</v>
      </c>
      <c r="D80" s="1451" t="s">
        <v>1416</v>
      </c>
      <c r="E80" s="1451">
        <v>1</v>
      </c>
      <c r="F80" s="1451">
        <v>1400</v>
      </c>
      <c r="G80" s="1451">
        <f t="shared" si="2"/>
        <v>1400</v>
      </c>
      <c r="H80" s="1451"/>
      <c r="I80" s="1573">
        <f t="shared" si="3"/>
        <v>0</v>
      </c>
    </row>
    <row r="81" spans="2:9">
      <c r="B81" s="1498">
        <v>5.8</v>
      </c>
      <c r="C81" s="1453" t="s">
        <v>1613</v>
      </c>
      <c r="D81" s="1451" t="s">
        <v>1416</v>
      </c>
      <c r="E81" s="1451">
        <v>1</v>
      </c>
      <c r="F81" s="1451">
        <v>1400</v>
      </c>
      <c r="G81" s="1451">
        <f t="shared" si="2"/>
        <v>1400</v>
      </c>
      <c r="H81" s="1451"/>
      <c r="I81" s="1573">
        <f t="shared" si="3"/>
        <v>0</v>
      </c>
    </row>
    <row r="82" spans="2:9">
      <c r="B82" s="1498">
        <v>5.9</v>
      </c>
      <c r="C82" s="1453" t="s">
        <v>1422</v>
      </c>
      <c r="D82" s="1451" t="s">
        <v>1416</v>
      </c>
      <c r="E82" s="1451">
        <v>2</v>
      </c>
      <c r="F82" s="1451">
        <v>600</v>
      </c>
      <c r="G82" s="1451">
        <f t="shared" si="2"/>
        <v>1200</v>
      </c>
      <c r="H82" s="1451"/>
      <c r="I82" s="1573">
        <f t="shared" si="3"/>
        <v>0</v>
      </c>
    </row>
    <row r="83" spans="2:9">
      <c r="B83" s="1501">
        <v>5.0999999999999996</v>
      </c>
      <c r="C83" s="1453" t="s">
        <v>1614</v>
      </c>
      <c r="D83" s="1451" t="s">
        <v>1416</v>
      </c>
      <c r="E83" s="1451">
        <v>1</v>
      </c>
      <c r="F83" s="1451">
        <v>1700</v>
      </c>
      <c r="G83" s="1451">
        <f t="shared" si="2"/>
        <v>1700</v>
      </c>
      <c r="H83" s="1451"/>
      <c r="I83" s="1573">
        <f t="shared" si="3"/>
        <v>0</v>
      </c>
    </row>
    <row r="84" spans="2:9">
      <c r="B84" s="1501">
        <v>5.1100000000000003</v>
      </c>
      <c r="C84" s="1453" t="s">
        <v>1615</v>
      </c>
      <c r="D84" s="1451" t="s">
        <v>1416</v>
      </c>
      <c r="E84" s="1451">
        <v>1</v>
      </c>
      <c r="F84" s="1451">
        <v>1600</v>
      </c>
      <c r="G84" s="1451">
        <f t="shared" si="2"/>
        <v>1600</v>
      </c>
      <c r="H84" s="1451"/>
      <c r="I84" s="1573">
        <f t="shared" si="3"/>
        <v>0</v>
      </c>
    </row>
    <row r="85" spans="2:9">
      <c r="B85" s="1498"/>
      <c r="C85" s="1453" t="s">
        <v>1420</v>
      </c>
      <c r="D85" s="1451"/>
      <c r="E85" s="1451"/>
      <c r="F85" s="1451"/>
      <c r="G85" s="1451">
        <f t="shared" si="2"/>
        <v>0</v>
      </c>
      <c r="H85" s="1451"/>
      <c r="I85" s="1573">
        <f t="shared" si="3"/>
        <v>0</v>
      </c>
    </row>
    <row r="86" spans="2:9">
      <c r="B86" s="1501">
        <v>5.12</v>
      </c>
      <c r="C86" s="1453" t="s">
        <v>1505</v>
      </c>
      <c r="D86" s="1451" t="s">
        <v>1416</v>
      </c>
      <c r="E86" s="1451">
        <v>3</v>
      </c>
      <c r="F86" s="1451">
        <v>4000</v>
      </c>
      <c r="G86" s="1451">
        <f t="shared" si="2"/>
        <v>12000</v>
      </c>
      <c r="H86" s="1451"/>
      <c r="I86" s="1573">
        <f t="shared" si="3"/>
        <v>0</v>
      </c>
    </row>
    <row r="87" spans="2:9">
      <c r="B87" s="1502">
        <v>5.13</v>
      </c>
      <c r="C87" s="1483" t="s">
        <v>1418</v>
      </c>
      <c r="D87" s="1479" t="s">
        <v>1416</v>
      </c>
      <c r="E87" s="1479">
        <v>4</v>
      </c>
      <c r="F87" s="1479">
        <v>2000</v>
      </c>
      <c r="G87" s="1479">
        <f t="shared" si="2"/>
        <v>8000</v>
      </c>
      <c r="H87" s="1479"/>
      <c r="I87" s="1575">
        <f t="shared" si="3"/>
        <v>0</v>
      </c>
    </row>
    <row r="88" spans="2:9">
      <c r="B88" s="2058" t="s">
        <v>1330</v>
      </c>
      <c r="C88" s="2058"/>
      <c r="D88" s="2058"/>
      <c r="E88" s="1481"/>
      <c r="F88" s="1481"/>
      <c r="G88" s="1481">
        <f>SUM(G74:G87)</f>
        <v>60655</v>
      </c>
      <c r="H88" s="1481"/>
      <c r="I88" s="1565">
        <f>SUM(I74:I87)</f>
        <v>52202.5</v>
      </c>
    </row>
    <row r="89" spans="2:9">
      <c r="B89" s="1500"/>
      <c r="C89" s="1554" t="s">
        <v>1415</v>
      </c>
      <c r="D89" s="1484"/>
      <c r="E89" s="1484"/>
      <c r="F89" s="1484"/>
      <c r="G89" s="1484"/>
      <c r="H89" s="1484"/>
      <c r="I89" s="1576"/>
    </row>
    <row r="90" spans="2:9" ht="18">
      <c r="B90" s="1498">
        <v>6.1</v>
      </c>
      <c r="C90" s="1453" t="s">
        <v>1414</v>
      </c>
      <c r="D90" s="1451" t="s">
        <v>3201</v>
      </c>
      <c r="E90" s="1451">
        <v>184</v>
      </c>
      <c r="F90" s="1451">
        <v>140</v>
      </c>
      <c r="G90" s="1451">
        <f t="shared" si="2"/>
        <v>25760</v>
      </c>
      <c r="H90" s="1451">
        <f>'Diagno Super TOS'!D217</f>
        <v>164.38350000000003</v>
      </c>
      <c r="I90" s="1573">
        <f t="shared" si="3"/>
        <v>23013.690000000002</v>
      </c>
    </row>
    <row r="91" spans="2:9" ht="18">
      <c r="B91" s="1498">
        <v>6.2</v>
      </c>
      <c r="C91" s="1458" t="s">
        <v>1413</v>
      </c>
      <c r="D91" s="1451" t="s">
        <v>3201</v>
      </c>
      <c r="E91" s="1451">
        <v>545</v>
      </c>
      <c r="F91" s="1451">
        <v>150</v>
      </c>
      <c r="G91" s="1451">
        <f t="shared" si="2"/>
        <v>81750</v>
      </c>
      <c r="H91" s="1451">
        <f>'Diagno Super TOS'!D309</f>
        <v>850.06479999999988</v>
      </c>
      <c r="I91" s="1573">
        <f t="shared" si="3"/>
        <v>127509.71999999999</v>
      </c>
    </row>
    <row r="92" spans="2:9" s="1340" customFormat="1" ht="18">
      <c r="B92" s="1498">
        <v>6.3</v>
      </c>
      <c r="C92" s="1453" t="s">
        <v>1412</v>
      </c>
      <c r="D92" s="1451" t="s">
        <v>3201</v>
      </c>
      <c r="E92" s="1451">
        <f>E20</f>
        <v>213</v>
      </c>
      <c r="F92" s="1451">
        <v>310</v>
      </c>
      <c r="G92" s="1451">
        <f t="shared" si="2"/>
        <v>66030</v>
      </c>
      <c r="H92" s="1451"/>
      <c r="I92" s="1573">
        <f t="shared" si="3"/>
        <v>0</v>
      </c>
    </row>
    <row r="93" spans="2:9" ht="31.5">
      <c r="B93" s="1498">
        <v>6.4</v>
      </c>
      <c r="C93" s="1459" t="s">
        <v>1411</v>
      </c>
      <c r="D93" s="1451" t="s">
        <v>3201</v>
      </c>
      <c r="E93" s="1451">
        <v>93</v>
      </c>
      <c r="F93" s="1451">
        <v>370</v>
      </c>
      <c r="G93" s="1451">
        <f t="shared" si="2"/>
        <v>34410</v>
      </c>
      <c r="H93" s="1451"/>
      <c r="I93" s="1573">
        <f t="shared" si="3"/>
        <v>0</v>
      </c>
    </row>
    <row r="94" spans="2:9" ht="18">
      <c r="B94" s="1501">
        <v>6.5</v>
      </c>
      <c r="C94" s="1459" t="s">
        <v>1616</v>
      </c>
      <c r="D94" s="1451" t="s">
        <v>3201</v>
      </c>
      <c r="E94" s="1451">
        <v>213</v>
      </c>
      <c r="F94" s="1451">
        <v>300</v>
      </c>
      <c r="G94" s="1451">
        <f t="shared" si="2"/>
        <v>63900</v>
      </c>
      <c r="H94" s="1451">
        <f>'Diagno Super TOS'!H345</f>
        <v>238.98950000000002</v>
      </c>
      <c r="I94" s="1573">
        <f t="shared" si="3"/>
        <v>71696.850000000006</v>
      </c>
    </row>
    <row r="95" spans="2:9">
      <c r="B95" s="1501">
        <v>6.6</v>
      </c>
      <c r="C95" s="1459" t="s">
        <v>1409</v>
      </c>
      <c r="D95" s="1451" t="s">
        <v>1406</v>
      </c>
      <c r="E95" s="1451">
        <v>208</v>
      </c>
      <c r="F95" s="1451">
        <v>100</v>
      </c>
      <c r="G95" s="1451">
        <f t="shared" si="2"/>
        <v>20800</v>
      </c>
      <c r="H95" s="1451">
        <f>'Diagno Super TOS'!D392</f>
        <v>212.76999999999998</v>
      </c>
      <c r="I95" s="1573">
        <f t="shared" si="3"/>
        <v>21277</v>
      </c>
    </row>
    <row r="96" spans="2:9">
      <c r="B96" s="1501">
        <v>6.7</v>
      </c>
      <c r="C96" s="1459" t="s">
        <v>1617</v>
      </c>
      <c r="D96" s="1451" t="s">
        <v>1406</v>
      </c>
      <c r="E96" s="1451">
        <v>31</v>
      </c>
      <c r="F96" s="1451">
        <v>150</v>
      </c>
      <c r="G96" s="1451">
        <f t="shared" si="2"/>
        <v>4650</v>
      </c>
      <c r="H96" s="1451">
        <f>'Diagno Super TOS'!D414</f>
        <v>23.099999999999998</v>
      </c>
      <c r="I96" s="1573">
        <f t="shared" si="3"/>
        <v>3464.9999999999995</v>
      </c>
    </row>
    <row r="97" spans="2:9">
      <c r="B97" s="1501">
        <v>6.8</v>
      </c>
      <c r="C97" s="1453" t="s">
        <v>1407</v>
      </c>
      <c r="D97" s="1451" t="s">
        <v>1406</v>
      </c>
      <c r="E97" s="1451">
        <v>6</v>
      </c>
      <c r="F97" s="1451">
        <v>70</v>
      </c>
      <c r="G97" s="1451">
        <f t="shared" si="2"/>
        <v>420</v>
      </c>
      <c r="H97" s="1451"/>
      <c r="I97" s="1573">
        <f t="shared" si="3"/>
        <v>0</v>
      </c>
    </row>
    <row r="98" spans="2:9" ht="18">
      <c r="B98" s="1501">
        <v>6.9</v>
      </c>
      <c r="C98" s="1459" t="s">
        <v>1511</v>
      </c>
      <c r="D98" s="1451" t="s">
        <v>3201</v>
      </c>
      <c r="E98" s="1451">
        <v>82</v>
      </c>
      <c r="F98" s="1451">
        <v>530</v>
      </c>
      <c r="G98" s="1451">
        <f t="shared" si="2"/>
        <v>43460</v>
      </c>
      <c r="H98" s="1451">
        <f>'Diagno Super TOS'!H373</f>
        <v>76.56</v>
      </c>
      <c r="I98" s="1573">
        <f t="shared" si="3"/>
        <v>40576.800000000003</v>
      </c>
    </row>
    <row r="99" spans="2:9" ht="31.5">
      <c r="B99" s="1501">
        <v>6.1</v>
      </c>
      <c r="C99" s="1460" t="s">
        <v>1618</v>
      </c>
      <c r="D99" s="1451" t="s">
        <v>1402</v>
      </c>
      <c r="E99" s="1451">
        <v>77</v>
      </c>
      <c r="F99" s="1451">
        <v>100</v>
      </c>
      <c r="G99" s="1451">
        <f t="shared" si="2"/>
        <v>7700</v>
      </c>
      <c r="H99" s="1451">
        <f>'Diagno Super TOS'!H393</f>
        <v>74.100000000000009</v>
      </c>
      <c r="I99" s="1573">
        <f t="shared" si="3"/>
        <v>7410.0000000000009</v>
      </c>
    </row>
    <row r="100" spans="2:9" s="1570" customFormat="1">
      <c r="B100" s="1578"/>
      <c r="C100" s="1579" t="s">
        <v>1403</v>
      </c>
      <c r="D100" s="1580" t="s">
        <v>1402</v>
      </c>
      <c r="E100" s="1580">
        <v>77</v>
      </c>
      <c r="F100" s="1580">
        <v>265</v>
      </c>
      <c r="G100" s="1580">
        <f t="shared" si="2"/>
        <v>20405</v>
      </c>
      <c r="H100" s="1580"/>
      <c r="I100" s="1581">
        <f t="shared" si="3"/>
        <v>0</v>
      </c>
    </row>
    <row r="101" spans="2:9">
      <c r="B101" s="2148" t="s">
        <v>1330</v>
      </c>
      <c r="C101" s="2149"/>
      <c r="D101" s="2150"/>
      <c r="E101" s="1481"/>
      <c r="F101" s="1481"/>
      <c r="G101" s="1481">
        <f>SUM(G90:G100)</f>
        <v>369285</v>
      </c>
      <c r="H101" s="1481"/>
      <c r="I101" s="1565">
        <f>SUM(I90:I100)</f>
        <v>294949.06</v>
      </c>
    </row>
    <row r="102" spans="2:9">
      <c r="B102" s="1500"/>
      <c r="C102" s="1554" t="s">
        <v>1401</v>
      </c>
      <c r="D102" s="1484"/>
      <c r="E102" s="1484"/>
      <c r="F102" s="1484"/>
      <c r="G102" s="1484"/>
      <c r="H102" s="1484"/>
      <c r="I102" s="1576"/>
    </row>
    <row r="103" spans="2:9" ht="18">
      <c r="B103" s="1498">
        <v>7.1</v>
      </c>
      <c r="C103" s="1453" t="s">
        <v>1400</v>
      </c>
      <c r="D103" s="1451" t="s">
        <v>3201</v>
      </c>
      <c r="E103" s="1451">
        <v>545</v>
      </c>
      <c r="F103" s="1451">
        <v>28</v>
      </c>
      <c r="G103" s="1451">
        <f t="shared" si="2"/>
        <v>15260</v>
      </c>
      <c r="H103" s="1451">
        <f>'Diagno Super TOS'!H398</f>
        <v>850.06479999999988</v>
      </c>
      <c r="I103" s="1573">
        <f t="shared" si="3"/>
        <v>23801.814399999996</v>
      </c>
    </row>
    <row r="104" spans="2:9" ht="18">
      <c r="B104" s="1498">
        <v>7.2</v>
      </c>
      <c r="C104" s="1453" t="s">
        <v>1399</v>
      </c>
      <c r="D104" s="1451" t="s">
        <v>3201</v>
      </c>
      <c r="E104" s="1451">
        <v>213</v>
      </c>
      <c r="F104" s="1451">
        <v>28</v>
      </c>
      <c r="G104" s="1451">
        <f t="shared" si="2"/>
        <v>5964</v>
      </c>
      <c r="H104" s="1451"/>
      <c r="I104" s="1573">
        <f t="shared" si="3"/>
        <v>0</v>
      </c>
    </row>
    <row r="105" spans="2:9" ht="18">
      <c r="B105" s="1499">
        <v>7.3</v>
      </c>
      <c r="C105" s="1483" t="s">
        <v>1398</v>
      </c>
      <c r="D105" s="1479" t="s">
        <v>3201</v>
      </c>
      <c r="E105" s="1479">
        <v>169</v>
      </c>
      <c r="F105" s="1479">
        <v>28</v>
      </c>
      <c r="G105" s="1479">
        <f t="shared" si="2"/>
        <v>4732</v>
      </c>
      <c r="H105" s="1479">
        <f>'Diagno Super TOS'!H401</f>
        <v>164.38350000000003</v>
      </c>
      <c r="I105" s="1575">
        <f t="shared" si="3"/>
        <v>4602.7380000000012</v>
      </c>
    </row>
    <row r="106" spans="2:9">
      <c r="B106" s="2148" t="s">
        <v>1330</v>
      </c>
      <c r="C106" s="2149"/>
      <c r="D106" s="2150"/>
      <c r="E106" s="1481"/>
      <c r="F106" s="1481"/>
      <c r="G106" s="1481">
        <f>SUM(G103:G105)</f>
        <v>25956</v>
      </c>
      <c r="H106" s="1481"/>
      <c r="I106" s="1565">
        <f>SUM(I103:I105)</f>
        <v>28404.552399999997</v>
      </c>
    </row>
    <row r="107" spans="2:9">
      <c r="B107" s="1500"/>
      <c r="C107" s="1554" t="s">
        <v>1395</v>
      </c>
      <c r="D107" s="1577"/>
      <c r="E107" s="1484"/>
      <c r="F107" s="1484"/>
      <c r="G107" s="1484"/>
      <c r="H107" s="1484"/>
      <c r="I107" s="1576"/>
    </row>
    <row r="108" spans="2:9">
      <c r="B108" s="1498">
        <v>9.1</v>
      </c>
      <c r="C108" s="1453" t="s">
        <v>1394</v>
      </c>
      <c r="D108" s="1451"/>
      <c r="E108" s="1451"/>
      <c r="F108" s="1451"/>
      <c r="G108" s="1451"/>
      <c r="H108" s="1451"/>
      <c r="I108" s="1573"/>
    </row>
    <row r="109" spans="2:9">
      <c r="B109" s="1498"/>
      <c r="C109" s="1453" t="s">
        <v>1391</v>
      </c>
      <c r="D109" s="1451" t="s">
        <v>1370</v>
      </c>
      <c r="E109" s="1451">
        <v>26</v>
      </c>
      <c r="F109" s="1451">
        <v>70</v>
      </c>
      <c r="G109" s="1451">
        <f t="shared" si="2"/>
        <v>1820</v>
      </c>
      <c r="H109" s="1451">
        <f>'Diagno Super TOS'!H407</f>
        <v>24.59</v>
      </c>
      <c r="I109" s="1573">
        <f t="shared" si="3"/>
        <v>1721.3</v>
      </c>
    </row>
    <row r="110" spans="2:9">
      <c r="B110" s="1498"/>
      <c r="C110" s="1453" t="s">
        <v>1390</v>
      </c>
      <c r="D110" s="1451" t="s">
        <v>1370</v>
      </c>
      <c r="E110" s="1451">
        <v>20</v>
      </c>
      <c r="F110" s="1451">
        <v>80</v>
      </c>
      <c r="G110" s="1451">
        <f t="shared" si="2"/>
        <v>1600</v>
      </c>
      <c r="H110" s="1451">
        <f>'Diagno Super TOS'!H411</f>
        <v>22.58</v>
      </c>
      <c r="I110" s="1573">
        <f t="shared" si="3"/>
        <v>1806.3999999999999</v>
      </c>
    </row>
    <row r="111" spans="2:9">
      <c r="B111" s="1498"/>
      <c r="C111" s="1453" t="s">
        <v>1389</v>
      </c>
      <c r="D111" s="1451" t="s">
        <v>1370</v>
      </c>
      <c r="E111" s="1451">
        <v>20</v>
      </c>
      <c r="F111" s="1451">
        <v>95</v>
      </c>
      <c r="G111" s="1451">
        <f t="shared" si="2"/>
        <v>1900</v>
      </c>
      <c r="H111" s="1451">
        <f>'Diagno Super TOS'!H416</f>
        <v>25.43</v>
      </c>
      <c r="I111" s="1573">
        <f t="shared" si="3"/>
        <v>2415.85</v>
      </c>
    </row>
    <row r="112" spans="2:9">
      <c r="B112" s="1498"/>
      <c r="C112" s="1453" t="s">
        <v>1388</v>
      </c>
      <c r="D112" s="1451" t="s">
        <v>1370</v>
      </c>
      <c r="E112" s="1451">
        <v>30</v>
      </c>
      <c r="F112" s="1451">
        <v>125</v>
      </c>
      <c r="G112" s="1451">
        <f t="shared" si="2"/>
        <v>3750</v>
      </c>
      <c r="H112" s="1451"/>
      <c r="I112" s="1573">
        <f t="shared" si="3"/>
        <v>0</v>
      </c>
    </row>
    <row r="113" spans="2:9">
      <c r="B113" s="1498">
        <v>9.3000000000000007</v>
      </c>
      <c r="C113" s="1453" t="s">
        <v>1386</v>
      </c>
      <c r="D113" s="1451"/>
      <c r="E113" s="1451"/>
      <c r="F113" s="1451"/>
      <c r="G113" s="1451"/>
      <c r="H113" s="1451"/>
      <c r="I113" s="1573"/>
    </row>
    <row r="114" spans="2:9">
      <c r="B114" s="1498"/>
      <c r="C114" s="1453" t="s">
        <v>1384</v>
      </c>
      <c r="D114" s="1451" t="s">
        <v>4</v>
      </c>
      <c r="E114" s="1451">
        <v>95</v>
      </c>
      <c r="F114" s="1451">
        <v>95</v>
      </c>
      <c r="G114" s="1451">
        <f t="shared" si="2"/>
        <v>9025</v>
      </c>
      <c r="H114" s="1451">
        <f>'Diagno Super TOS'!D423</f>
        <v>3</v>
      </c>
      <c r="I114" s="1573">
        <f t="shared" si="3"/>
        <v>285</v>
      </c>
    </row>
    <row r="115" spans="2:9">
      <c r="B115" s="1498"/>
      <c r="C115" s="1453" t="s">
        <v>1383</v>
      </c>
      <c r="D115" s="1451" t="s">
        <v>4</v>
      </c>
      <c r="E115" s="1451">
        <v>155</v>
      </c>
      <c r="F115" s="1451">
        <v>155</v>
      </c>
      <c r="G115" s="1451">
        <f t="shared" si="2"/>
        <v>24025</v>
      </c>
      <c r="H115" s="1451"/>
      <c r="I115" s="1573">
        <f t="shared" si="3"/>
        <v>0</v>
      </c>
    </row>
    <row r="116" spans="2:9">
      <c r="B116" s="1498">
        <v>9.5</v>
      </c>
      <c r="C116" s="1453" t="s">
        <v>1380</v>
      </c>
      <c r="D116" s="1451"/>
      <c r="E116" s="1451"/>
      <c r="F116" s="1451"/>
      <c r="G116" s="1451"/>
      <c r="H116" s="1451"/>
      <c r="I116" s="1573"/>
    </row>
    <row r="117" spans="2:9">
      <c r="B117" s="1498"/>
      <c r="C117" s="1453" t="s">
        <v>1379</v>
      </c>
      <c r="D117" s="1451" t="s">
        <v>1370</v>
      </c>
      <c r="E117" s="1451">
        <v>10</v>
      </c>
      <c r="F117" s="1451">
        <v>65</v>
      </c>
      <c r="G117" s="1451">
        <f t="shared" si="2"/>
        <v>650</v>
      </c>
      <c r="H117" s="1451">
        <f>'Diagno Super TOS'!D429</f>
        <v>32.479999999999997</v>
      </c>
      <c r="I117" s="1573">
        <f t="shared" si="3"/>
        <v>2111.1999999999998</v>
      </c>
    </row>
    <row r="118" spans="2:9">
      <c r="B118" s="1498"/>
      <c r="C118" s="1453" t="s">
        <v>1378</v>
      </c>
      <c r="D118" s="1451" t="s">
        <v>1370</v>
      </c>
      <c r="E118" s="1451">
        <v>10</v>
      </c>
      <c r="F118" s="1451">
        <v>95</v>
      </c>
      <c r="G118" s="1451">
        <f t="shared" si="2"/>
        <v>950</v>
      </c>
      <c r="H118" s="1451">
        <f>'Diagno Super TOS'!D433</f>
        <v>7.83</v>
      </c>
      <c r="I118" s="1573">
        <f t="shared" si="3"/>
        <v>743.85</v>
      </c>
    </row>
    <row r="119" spans="2:9">
      <c r="B119" s="1498"/>
      <c r="C119" s="1453" t="s">
        <v>1377</v>
      </c>
      <c r="D119" s="1451" t="s">
        <v>1370</v>
      </c>
      <c r="E119" s="1451">
        <v>48</v>
      </c>
      <c r="F119" s="1451">
        <v>125</v>
      </c>
      <c r="G119" s="1451">
        <f t="shared" si="2"/>
        <v>6000</v>
      </c>
      <c r="H119" s="1451">
        <f>'Diagno Super TOS'!D437</f>
        <v>16.93</v>
      </c>
      <c r="I119" s="1573">
        <f t="shared" si="3"/>
        <v>2116.25</v>
      </c>
    </row>
    <row r="120" spans="2:9">
      <c r="B120" s="1499">
        <v>9.9</v>
      </c>
      <c r="C120" s="1483" t="s">
        <v>1373</v>
      </c>
      <c r="D120" s="1479" t="s">
        <v>4</v>
      </c>
      <c r="E120" s="1479">
        <v>6</v>
      </c>
      <c r="F120" s="1479">
        <v>150</v>
      </c>
      <c r="G120" s="1479">
        <v>905</v>
      </c>
      <c r="H120" s="1479">
        <f>'Diagno Super TOS'!D442</f>
        <v>7</v>
      </c>
      <c r="I120" s="1575">
        <f t="shared" si="3"/>
        <v>1050</v>
      </c>
    </row>
    <row r="121" spans="2:9">
      <c r="B121" s="2148" t="s">
        <v>1330</v>
      </c>
      <c r="C121" s="2149"/>
      <c r="D121" s="2150"/>
      <c r="E121" s="1481"/>
      <c r="F121" s="1481"/>
      <c r="G121" s="1481">
        <f>SUM(G109:G120)</f>
        <v>50625</v>
      </c>
      <c r="H121" s="1481"/>
      <c r="I121" s="1565">
        <f>SUM(I109:I120)</f>
        <v>12249.85</v>
      </c>
    </row>
    <row r="122" spans="2:9">
      <c r="B122" s="1500"/>
      <c r="C122" s="1554" t="s">
        <v>1368</v>
      </c>
      <c r="D122" s="1484"/>
      <c r="E122" s="1484"/>
      <c r="F122" s="1484"/>
      <c r="G122" s="1484"/>
      <c r="H122" s="1484"/>
      <c r="I122" s="1576"/>
    </row>
    <row r="123" spans="2:9">
      <c r="B123" s="1501">
        <v>2</v>
      </c>
      <c r="C123" s="1461" t="s">
        <v>1366</v>
      </c>
      <c r="D123" s="1461"/>
      <c r="E123" s="1462"/>
      <c r="F123" s="1451"/>
      <c r="G123" s="1451"/>
      <c r="H123" s="1451"/>
      <c r="I123" s="1573"/>
    </row>
    <row r="124" spans="2:9" ht="18">
      <c r="B124" s="1501">
        <v>2.0099999999999998</v>
      </c>
      <c r="C124" s="1461" t="s">
        <v>3202</v>
      </c>
      <c r="D124" s="1461" t="s">
        <v>1332</v>
      </c>
      <c r="E124" s="1462">
        <v>41</v>
      </c>
      <c r="F124" s="1451">
        <v>200</v>
      </c>
      <c r="G124" s="1451">
        <f t="shared" ref="G124:G149" si="4">E124*F124</f>
        <v>8200</v>
      </c>
      <c r="H124" s="1451">
        <f>'Diagno Super TOS'!D448</f>
        <v>43</v>
      </c>
      <c r="I124" s="1573">
        <f t="shared" ref="I124:I149" si="5">F124*H124</f>
        <v>8600</v>
      </c>
    </row>
    <row r="125" spans="2:9">
      <c r="B125" s="1501">
        <v>3</v>
      </c>
      <c r="C125" s="1461" t="s">
        <v>1365</v>
      </c>
      <c r="D125" s="1461"/>
      <c r="E125" s="1462"/>
      <c r="F125" s="1451"/>
      <c r="G125" s="1451">
        <f t="shared" si="4"/>
        <v>0</v>
      </c>
      <c r="H125" s="1451"/>
      <c r="I125" s="1573">
        <f t="shared" si="5"/>
        <v>0</v>
      </c>
    </row>
    <row r="126" spans="2:9">
      <c r="B126" s="1501">
        <v>3.01</v>
      </c>
      <c r="C126" s="1461" t="s">
        <v>1364</v>
      </c>
      <c r="D126" s="1461" t="s">
        <v>1332</v>
      </c>
      <c r="E126" s="1462">
        <v>9</v>
      </c>
      <c r="F126" s="1451">
        <v>81.25</v>
      </c>
      <c r="G126" s="1451">
        <f t="shared" si="4"/>
        <v>731.25</v>
      </c>
      <c r="H126" s="1451">
        <f>'Diagno Super TOS'!D453</f>
        <v>19</v>
      </c>
      <c r="I126" s="1573">
        <f t="shared" si="5"/>
        <v>1543.75</v>
      </c>
    </row>
    <row r="127" spans="2:9">
      <c r="B127" s="1501">
        <v>3.02</v>
      </c>
      <c r="C127" s="1461" t="s">
        <v>1363</v>
      </c>
      <c r="D127" s="1461" t="s">
        <v>1360</v>
      </c>
      <c r="E127" s="1462">
        <v>11</v>
      </c>
      <c r="F127" s="1451">
        <v>131.25</v>
      </c>
      <c r="G127" s="1451">
        <f t="shared" si="4"/>
        <v>1443.75</v>
      </c>
      <c r="H127" s="1451">
        <f>'Diagno Super TOS'!D457</f>
        <v>7</v>
      </c>
      <c r="I127" s="1573">
        <f t="shared" si="5"/>
        <v>918.75</v>
      </c>
    </row>
    <row r="128" spans="2:9">
      <c r="B128" s="1501">
        <v>3.03</v>
      </c>
      <c r="C128" s="1461" t="s">
        <v>1362</v>
      </c>
      <c r="D128" s="1461" t="s">
        <v>1360</v>
      </c>
      <c r="E128" s="1462">
        <v>4</v>
      </c>
      <c r="F128" s="1451">
        <v>80</v>
      </c>
      <c r="G128" s="1451">
        <f t="shared" si="4"/>
        <v>320</v>
      </c>
      <c r="H128" s="1451">
        <f>'Diagno Super TOS'!D461</f>
        <v>4</v>
      </c>
      <c r="I128" s="1573">
        <f t="shared" si="5"/>
        <v>320</v>
      </c>
    </row>
    <row r="129" spans="2:9">
      <c r="B129" s="1501">
        <v>4</v>
      </c>
      <c r="C129" s="1461" t="s">
        <v>1359</v>
      </c>
      <c r="D129" s="1461"/>
      <c r="E129" s="1462"/>
      <c r="F129" s="1451"/>
      <c r="G129" s="1451">
        <f t="shared" si="4"/>
        <v>0</v>
      </c>
      <c r="H129" s="1451"/>
      <c r="I129" s="1573">
        <f t="shared" si="5"/>
        <v>0</v>
      </c>
    </row>
    <row r="130" spans="2:9">
      <c r="B130" s="1501">
        <v>4.01</v>
      </c>
      <c r="C130" s="1461" t="s">
        <v>1358</v>
      </c>
      <c r="D130" s="1461" t="s">
        <v>1332</v>
      </c>
      <c r="E130" s="1462">
        <v>30</v>
      </c>
      <c r="F130" s="1451">
        <v>200</v>
      </c>
      <c r="G130" s="1451">
        <f t="shared" si="4"/>
        <v>6000</v>
      </c>
      <c r="H130" s="1451">
        <f>'Diagno Super TOS'!D466</f>
        <v>29</v>
      </c>
      <c r="I130" s="1573">
        <f t="shared" si="5"/>
        <v>5800</v>
      </c>
    </row>
    <row r="131" spans="2:9">
      <c r="B131" s="1501">
        <v>5</v>
      </c>
      <c r="C131" s="1461" t="s">
        <v>1356</v>
      </c>
      <c r="D131" s="1461"/>
      <c r="E131" s="1462"/>
      <c r="F131" s="1451"/>
      <c r="G131" s="1451">
        <f t="shared" si="4"/>
        <v>0</v>
      </c>
      <c r="H131" s="1451"/>
      <c r="I131" s="1573">
        <f t="shared" si="5"/>
        <v>0</v>
      </c>
    </row>
    <row r="132" spans="2:9">
      <c r="B132" s="1501">
        <v>5.01</v>
      </c>
      <c r="C132" s="1461" t="s">
        <v>1355</v>
      </c>
      <c r="D132" s="1461" t="s">
        <v>1332</v>
      </c>
      <c r="E132" s="1462">
        <v>30</v>
      </c>
      <c r="F132" s="1451">
        <v>281.25</v>
      </c>
      <c r="G132" s="1451">
        <f t="shared" si="4"/>
        <v>8437.5</v>
      </c>
      <c r="H132" s="1451">
        <f>'Diagno Super TOS'!D471</f>
        <v>29</v>
      </c>
      <c r="I132" s="1573">
        <f t="shared" si="5"/>
        <v>8156.25</v>
      </c>
    </row>
    <row r="133" spans="2:9">
      <c r="B133" s="1501">
        <v>6</v>
      </c>
      <c r="C133" s="1461" t="s">
        <v>1353</v>
      </c>
      <c r="D133" s="1461"/>
      <c r="E133" s="1462"/>
      <c r="F133" s="1451"/>
      <c r="G133" s="1451">
        <f t="shared" si="4"/>
        <v>0</v>
      </c>
      <c r="H133" s="1451"/>
      <c r="I133" s="1573">
        <f t="shared" si="5"/>
        <v>0</v>
      </c>
    </row>
    <row r="134" spans="2:9">
      <c r="B134" s="1501">
        <v>6.01</v>
      </c>
      <c r="C134" s="1461" t="s">
        <v>1352</v>
      </c>
      <c r="D134" s="1466" t="s">
        <v>1332</v>
      </c>
      <c r="E134" s="1464">
        <v>8</v>
      </c>
      <c r="F134" s="1448">
        <v>600</v>
      </c>
      <c r="G134" s="1451">
        <f t="shared" si="4"/>
        <v>4800</v>
      </c>
      <c r="H134" s="1451">
        <f>'Diagno Super TOS'!D476</f>
        <v>9</v>
      </c>
      <c r="I134" s="1573">
        <f t="shared" si="5"/>
        <v>5400</v>
      </c>
    </row>
    <row r="135" spans="2:9">
      <c r="B135" s="1497">
        <v>6.03</v>
      </c>
      <c r="C135" s="1466" t="s">
        <v>1351</v>
      </c>
      <c r="D135" s="1466" t="s">
        <v>1332</v>
      </c>
      <c r="E135" s="1464">
        <v>8</v>
      </c>
      <c r="F135" s="1448">
        <v>200</v>
      </c>
      <c r="G135" s="1451">
        <f t="shared" si="4"/>
        <v>1600</v>
      </c>
      <c r="H135" s="1451">
        <f>'Diagno Super TOS'!H423</f>
        <v>9</v>
      </c>
      <c r="I135" s="1573">
        <f t="shared" si="5"/>
        <v>1800</v>
      </c>
    </row>
    <row r="136" spans="2:9">
      <c r="B136" s="1497">
        <v>7</v>
      </c>
      <c r="C136" s="1466" t="s">
        <v>1350</v>
      </c>
      <c r="D136" s="1466"/>
      <c r="E136" s="1464"/>
      <c r="F136" s="1448"/>
      <c r="G136" s="1451">
        <f t="shared" si="4"/>
        <v>0</v>
      </c>
      <c r="H136" s="1451"/>
      <c r="I136" s="1573">
        <f t="shared" si="5"/>
        <v>0</v>
      </c>
    </row>
    <row r="137" spans="2:9">
      <c r="B137" s="1497">
        <v>7.01</v>
      </c>
      <c r="C137" s="1466" t="s">
        <v>1349</v>
      </c>
      <c r="D137" s="1466" t="s">
        <v>1332</v>
      </c>
      <c r="E137" s="1464">
        <v>19</v>
      </c>
      <c r="F137" s="1448">
        <v>1500</v>
      </c>
      <c r="G137" s="1451">
        <f t="shared" si="4"/>
        <v>28500</v>
      </c>
      <c r="H137" s="1451">
        <f>'Diagno Super TOS'!H428</f>
        <v>9</v>
      </c>
      <c r="I137" s="1573">
        <f t="shared" si="5"/>
        <v>13500</v>
      </c>
    </row>
    <row r="138" spans="2:9">
      <c r="B138" s="1497">
        <v>7.02</v>
      </c>
      <c r="C138" s="1466" t="s">
        <v>1348</v>
      </c>
      <c r="D138" s="1466" t="s">
        <v>1332</v>
      </c>
      <c r="E138" s="1464">
        <v>8</v>
      </c>
      <c r="F138" s="1448">
        <v>1200</v>
      </c>
      <c r="G138" s="1451">
        <f t="shared" si="4"/>
        <v>9600</v>
      </c>
      <c r="H138" s="1451">
        <f>'Diagno Super TOS'!H432</f>
        <v>14</v>
      </c>
      <c r="I138" s="1573">
        <f t="shared" si="5"/>
        <v>16800</v>
      </c>
    </row>
    <row r="139" spans="2:9">
      <c r="B139" s="1497">
        <v>7.03</v>
      </c>
      <c r="C139" s="1466" t="s">
        <v>1347</v>
      </c>
      <c r="D139" s="1466" t="s">
        <v>1332</v>
      </c>
      <c r="E139" s="1464">
        <v>7</v>
      </c>
      <c r="F139" s="1448">
        <v>406.25</v>
      </c>
      <c r="G139" s="1451">
        <f t="shared" si="4"/>
        <v>2843.75</v>
      </c>
      <c r="H139" s="1451">
        <f>'Diagno Super TOS'!H436</f>
        <v>13</v>
      </c>
      <c r="I139" s="1573">
        <f t="shared" si="5"/>
        <v>5281.25</v>
      </c>
    </row>
    <row r="140" spans="2:9">
      <c r="B140" s="1497">
        <v>7.04</v>
      </c>
      <c r="C140" s="1466" t="s">
        <v>1346</v>
      </c>
      <c r="D140" s="1466" t="s">
        <v>1332</v>
      </c>
      <c r="E140" s="1464">
        <v>6</v>
      </c>
      <c r="F140" s="1448">
        <v>406.25</v>
      </c>
      <c r="G140" s="1451">
        <f t="shared" si="4"/>
        <v>2437.5</v>
      </c>
      <c r="H140" s="1451">
        <f>'Diagno Super TOS'!H440</f>
        <v>6</v>
      </c>
      <c r="I140" s="1573">
        <f t="shared" si="5"/>
        <v>2437.5</v>
      </c>
    </row>
    <row r="141" spans="2:9">
      <c r="B141" s="1497">
        <v>7.05</v>
      </c>
      <c r="C141" s="1466" t="s">
        <v>1619</v>
      </c>
      <c r="D141" s="1466" t="s">
        <v>1332</v>
      </c>
      <c r="E141" s="1464">
        <v>1</v>
      </c>
      <c r="F141" s="1448">
        <v>1375</v>
      </c>
      <c r="G141" s="1451">
        <f t="shared" si="4"/>
        <v>1375</v>
      </c>
      <c r="H141" s="1451">
        <f>'Diagno Super TOS'!H444</f>
        <v>1</v>
      </c>
      <c r="I141" s="1573">
        <f t="shared" si="5"/>
        <v>1375</v>
      </c>
    </row>
    <row r="142" spans="2:9">
      <c r="B142" s="1497">
        <v>8</v>
      </c>
      <c r="C142" s="1466" t="s">
        <v>1344</v>
      </c>
      <c r="D142" s="1466"/>
      <c r="E142" s="1464"/>
      <c r="F142" s="1448"/>
      <c r="G142" s="1451">
        <f t="shared" si="4"/>
        <v>0</v>
      </c>
      <c r="H142" s="1451"/>
      <c r="I142" s="1573">
        <f t="shared" si="5"/>
        <v>0</v>
      </c>
    </row>
    <row r="143" spans="2:9">
      <c r="B143" s="1497">
        <v>8.01</v>
      </c>
      <c r="C143" s="1466" t="s">
        <v>1343</v>
      </c>
      <c r="D143" s="1466" t="s">
        <v>1332</v>
      </c>
      <c r="E143" s="1464">
        <v>1</v>
      </c>
      <c r="F143" s="1448">
        <v>266.25</v>
      </c>
      <c r="G143" s="1451">
        <f t="shared" si="4"/>
        <v>266.25</v>
      </c>
      <c r="H143" s="1451">
        <f>'Diagno Super TOS'!H450</f>
        <v>1</v>
      </c>
      <c r="I143" s="1573">
        <f t="shared" si="5"/>
        <v>266.25</v>
      </c>
    </row>
    <row r="144" spans="2:9">
      <c r="B144" s="1497">
        <v>8.02</v>
      </c>
      <c r="C144" s="1466" t="s">
        <v>1342</v>
      </c>
      <c r="D144" s="1466"/>
      <c r="E144" s="1464"/>
      <c r="F144" s="1448"/>
      <c r="G144" s="1451">
        <f t="shared" si="4"/>
        <v>0</v>
      </c>
      <c r="H144" s="1451"/>
      <c r="I144" s="1573">
        <f t="shared" si="5"/>
        <v>0</v>
      </c>
    </row>
    <row r="145" spans="2:9">
      <c r="B145" s="1497"/>
      <c r="C145" s="1466" t="s">
        <v>1620</v>
      </c>
      <c r="D145" s="1466" t="s">
        <v>1332</v>
      </c>
      <c r="E145" s="1464">
        <v>1</v>
      </c>
      <c r="F145" s="1448">
        <v>200</v>
      </c>
      <c r="G145" s="1451">
        <f t="shared" si="4"/>
        <v>200</v>
      </c>
      <c r="H145" s="1451"/>
      <c r="I145" s="1573">
        <f t="shared" si="5"/>
        <v>0</v>
      </c>
    </row>
    <row r="146" spans="2:9">
      <c r="B146" s="1497">
        <v>10</v>
      </c>
      <c r="C146" s="1466" t="s">
        <v>1340</v>
      </c>
      <c r="D146" s="1466"/>
      <c r="E146" s="1464"/>
      <c r="F146" s="1448"/>
      <c r="G146" s="1451">
        <f t="shared" si="4"/>
        <v>0</v>
      </c>
      <c r="H146" s="1451"/>
      <c r="I146" s="1573">
        <f t="shared" si="5"/>
        <v>0</v>
      </c>
    </row>
    <row r="147" spans="2:9">
      <c r="B147" s="1497">
        <v>10.01</v>
      </c>
      <c r="C147" s="1466" t="s">
        <v>1517</v>
      </c>
      <c r="D147" s="1466" t="s">
        <v>1338</v>
      </c>
      <c r="E147" s="1464">
        <v>18</v>
      </c>
      <c r="F147" s="1448">
        <v>70</v>
      </c>
      <c r="G147" s="1451">
        <f t="shared" si="4"/>
        <v>1260</v>
      </c>
      <c r="H147" s="1451"/>
      <c r="I147" s="1573">
        <f t="shared" si="5"/>
        <v>0</v>
      </c>
    </row>
    <row r="148" spans="2:9">
      <c r="B148" s="1497">
        <v>10.02</v>
      </c>
      <c r="C148" s="1466" t="s">
        <v>1337</v>
      </c>
      <c r="D148" s="1466" t="s">
        <v>1336</v>
      </c>
      <c r="E148" s="1464">
        <v>15</v>
      </c>
      <c r="F148" s="1448">
        <v>40</v>
      </c>
      <c r="G148" s="1451">
        <f t="shared" si="4"/>
        <v>600</v>
      </c>
      <c r="H148" s="1451"/>
      <c r="I148" s="1573">
        <f t="shared" si="5"/>
        <v>0</v>
      </c>
    </row>
    <row r="149" spans="2:9">
      <c r="B149" s="1574">
        <v>10.029999999999999</v>
      </c>
      <c r="C149" s="1475" t="s">
        <v>1335</v>
      </c>
      <c r="D149" s="1475" t="s">
        <v>1336</v>
      </c>
      <c r="E149" s="1476">
        <v>12</v>
      </c>
      <c r="F149" s="1478">
        <v>60</v>
      </c>
      <c r="G149" s="1479">
        <f t="shared" si="4"/>
        <v>720</v>
      </c>
      <c r="H149" s="1479">
        <f>'Diagno Super TOS'!H455</f>
        <v>12.6</v>
      </c>
      <c r="I149" s="1575">
        <f t="shared" si="5"/>
        <v>756</v>
      </c>
    </row>
    <row r="150" spans="2:9">
      <c r="B150" s="2148" t="s">
        <v>1330</v>
      </c>
      <c r="C150" s="2149"/>
      <c r="D150" s="2150"/>
      <c r="E150" s="1481"/>
      <c r="F150" s="1481"/>
      <c r="G150" s="1481">
        <f>SUM(G123:G149)</f>
        <v>79335</v>
      </c>
      <c r="H150" s="1481"/>
      <c r="I150" s="1565">
        <f>SUM(I123:I149)</f>
        <v>72954.75</v>
      </c>
    </row>
    <row r="151" spans="2:9">
      <c r="I151" s="1307"/>
    </row>
    <row r="152" spans="2:9">
      <c r="I152" s="1307"/>
    </row>
    <row r="153" spans="2:9">
      <c r="I153" s="1307"/>
    </row>
    <row r="154" spans="2:9">
      <c r="I154" s="1307"/>
    </row>
    <row r="155" spans="2:9">
      <c r="I155" s="1307"/>
    </row>
    <row r="156" spans="2:9">
      <c r="I156" s="1307"/>
    </row>
    <row r="157" spans="2:9">
      <c r="I157" s="1307"/>
    </row>
    <row r="158" spans="2:9">
      <c r="I158" s="1307"/>
    </row>
    <row r="159" spans="2:9">
      <c r="I159" s="1307"/>
    </row>
    <row r="160" spans="2:9">
      <c r="I160" s="1307"/>
    </row>
  </sheetData>
  <mergeCells count="20">
    <mergeCell ref="B30:D30"/>
    <mergeCell ref="B16:D16"/>
    <mergeCell ref="B71:D71"/>
    <mergeCell ref="B61:D61"/>
    <mergeCell ref="B55:D55"/>
    <mergeCell ref="B50:D50"/>
    <mergeCell ref="B34:D34"/>
    <mergeCell ref="B150:D150"/>
    <mergeCell ref="B121:D121"/>
    <mergeCell ref="B106:D106"/>
    <mergeCell ref="B101:D101"/>
    <mergeCell ref="B88:D88"/>
    <mergeCell ref="H1:I1"/>
    <mergeCell ref="H2:I2"/>
    <mergeCell ref="H3:I3"/>
    <mergeCell ref="B6:B7"/>
    <mergeCell ref="C6:C7"/>
    <mergeCell ref="D6:D7"/>
    <mergeCell ref="E6:G6"/>
    <mergeCell ref="H6:I6"/>
  </mergeCells>
  <pageMargins left="0.5" right="0.25" top="0.5" bottom="0.5" header="0.25" footer="0.25"/>
  <pageSetup paperSize="9" scale="80" firstPageNumber="120" orientation="portrait" useFirstPageNumber="1" r:id="rId1"/>
  <headerFooter alignWithMargins="0">
    <oddHeader>Page &amp;P of &amp;N</oddHeader>
    <oddFooter>&amp;LContractor: - ______________&amp;CConsultant : - ______________&amp;RClient: - __________________</oddFooter>
  </headerFooter>
  <rowBreaks count="2" manualBreakCount="2">
    <brk id="55" max="9" man="1"/>
    <brk id="101" max="9"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2"/>
  <sheetViews>
    <sheetView view="pageBreakPreview" zoomScaleNormal="115" zoomScaleSheetLayoutView="100" zoomScalePageLayoutView="85" workbookViewId="0">
      <selection activeCell="B69" sqref="B69"/>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191"/>
      <c r="H1" s="821"/>
      <c r="I1" s="1192"/>
      <c r="J1" s="820"/>
    </row>
    <row r="2" spans="1:10">
      <c r="A2" s="834"/>
      <c r="B2" s="2059" t="s">
        <v>1917</v>
      </c>
      <c r="C2" s="2059"/>
      <c r="D2" s="2059"/>
      <c r="E2" s="2059"/>
      <c r="F2" s="819"/>
      <c r="G2" s="1191"/>
      <c r="J2" s="834"/>
    </row>
    <row r="3" spans="1:10">
      <c r="A3" s="834"/>
      <c r="B3" s="2059" t="s">
        <v>1920</v>
      </c>
      <c r="C3" s="2059"/>
      <c r="D3" s="2059"/>
      <c r="E3" s="2059"/>
      <c r="F3" s="2059"/>
      <c r="G3" s="1191"/>
      <c r="H3" s="2060" t="s">
        <v>3118</v>
      </c>
      <c r="I3" s="2060"/>
      <c r="J3" s="834"/>
    </row>
    <row r="4" spans="1:10">
      <c r="A4" s="834"/>
      <c r="B4" s="2059" t="s">
        <v>1921</v>
      </c>
      <c r="C4" s="2059"/>
      <c r="D4" s="2059"/>
      <c r="E4" s="2059"/>
      <c r="F4" s="819"/>
      <c r="G4" s="1191"/>
      <c r="H4" s="2061"/>
      <c r="I4" s="2061"/>
      <c r="J4" s="834"/>
    </row>
    <row r="5" spans="1:10">
      <c r="A5" s="834"/>
      <c r="B5" s="824"/>
      <c r="C5" s="1191"/>
      <c r="D5" s="1191"/>
      <c r="E5" s="825"/>
      <c r="F5" s="819"/>
      <c r="G5" s="1190"/>
      <c r="H5" s="827"/>
      <c r="I5" s="1190"/>
      <c r="J5" s="834"/>
    </row>
    <row r="6" spans="1:10">
      <c r="A6" s="1162"/>
      <c r="B6" s="909" t="s">
        <v>1884</v>
      </c>
      <c r="C6" s="911" t="s">
        <v>526</v>
      </c>
      <c r="D6" s="910" t="s">
        <v>1885</v>
      </c>
      <c r="E6" s="911" t="s">
        <v>1886</v>
      </c>
      <c r="F6" s="909" t="s">
        <v>1884</v>
      </c>
      <c r="G6" s="911" t="s">
        <v>526</v>
      </c>
      <c r="H6" s="910" t="s">
        <v>1885</v>
      </c>
      <c r="I6" s="911" t="s">
        <v>1886</v>
      </c>
      <c r="J6" s="1162"/>
    </row>
    <row r="7" spans="1:10">
      <c r="A7" s="834"/>
      <c r="B7" s="435"/>
      <c r="C7" s="829"/>
      <c r="D7" s="832"/>
      <c r="E7" s="844" t="s">
        <v>1887</v>
      </c>
      <c r="F7" s="435">
        <v>9.3000000000000007</v>
      </c>
      <c r="G7" s="829"/>
      <c r="H7" s="832"/>
      <c r="I7" s="844" t="s">
        <v>2916</v>
      </c>
    </row>
    <row r="8" spans="1:10">
      <c r="A8" s="834"/>
      <c r="B8" s="435"/>
      <c r="C8" s="829"/>
      <c r="D8" s="832"/>
      <c r="E8" s="844" t="s">
        <v>1888</v>
      </c>
      <c r="F8" s="435">
        <v>1</v>
      </c>
      <c r="G8" s="829">
        <v>19.55</v>
      </c>
      <c r="H8" s="832"/>
      <c r="I8" s="833" t="s">
        <v>3129</v>
      </c>
    </row>
    <row r="9" spans="1:10">
      <c r="A9" s="834"/>
      <c r="B9" s="435"/>
      <c r="C9" s="829"/>
      <c r="D9" s="832"/>
      <c r="E9" s="844" t="s">
        <v>1889</v>
      </c>
      <c r="F9" s="435"/>
      <c r="G9" s="829">
        <v>10.7</v>
      </c>
      <c r="H9" s="832"/>
      <c r="I9" s="833" t="s">
        <v>3130</v>
      </c>
    </row>
    <row r="10" spans="1:10">
      <c r="A10" s="834"/>
      <c r="B10" s="435"/>
      <c r="C10" s="829"/>
      <c r="D10" s="832"/>
      <c r="E10" s="833" t="s">
        <v>3119</v>
      </c>
      <c r="F10" s="435"/>
      <c r="G10" s="829">
        <v>0.51</v>
      </c>
      <c r="H10" s="832">
        <f>F8*G8*G9*G10</f>
        <v>106.68435000000001</v>
      </c>
      <c r="I10" s="833"/>
    </row>
    <row r="11" spans="1:10">
      <c r="A11" s="834"/>
      <c r="B11" s="435">
        <v>1</v>
      </c>
      <c r="C11" s="829">
        <v>22.35</v>
      </c>
      <c r="D11" s="832"/>
      <c r="E11" s="833" t="s">
        <v>3120</v>
      </c>
      <c r="F11" s="435"/>
      <c r="G11" s="829"/>
      <c r="H11" s="832"/>
      <c r="I11" s="844" t="s">
        <v>1915</v>
      </c>
    </row>
    <row r="12" spans="1:10">
      <c r="A12" s="834"/>
      <c r="B12" s="435"/>
      <c r="C12" s="829">
        <v>13.5</v>
      </c>
      <c r="D12" s="832">
        <f>C12*C11*B11</f>
        <v>301.72500000000002</v>
      </c>
      <c r="E12" s="833"/>
      <c r="F12" s="435">
        <v>1</v>
      </c>
      <c r="G12" s="829">
        <v>22.25</v>
      </c>
      <c r="H12" s="832"/>
      <c r="I12" s="833" t="s">
        <v>1916</v>
      </c>
    </row>
    <row r="13" spans="1:10">
      <c r="A13" s="834"/>
      <c r="B13" s="435"/>
      <c r="C13" s="829"/>
      <c r="D13" s="832"/>
      <c r="E13" s="833"/>
      <c r="F13" s="435"/>
      <c r="G13" s="829">
        <v>0.4</v>
      </c>
      <c r="H13" s="832"/>
      <c r="I13" s="833" t="s">
        <v>3131</v>
      </c>
    </row>
    <row r="14" spans="1:10" ht="18">
      <c r="A14" s="834"/>
      <c r="B14" s="839"/>
      <c r="C14" s="839"/>
      <c r="D14" s="838">
        <f>D12</f>
        <v>301.72500000000002</v>
      </c>
      <c r="E14" s="845" t="s">
        <v>3185</v>
      </c>
      <c r="F14" s="435"/>
      <c r="G14" s="829">
        <v>0.51</v>
      </c>
      <c r="H14" s="832">
        <f>F12*G12*G13*G14</f>
        <v>4.5390000000000006</v>
      </c>
      <c r="I14" s="833"/>
    </row>
    <row r="15" spans="1:10">
      <c r="A15" s="834"/>
      <c r="B15" s="435"/>
      <c r="C15" s="829"/>
      <c r="D15" s="832"/>
      <c r="E15" s="833"/>
      <c r="F15" s="435"/>
      <c r="G15" s="829"/>
      <c r="H15" s="832"/>
      <c r="I15" s="833"/>
    </row>
    <row r="16" spans="1:10">
      <c r="A16" s="834"/>
      <c r="B16" s="435"/>
      <c r="C16" s="829"/>
      <c r="D16" s="832"/>
      <c r="E16" s="844" t="s">
        <v>1890</v>
      </c>
      <c r="F16" s="435">
        <v>4</v>
      </c>
      <c r="G16" s="829">
        <v>10.3</v>
      </c>
      <c r="H16" s="832"/>
      <c r="I16" s="833" t="s">
        <v>1914</v>
      </c>
    </row>
    <row r="17" spans="1:10">
      <c r="A17" s="834"/>
      <c r="B17" s="435">
        <v>1</v>
      </c>
      <c r="C17" s="829">
        <v>19.05</v>
      </c>
      <c r="D17" s="832"/>
      <c r="E17" s="833" t="s">
        <v>3121</v>
      </c>
      <c r="F17" s="435"/>
      <c r="G17" s="829">
        <v>0.4</v>
      </c>
      <c r="H17" s="832"/>
      <c r="I17" s="833" t="s">
        <v>3132</v>
      </c>
    </row>
    <row r="18" spans="1:10">
      <c r="A18" s="834"/>
      <c r="B18" s="435"/>
      <c r="C18" s="829">
        <v>10.199999999999999</v>
      </c>
      <c r="D18" s="832"/>
      <c r="E18" s="833" t="s">
        <v>3122</v>
      </c>
      <c r="F18" s="435"/>
      <c r="G18" s="829">
        <v>0.51</v>
      </c>
      <c r="H18" s="832">
        <f>F16*G16*G17*G18</f>
        <v>8.4047999999999998</v>
      </c>
      <c r="I18" s="833"/>
    </row>
    <row r="19" spans="1:10">
      <c r="A19" s="834"/>
      <c r="B19" s="435"/>
      <c r="C19" s="829">
        <v>0.25</v>
      </c>
      <c r="D19" s="832">
        <f>B17*C17*C18*C19</f>
        <v>48.577500000000001</v>
      </c>
      <c r="E19" s="833"/>
      <c r="F19" s="435"/>
      <c r="G19" s="829"/>
      <c r="H19" s="832"/>
      <c r="I19" s="833"/>
    </row>
    <row r="20" spans="1:10" ht="18">
      <c r="A20" s="834"/>
      <c r="B20" s="435"/>
      <c r="C20" s="829"/>
      <c r="D20" s="832"/>
      <c r="E20" s="844" t="s">
        <v>1915</v>
      </c>
      <c r="F20" s="839"/>
      <c r="G20" s="839"/>
      <c r="H20" s="838">
        <f>D48+D52+D58+D63+H10-H14-H18</f>
        <v>93.740550000000013</v>
      </c>
      <c r="I20" s="845" t="s">
        <v>3160</v>
      </c>
    </row>
    <row r="21" spans="1:10">
      <c r="A21" s="834"/>
      <c r="B21" s="435">
        <v>1</v>
      </c>
      <c r="C21" s="829">
        <v>19.05</v>
      </c>
      <c r="D21" s="832"/>
      <c r="E21" s="833" t="s">
        <v>1916</v>
      </c>
      <c r="F21" s="435"/>
      <c r="G21" s="829"/>
      <c r="H21" s="832"/>
      <c r="I21" s="833"/>
    </row>
    <row r="22" spans="1:10">
      <c r="A22" s="834"/>
      <c r="B22" s="435"/>
      <c r="C22" s="829">
        <v>0.9</v>
      </c>
      <c r="D22" s="832"/>
      <c r="E22" s="833" t="s">
        <v>3121</v>
      </c>
      <c r="F22" s="435"/>
      <c r="G22" s="829"/>
      <c r="H22" s="832"/>
      <c r="I22" s="844"/>
    </row>
    <row r="23" spans="1:10">
      <c r="A23" s="834"/>
      <c r="B23" s="435"/>
      <c r="C23" s="829">
        <v>0.25</v>
      </c>
      <c r="D23" s="832">
        <f>B21*C21*C22*C23</f>
        <v>4.2862499999999999</v>
      </c>
      <c r="E23" s="833"/>
      <c r="F23" s="435"/>
      <c r="G23" s="829"/>
      <c r="H23" s="832"/>
      <c r="I23" s="833"/>
      <c r="J23" s="834"/>
    </row>
    <row r="24" spans="1:10">
      <c r="A24" s="834"/>
      <c r="B24" s="435"/>
      <c r="C24" s="829"/>
      <c r="D24" s="832"/>
      <c r="E24" s="833"/>
      <c r="F24" s="435"/>
      <c r="G24" s="829"/>
      <c r="H24" s="832"/>
      <c r="I24" s="833"/>
      <c r="J24" s="834"/>
    </row>
    <row r="25" spans="1:10">
      <c r="A25" s="834"/>
      <c r="B25" s="435">
        <v>4</v>
      </c>
      <c r="C25" s="829">
        <v>9.3000000000000007</v>
      </c>
      <c r="D25" s="832"/>
      <c r="E25" s="833" t="s">
        <v>1914</v>
      </c>
      <c r="F25" s="435"/>
      <c r="G25" s="829"/>
      <c r="H25" s="832"/>
      <c r="I25" s="833"/>
      <c r="J25" s="834"/>
    </row>
    <row r="26" spans="1:10">
      <c r="A26" s="834"/>
      <c r="B26" s="435"/>
      <c r="C26" s="829">
        <v>0.9</v>
      </c>
      <c r="D26" s="832"/>
      <c r="E26" s="833" t="s">
        <v>3123</v>
      </c>
      <c r="F26" s="435"/>
      <c r="G26" s="829"/>
      <c r="H26" s="832"/>
      <c r="I26" s="833"/>
      <c r="J26" s="834"/>
    </row>
    <row r="27" spans="1:10">
      <c r="A27" s="834"/>
      <c r="B27" s="435"/>
      <c r="C27" s="829">
        <v>0.25</v>
      </c>
      <c r="D27" s="832">
        <f>B25*C25*C26*C27</f>
        <v>8.370000000000001</v>
      </c>
      <c r="E27" s="833"/>
      <c r="F27" s="435"/>
      <c r="G27" s="829"/>
      <c r="H27" s="832"/>
      <c r="I27" s="833"/>
      <c r="J27" s="834"/>
    </row>
    <row r="28" spans="1:10">
      <c r="A28" s="834"/>
      <c r="B28" s="435"/>
      <c r="C28" s="829"/>
      <c r="D28" s="832"/>
      <c r="E28" s="833"/>
      <c r="F28" s="435"/>
      <c r="G28" s="829"/>
      <c r="H28" s="832"/>
      <c r="I28" s="833"/>
      <c r="J28" s="834"/>
    </row>
    <row r="29" spans="1:10" ht="18">
      <c r="A29" s="834"/>
      <c r="B29" s="839"/>
      <c r="C29" s="839"/>
      <c r="D29" s="838">
        <f>D19-D23-D27</f>
        <v>35.921250000000001</v>
      </c>
      <c r="E29" s="845" t="s">
        <v>3162</v>
      </c>
      <c r="F29" s="435"/>
      <c r="G29" s="829"/>
      <c r="H29" s="832"/>
      <c r="I29" s="833"/>
      <c r="J29" s="834"/>
    </row>
    <row r="30" spans="1:10">
      <c r="A30" s="834"/>
      <c r="B30" s="435"/>
      <c r="C30" s="829"/>
      <c r="D30" s="832"/>
      <c r="E30" s="833"/>
      <c r="F30" s="435"/>
      <c r="G30" s="829"/>
      <c r="H30" s="832"/>
      <c r="I30" s="833"/>
      <c r="J30" s="834"/>
    </row>
    <row r="31" spans="1:10">
      <c r="A31" s="834"/>
      <c r="B31" s="435"/>
      <c r="C31" s="829"/>
      <c r="D31" s="832"/>
      <c r="E31" s="844" t="s">
        <v>2903</v>
      </c>
      <c r="F31" s="839"/>
      <c r="G31" s="839"/>
      <c r="H31" s="838"/>
      <c r="I31" s="845"/>
      <c r="J31" s="834"/>
    </row>
    <row r="32" spans="1:10">
      <c r="A32" s="834"/>
      <c r="B32" s="435"/>
      <c r="C32" s="829"/>
      <c r="D32" s="832"/>
      <c r="E32" s="844" t="s">
        <v>2904</v>
      </c>
      <c r="F32" s="435"/>
      <c r="G32" s="829"/>
      <c r="H32" s="832"/>
      <c r="I32" s="833"/>
      <c r="J32" s="834"/>
    </row>
    <row r="33" spans="1:10" ht="18.75" customHeight="1">
      <c r="A33" s="834"/>
      <c r="B33" s="435">
        <v>3</v>
      </c>
      <c r="C33" s="829">
        <v>20.85</v>
      </c>
      <c r="D33" s="832"/>
      <c r="E33" s="833" t="s">
        <v>1916</v>
      </c>
      <c r="F33" s="435">
        <v>1</v>
      </c>
      <c r="G33" s="829">
        <v>22.35</v>
      </c>
      <c r="H33" s="832"/>
      <c r="I33" s="844" t="s">
        <v>2922</v>
      </c>
      <c r="J33" s="834"/>
    </row>
    <row r="34" spans="1:10">
      <c r="A34" s="834"/>
      <c r="B34" s="435"/>
      <c r="C34" s="829">
        <v>0.9</v>
      </c>
      <c r="D34" s="832"/>
      <c r="E34" s="833" t="s">
        <v>3124</v>
      </c>
      <c r="F34" s="435"/>
      <c r="G34" s="829">
        <v>13.5</v>
      </c>
      <c r="H34" s="832"/>
      <c r="I34" s="833"/>
      <c r="J34" s="834"/>
    </row>
    <row r="35" spans="1:10">
      <c r="A35" s="834"/>
      <c r="B35" s="435"/>
      <c r="C35" s="829">
        <v>0.25</v>
      </c>
      <c r="D35" s="832">
        <f>B33*C33*C34*C35</f>
        <v>14.07375</v>
      </c>
      <c r="E35" s="833"/>
      <c r="F35" s="435"/>
      <c r="G35" s="829">
        <v>0.3</v>
      </c>
      <c r="H35" s="832">
        <f>F33*G33*G34*G35</f>
        <v>90.517499999999998</v>
      </c>
      <c r="I35" s="833" t="s">
        <v>1936</v>
      </c>
      <c r="J35" s="834"/>
    </row>
    <row r="36" spans="1:10" ht="18.75" customHeight="1">
      <c r="A36" s="834"/>
      <c r="B36" s="435"/>
      <c r="C36" s="829"/>
      <c r="D36" s="832"/>
      <c r="E36" s="833"/>
      <c r="F36" s="435"/>
      <c r="G36" s="829"/>
      <c r="H36" s="832">
        <f>D29</f>
        <v>35.921250000000001</v>
      </c>
      <c r="I36" s="833" t="s">
        <v>1937</v>
      </c>
      <c r="J36" s="834"/>
    </row>
    <row r="37" spans="1:10">
      <c r="A37" s="834"/>
      <c r="B37" s="435"/>
      <c r="C37" s="829"/>
      <c r="D37" s="832"/>
      <c r="E37" s="833"/>
      <c r="F37" s="435"/>
      <c r="G37" s="829"/>
      <c r="H37" s="832"/>
      <c r="I37" s="833"/>
      <c r="J37" s="834"/>
    </row>
    <row r="38" spans="1:10">
      <c r="A38" s="834"/>
      <c r="B38" s="435">
        <v>6</v>
      </c>
      <c r="C38" s="829">
        <v>9.3000000000000007</v>
      </c>
      <c r="D38" s="832"/>
      <c r="E38" s="833" t="s">
        <v>1914</v>
      </c>
      <c r="F38" s="435"/>
      <c r="G38" s="829"/>
      <c r="H38" s="832">
        <f>D42</f>
        <v>26.628750000000004</v>
      </c>
      <c r="I38" s="833" t="s">
        <v>1938</v>
      </c>
      <c r="J38" s="834"/>
    </row>
    <row r="39" spans="1:10">
      <c r="A39" s="834"/>
      <c r="B39" s="435"/>
      <c r="C39" s="829">
        <v>0.9</v>
      </c>
      <c r="D39" s="832"/>
      <c r="E39" s="833" t="s">
        <v>3125</v>
      </c>
      <c r="F39" s="435"/>
      <c r="G39" s="829"/>
      <c r="H39" s="832"/>
      <c r="I39" s="833"/>
      <c r="J39" s="834"/>
    </row>
    <row r="40" spans="1:10" ht="18">
      <c r="A40" s="834"/>
      <c r="B40" s="435"/>
      <c r="C40" s="829">
        <v>0.25</v>
      </c>
      <c r="D40" s="832">
        <f>B38*C38*C39*C40</f>
        <v>12.555000000000001</v>
      </c>
      <c r="E40" s="833" t="s">
        <v>2195</v>
      </c>
      <c r="F40" s="839"/>
      <c r="G40" s="839"/>
      <c r="H40" s="838">
        <f>H35+H36+H38</f>
        <v>153.0675</v>
      </c>
      <c r="I40" s="845" t="s">
        <v>3183</v>
      </c>
      <c r="J40" s="834"/>
    </row>
    <row r="41" spans="1:10">
      <c r="A41" s="834"/>
      <c r="B41" s="435"/>
      <c r="C41" s="829"/>
      <c r="D41" s="832"/>
      <c r="E41" s="833"/>
      <c r="F41" s="1193"/>
      <c r="G41" s="848"/>
      <c r="H41" s="843"/>
      <c r="I41" s="435"/>
      <c r="J41" s="834"/>
    </row>
    <row r="42" spans="1:10" ht="18">
      <c r="A42" s="834"/>
      <c r="B42" s="839"/>
      <c r="C42" s="839"/>
      <c r="D42" s="838">
        <f>D35+D40</f>
        <v>26.628750000000004</v>
      </c>
      <c r="E42" s="845" t="s">
        <v>3164</v>
      </c>
      <c r="F42" s="435"/>
      <c r="G42" s="829"/>
      <c r="H42" s="832"/>
      <c r="I42" s="844" t="s">
        <v>3147</v>
      </c>
      <c r="J42" s="834"/>
    </row>
    <row r="43" spans="1:10">
      <c r="A43" s="834"/>
      <c r="B43" s="435"/>
      <c r="C43" s="829"/>
      <c r="D43" s="832"/>
      <c r="E43" s="833"/>
      <c r="F43" s="435"/>
      <c r="G43" s="829"/>
      <c r="H43" s="832"/>
      <c r="I43" s="833"/>
      <c r="J43" s="834"/>
    </row>
    <row r="44" spans="1:10">
      <c r="A44" s="834"/>
      <c r="B44" s="435"/>
      <c r="C44" s="829"/>
      <c r="D44" s="832"/>
      <c r="E44" s="844" t="s">
        <v>1903</v>
      </c>
      <c r="F44" s="435">
        <v>1</v>
      </c>
      <c r="G44" s="829">
        <v>19.850000000000001</v>
      </c>
      <c r="H44" s="832"/>
      <c r="I44" s="833" t="s">
        <v>3133</v>
      </c>
      <c r="J44" s="834"/>
    </row>
    <row r="45" spans="1:10">
      <c r="A45" s="834"/>
      <c r="B45" s="435"/>
      <c r="C45" s="829"/>
      <c r="D45" s="832"/>
      <c r="E45" s="844" t="s">
        <v>2907</v>
      </c>
      <c r="F45" s="435"/>
      <c r="G45" s="829">
        <v>11</v>
      </c>
      <c r="H45" s="832">
        <f>F44*G44*G45</f>
        <v>218.35000000000002</v>
      </c>
      <c r="I45" s="833" t="s">
        <v>3134</v>
      </c>
      <c r="J45" s="834"/>
    </row>
    <row r="46" spans="1:10">
      <c r="A46" s="834"/>
      <c r="B46" s="435">
        <v>4</v>
      </c>
      <c r="C46" s="829">
        <v>23.45</v>
      </c>
      <c r="D46" s="832"/>
      <c r="E46" s="833" t="s">
        <v>1929</v>
      </c>
      <c r="F46" s="435"/>
      <c r="G46" s="829"/>
      <c r="H46" s="832"/>
      <c r="I46" s="833"/>
      <c r="J46" s="834"/>
    </row>
    <row r="47" spans="1:10">
      <c r="A47" s="834"/>
      <c r="B47" s="435"/>
      <c r="C47" s="829">
        <v>0.9</v>
      </c>
      <c r="D47" s="832"/>
      <c r="E47" s="833" t="s">
        <v>2999</v>
      </c>
      <c r="F47" s="435"/>
      <c r="G47" s="829"/>
      <c r="H47" s="832"/>
      <c r="I47" s="833" t="s">
        <v>1915</v>
      </c>
      <c r="J47" s="834"/>
    </row>
    <row r="48" spans="1:10">
      <c r="A48" s="834"/>
      <c r="B48" s="435"/>
      <c r="C48" s="829">
        <v>0</v>
      </c>
      <c r="D48" s="832">
        <f>B46*C46*C47*C48</f>
        <v>0</v>
      </c>
      <c r="E48" s="833"/>
      <c r="F48" s="435">
        <v>1</v>
      </c>
      <c r="G48" s="829">
        <v>19.850000000000001</v>
      </c>
      <c r="H48" s="832"/>
      <c r="I48" s="833" t="s">
        <v>3135</v>
      </c>
      <c r="J48" s="834"/>
    </row>
    <row r="49" spans="1:10">
      <c r="A49" s="834"/>
      <c r="B49" s="435"/>
      <c r="C49" s="829"/>
      <c r="D49" s="832"/>
      <c r="E49" s="833"/>
      <c r="F49" s="435"/>
      <c r="G49" s="829">
        <v>0.25</v>
      </c>
      <c r="H49" s="832">
        <f>F48*G48*G49</f>
        <v>4.9625000000000004</v>
      </c>
      <c r="I49" s="833"/>
      <c r="J49" s="834"/>
    </row>
    <row r="50" spans="1:10">
      <c r="A50" s="834"/>
      <c r="B50" s="435">
        <v>5</v>
      </c>
      <c r="C50" s="829">
        <v>9.9499999999999993</v>
      </c>
      <c r="D50" s="832"/>
      <c r="E50" s="833" t="s">
        <v>3000</v>
      </c>
      <c r="F50" s="435"/>
      <c r="G50" s="829"/>
      <c r="H50" s="832"/>
      <c r="I50" s="833"/>
      <c r="J50" s="834"/>
    </row>
    <row r="51" spans="1:10">
      <c r="A51" s="834"/>
      <c r="B51" s="435"/>
      <c r="C51" s="829">
        <v>0.9</v>
      </c>
      <c r="D51" s="832"/>
      <c r="E51" s="833" t="s">
        <v>3126</v>
      </c>
      <c r="F51" s="435">
        <v>4</v>
      </c>
      <c r="G51" s="829">
        <v>10.75</v>
      </c>
      <c r="H51" s="832"/>
      <c r="I51" s="833" t="s">
        <v>3136</v>
      </c>
      <c r="J51" s="834"/>
    </row>
    <row r="52" spans="1:10">
      <c r="A52" s="834"/>
      <c r="B52" s="435"/>
      <c r="C52" s="829">
        <v>0</v>
      </c>
      <c r="D52" s="832">
        <f>B50*C50*C51*C52</f>
        <v>0</v>
      </c>
      <c r="E52" s="833">
        <f>12-(4*0.9)</f>
        <v>8.4</v>
      </c>
      <c r="F52" s="435"/>
      <c r="G52" s="829">
        <v>0.25</v>
      </c>
      <c r="H52" s="832">
        <f>F51*G51*G52</f>
        <v>10.75</v>
      </c>
      <c r="I52" s="833" t="s">
        <v>3137</v>
      </c>
      <c r="J52" s="834"/>
    </row>
    <row r="53" spans="1:10">
      <c r="A53" s="834"/>
      <c r="B53" s="435"/>
      <c r="C53" s="829"/>
      <c r="D53" s="832"/>
      <c r="E53" s="833"/>
      <c r="F53" s="435"/>
      <c r="G53" s="829"/>
      <c r="H53" s="832"/>
      <c r="I53" s="833"/>
      <c r="J53" s="834"/>
    </row>
    <row r="54" spans="1:10" ht="18">
      <c r="A54" s="834"/>
      <c r="B54" s="435"/>
      <c r="C54" s="829"/>
      <c r="D54" s="832"/>
      <c r="E54" s="833" t="s">
        <v>2200</v>
      </c>
      <c r="F54" s="839"/>
      <c r="G54" s="839"/>
      <c r="H54" s="838">
        <f>H45-H49-H52</f>
        <v>202.63750000000002</v>
      </c>
      <c r="I54" s="845" t="s">
        <v>3199</v>
      </c>
      <c r="J54" s="834"/>
    </row>
    <row r="55" spans="1:10">
      <c r="A55" s="834"/>
      <c r="B55" s="435"/>
      <c r="C55" s="829"/>
      <c r="D55" s="832"/>
      <c r="E55" s="833" t="s">
        <v>1916</v>
      </c>
      <c r="F55" s="1193"/>
      <c r="G55" s="848"/>
      <c r="H55" s="843"/>
      <c r="I55" s="435"/>
      <c r="J55" s="834"/>
    </row>
    <row r="56" spans="1:10">
      <c r="A56" s="834"/>
      <c r="B56" s="435">
        <v>4</v>
      </c>
      <c r="C56" s="829">
        <v>17.95</v>
      </c>
      <c r="D56" s="832"/>
      <c r="E56" s="833" t="s">
        <v>3127</v>
      </c>
      <c r="F56" s="435"/>
      <c r="G56" s="829"/>
      <c r="H56" s="832"/>
      <c r="I56" s="844" t="s">
        <v>1894</v>
      </c>
      <c r="J56" s="834"/>
    </row>
    <row r="57" spans="1:10">
      <c r="A57" s="834"/>
      <c r="B57" s="435"/>
      <c r="C57" s="829">
        <v>0.25</v>
      </c>
      <c r="D57" s="832"/>
      <c r="E57" s="833" t="s">
        <v>2913</v>
      </c>
      <c r="F57" s="435"/>
      <c r="G57" s="829"/>
      <c r="H57" s="832"/>
      <c r="I57" s="844" t="s">
        <v>1939</v>
      </c>
      <c r="J57" s="834"/>
    </row>
    <row r="58" spans="1:10">
      <c r="A58" s="834"/>
      <c r="B58" s="435"/>
      <c r="C58" s="829">
        <v>0</v>
      </c>
      <c r="D58" s="832">
        <f>B56*C56*C57*C58</f>
        <v>0</v>
      </c>
      <c r="E58" s="833"/>
      <c r="F58" s="435">
        <v>3</v>
      </c>
      <c r="G58" s="829">
        <v>20.350000000000001</v>
      </c>
      <c r="H58" s="832"/>
      <c r="I58" s="833" t="s">
        <v>3138</v>
      </c>
      <c r="J58" s="834"/>
    </row>
    <row r="59" spans="1:10">
      <c r="A59" s="834"/>
      <c r="B59" s="435"/>
      <c r="C59" s="829"/>
      <c r="D59" s="832"/>
      <c r="E59" s="833"/>
      <c r="F59" s="435"/>
      <c r="G59" s="829">
        <v>0.4</v>
      </c>
      <c r="H59" s="832">
        <f>G59*G58*F58</f>
        <v>24.42</v>
      </c>
      <c r="I59" s="833"/>
      <c r="J59" s="834"/>
    </row>
    <row r="60" spans="1:10">
      <c r="A60" s="834"/>
      <c r="B60" s="435"/>
      <c r="C60" s="829"/>
      <c r="D60" s="832"/>
      <c r="E60" s="833" t="s">
        <v>1914</v>
      </c>
      <c r="F60" s="435"/>
      <c r="G60" s="829"/>
      <c r="H60" s="832"/>
      <c r="I60" s="833"/>
      <c r="J60" s="834"/>
    </row>
    <row r="61" spans="1:10">
      <c r="A61" s="834"/>
      <c r="B61" s="435">
        <v>10</v>
      </c>
      <c r="C61" s="829">
        <v>8.4</v>
      </c>
      <c r="D61" s="832"/>
      <c r="E61" s="833" t="s">
        <v>3128</v>
      </c>
      <c r="F61" s="435">
        <v>6</v>
      </c>
      <c r="G61" s="829">
        <v>10.3</v>
      </c>
      <c r="H61" s="832"/>
      <c r="I61" s="833" t="s">
        <v>3139</v>
      </c>
      <c r="J61" s="834"/>
    </row>
    <row r="62" spans="1:10">
      <c r="A62" s="834"/>
      <c r="B62" s="435"/>
      <c r="C62" s="829">
        <v>0.25</v>
      </c>
      <c r="D62" s="832"/>
      <c r="E62" s="833" t="s">
        <v>2915</v>
      </c>
      <c r="F62" s="435"/>
      <c r="G62" s="829">
        <v>0.4</v>
      </c>
      <c r="H62" s="832">
        <f>G62*G61*F61</f>
        <v>24.72</v>
      </c>
      <c r="I62" s="833"/>
      <c r="J62" s="834"/>
    </row>
    <row r="63" spans="1:10">
      <c r="A63" s="834"/>
      <c r="B63" s="435"/>
      <c r="C63" s="829">
        <v>0</v>
      </c>
      <c r="D63" s="832">
        <f>B61*C61*C62*C63</f>
        <v>0</v>
      </c>
      <c r="E63" s="833"/>
      <c r="F63" s="1193"/>
      <c r="G63" s="848"/>
      <c r="H63" s="843"/>
      <c r="I63" s="435"/>
      <c r="J63" s="834"/>
    </row>
    <row r="64" spans="1:10" ht="18">
      <c r="A64" s="834"/>
      <c r="B64" s="109"/>
      <c r="C64" s="860"/>
      <c r="D64" s="860"/>
      <c r="E64" s="109"/>
      <c r="F64" s="857"/>
      <c r="G64" s="857"/>
      <c r="H64" s="858">
        <f>H62+H59</f>
        <v>49.14</v>
      </c>
      <c r="I64" s="859" t="s">
        <v>3189</v>
      </c>
      <c r="J64" s="834"/>
    </row>
    <row r="65" spans="1:10">
      <c r="A65" s="1162"/>
      <c r="B65" s="909" t="s">
        <v>1884</v>
      </c>
      <c r="C65" s="911" t="s">
        <v>526</v>
      </c>
      <c r="D65" s="910" t="s">
        <v>1885</v>
      </c>
      <c r="E65" s="911" t="s">
        <v>1886</v>
      </c>
      <c r="F65" s="909" t="s">
        <v>1884</v>
      </c>
      <c r="G65" s="911" t="s">
        <v>526</v>
      </c>
      <c r="H65" s="910" t="s">
        <v>1885</v>
      </c>
      <c r="I65" s="911" t="s">
        <v>1886</v>
      </c>
      <c r="J65" s="1162"/>
    </row>
    <row r="66" spans="1:10">
      <c r="A66" s="834"/>
      <c r="B66" s="435"/>
      <c r="C66" s="829"/>
      <c r="D66" s="832"/>
      <c r="E66" s="844" t="s">
        <v>3022</v>
      </c>
      <c r="F66" s="435"/>
      <c r="G66" s="829"/>
      <c r="H66" s="832"/>
      <c r="I66" s="844" t="s">
        <v>1843</v>
      </c>
    </row>
    <row r="67" spans="1:10">
      <c r="A67" s="834"/>
      <c r="B67" s="435">
        <v>1</v>
      </c>
      <c r="C67" s="829">
        <v>19.850000000000001</v>
      </c>
      <c r="D67" s="832"/>
      <c r="E67" s="833" t="s">
        <v>3140</v>
      </c>
      <c r="F67" s="435"/>
      <c r="G67" s="829"/>
      <c r="H67" s="832"/>
      <c r="I67" s="844" t="s">
        <v>2558</v>
      </c>
    </row>
    <row r="68" spans="1:10">
      <c r="A68" s="834"/>
      <c r="B68" s="435"/>
      <c r="C68" s="829">
        <v>11</v>
      </c>
      <c r="D68" s="832">
        <f>B67*C67*C68</f>
        <v>218.35000000000002</v>
      </c>
      <c r="E68" s="833" t="s">
        <v>3141</v>
      </c>
      <c r="F68" s="435">
        <v>3</v>
      </c>
      <c r="G68" s="829">
        <v>20.350000000000001</v>
      </c>
      <c r="H68" s="832"/>
      <c r="I68" s="833" t="s">
        <v>1951</v>
      </c>
    </row>
    <row r="69" spans="1:10">
      <c r="A69" s="834"/>
      <c r="B69" s="435"/>
      <c r="C69" s="435"/>
      <c r="D69" s="435"/>
      <c r="E69" s="435"/>
      <c r="F69" s="435"/>
      <c r="G69" s="829">
        <v>0.4</v>
      </c>
      <c r="H69" s="832"/>
      <c r="I69" s="833" t="s">
        <v>3138</v>
      </c>
    </row>
    <row r="70" spans="1:10">
      <c r="A70" s="834"/>
      <c r="B70" s="435"/>
      <c r="C70" s="829"/>
      <c r="D70" s="832"/>
      <c r="E70" s="844" t="s">
        <v>1915</v>
      </c>
      <c r="F70" s="435"/>
      <c r="G70" s="829">
        <v>0.46</v>
      </c>
      <c r="H70" s="832">
        <f>G70*G69*G68*F68</f>
        <v>11.233200000000002</v>
      </c>
      <c r="I70" s="833"/>
    </row>
    <row r="71" spans="1:10">
      <c r="A71" s="834"/>
      <c r="B71" s="435"/>
      <c r="C71" s="829"/>
      <c r="D71" s="832"/>
      <c r="E71" s="833" t="s">
        <v>1916</v>
      </c>
      <c r="F71" s="435"/>
      <c r="G71" s="829"/>
      <c r="H71" s="832"/>
      <c r="I71" s="833"/>
    </row>
    <row r="72" spans="1:10">
      <c r="A72" s="834"/>
      <c r="B72" s="435">
        <v>1</v>
      </c>
      <c r="C72" s="829">
        <v>19.850000000000001</v>
      </c>
      <c r="D72" s="832"/>
      <c r="E72" s="833" t="s">
        <v>3140</v>
      </c>
      <c r="F72" s="435">
        <v>6</v>
      </c>
      <c r="G72" s="829">
        <v>10.3</v>
      </c>
      <c r="H72" s="832"/>
      <c r="I72" s="833" t="s">
        <v>1952</v>
      </c>
    </row>
    <row r="73" spans="1:10">
      <c r="A73" s="834"/>
      <c r="B73" s="435"/>
      <c r="C73" s="829">
        <v>0.25</v>
      </c>
      <c r="D73" s="832">
        <f>B72*C72*C73</f>
        <v>4.9625000000000004</v>
      </c>
      <c r="E73" s="833"/>
      <c r="F73" s="435"/>
      <c r="G73" s="829">
        <v>0.4</v>
      </c>
      <c r="H73" s="832"/>
      <c r="I73" s="833" t="s">
        <v>3139</v>
      </c>
    </row>
    <row r="74" spans="1:10">
      <c r="A74" s="834"/>
      <c r="B74" s="435"/>
      <c r="C74" s="829"/>
      <c r="D74" s="832"/>
      <c r="E74" s="833" t="s">
        <v>1914</v>
      </c>
      <c r="F74" s="435"/>
      <c r="G74" s="829">
        <v>0.46</v>
      </c>
      <c r="H74" s="832">
        <f>G74*G73*G72*F72</f>
        <v>11.371200000000002</v>
      </c>
      <c r="I74" s="833"/>
    </row>
    <row r="75" spans="1:10">
      <c r="A75" s="834"/>
      <c r="B75" s="435">
        <v>4</v>
      </c>
      <c r="C75" s="829">
        <v>10.75</v>
      </c>
      <c r="D75" s="832"/>
      <c r="E75" s="833" t="s">
        <v>3142</v>
      </c>
      <c r="F75" s="435"/>
      <c r="G75" s="435"/>
      <c r="H75" s="435"/>
      <c r="I75" s="435"/>
    </row>
    <row r="76" spans="1:10" ht="18.75" customHeight="1">
      <c r="A76" s="834"/>
      <c r="B76" s="435"/>
      <c r="C76" s="829">
        <v>0.25</v>
      </c>
      <c r="D76" s="832">
        <f>B75*C75*C76</f>
        <v>10.75</v>
      </c>
      <c r="E76" s="833"/>
      <c r="F76" s="435"/>
      <c r="G76" s="829"/>
      <c r="H76" s="832">
        <f>H70+H74</f>
        <v>22.604400000000005</v>
      </c>
      <c r="I76" s="833" t="s">
        <v>3206</v>
      </c>
    </row>
    <row r="77" spans="1:10">
      <c r="A77" s="834"/>
      <c r="B77" s="435"/>
      <c r="C77" s="829"/>
      <c r="D77" s="832"/>
      <c r="E77" s="833"/>
      <c r="F77" s="435"/>
      <c r="G77" s="435"/>
      <c r="H77" s="435"/>
      <c r="I77" s="435"/>
    </row>
    <row r="78" spans="1:10" ht="18">
      <c r="A78" s="834"/>
      <c r="B78" s="839"/>
      <c r="C78" s="935"/>
      <c r="D78" s="838">
        <f>D68-D73-D76</f>
        <v>202.63750000000002</v>
      </c>
      <c r="E78" s="839" t="s">
        <v>3178</v>
      </c>
      <c r="F78" s="831"/>
      <c r="G78" s="829"/>
      <c r="H78" s="832"/>
      <c r="I78" s="844" t="s">
        <v>2815</v>
      </c>
    </row>
    <row r="79" spans="1:10">
      <c r="A79" s="834"/>
      <c r="B79" s="435"/>
      <c r="C79" s="829"/>
      <c r="D79" s="832"/>
      <c r="E79" s="833"/>
      <c r="F79" s="831">
        <v>1</v>
      </c>
      <c r="G79" s="829">
        <v>20.350000000000001</v>
      </c>
      <c r="H79" s="832"/>
      <c r="I79" s="833" t="s">
        <v>3116</v>
      </c>
    </row>
    <row r="80" spans="1:10">
      <c r="A80" s="834"/>
      <c r="B80" s="435"/>
      <c r="C80" s="435"/>
      <c r="D80" s="435"/>
      <c r="E80" s="844" t="s">
        <v>3198</v>
      </c>
      <c r="F80" s="831"/>
      <c r="G80" s="829">
        <v>0.4</v>
      </c>
      <c r="H80" s="832"/>
      <c r="I80" s="833"/>
    </row>
    <row r="81" spans="1:10">
      <c r="A81" s="834"/>
      <c r="B81" s="435">
        <v>3</v>
      </c>
      <c r="C81" s="435">
        <v>20.350000000000001</v>
      </c>
      <c r="D81" s="435"/>
      <c r="E81" s="435"/>
      <c r="F81" s="831"/>
      <c r="G81" s="829">
        <v>0.51</v>
      </c>
      <c r="H81" s="832">
        <f>F79*G79*G80*G81</f>
        <v>4.1514000000000006</v>
      </c>
      <c r="I81" s="833"/>
    </row>
    <row r="82" spans="1:10">
      <c r="A82" s="834"/>
      <c r="B82" s="435"/>
      <c r="C82" s="435">
        <v>0.25</v>
      </c>
      <c r="D82" s="435"/>
      <c r="E82" s="435"/>
      <c r="F82" s="831"/>
      <c r="G82" s="829"/>
      <c r="H82" s="832"/>
      <c r="I82" s="833"/>
      <c r="J82" s="834"/>
    </row>
    <row r="83" spans="1:10">
      <c r="A83" s="834"/>
      <c r="B83" s="435"/>
      <c r="C83" s="435">
        <v>0.4</v>
      </c>
      <c r="D83" s="435">
        <f>C83*C82*C81*B81</f>
        <v>6.1050000000000004</v>
      </c>
      <c r="E83" s="435"/>
      <c r="F83" s="831"/>
      <c r="G83" s="829"/>
      <c r="H83" s="832"/>
      <c r="I83" s="833" t="s">
        <v>3117</v>
      </c>
      <c r="J83" s="834"/>
    </row>
    <row r="84" spans="1:10">
      <c r="A84" s="834"/>
      <c r="B84" s="435"/>
      <c r="C84" s="435"/>
      <c r="D84" s="435"/>
      <c r="E84" s="435"/>
      <c r="F84" s="831">
        <v>1</v>
      </c>
      <c r="G84" s="829">
        <v>11</v>
      </c>
      <c r="H84" s="832"/>
      <c r="I84" s="833"/>
      <c r="J84" s="834"/>
    </row>
    <row r="85" spans="1:10">
      <c r="A85" s="834"/>
      <c r="B85" s="435">
        <v>6</v>
      </c>
      <c r="C85" s="435">
        <v>10.75</v>
      </c>
      <c r="D85" s="435"/>
      <c r="E85" s="435"/>
      <c r="F85" s="831"/>
      <c r="G85" s="829">
        <v>0.4</v>
      </c>
      <c r="H85" s="832"/>
      <c r="I85" s="833"/>
      <c r="J85" s="834"/>
    </row>
    <row r="86" spans="1:10">
      <c r="A86" s="834"/>
      <c r="B86" s="435"/>
      <c r="C86" s="435">
        <v>0.25</v>
      </c>
      <c r="D86" s="435"/>
      <c r="E86" s="435"/>
      <c r="F86" s="831"/>
      <c r="G86" s="829">
        <v>0.4</v>
      </c>
      <c r="H86" s="832">
        <f>F84*G84*G85*G86</f>
        <v>1.7600000000000002</v>
      </c>
      <c r="I86" s="833"/>
      <c r="J86" s="834"/>
    </row>
    <row r="87" spans="1:10" ht="19.5" customHeight="1">
      <c r="A87" s="834"/>
      <c r="B87" s="435"/>
      <c r="C87" s="435">
        <v>0.4</v>
      </c>
      <c r="D87" s="435">
        <f>C87*C86*C85*B85</f>
        <v>6.4499999999999993</v>
      </c>
      <c r="E87" s="435"/>
      <c r="F87" s="1335"/>
      <c r="G87" s="848"/>
      <c r="H87" s="843"/>
      <c r="I87" s="435"/>
      <c r="J87" s="834"/>
    </row>
    <row r="88" spans="1:10" ht="18">
      <c r="A88" s="834"/>
      <c r="B88" s="435"/>
      <c r="C88" s="435"/>
      <c r="D88" s="435"/>
      <c r="E88" s="435"/>
      <c r="F88" s="839"/>
      <c r="G88" s="935"/>
      <c r="H88" s="838">
        <f>H81+H86</f>
        <v>5.9114000000000004</v>
      </c>
      <c r="I88" s="839" t="s">
        <v>3204</v>
      </c>
      <c r="J88" s="834"/>
    </row>
    <row r="89" spans="1:10">
      <c r="A89" s="834"/>
      <c r="B89" s="839"/>
      <c r="C89" s="935"/>
      <c r="D89" s="838">
        <f>SUM(D83:D87)</f>
        <v>12.555</v>
      </c>
      <c r="E89" s="839" t="s">
        <v>3197</v>
      </c>
      <c r="F89" s="831"/>
      <c r="G89" s="829"/>
      <c r="H89" s="832"/>
      <c r="I89" s="833"/>
      <c r="J89" s="834"/>
    </row>
    <row r="90" spans="1:10">
      <c r="A90" s="834"/>
      <c r="B90" s="435"/>
      <c r="C90" s="435"/>
      <c r="D90" s="435"/>
      <c r="E90" s="435"/>
      <c r="F90" s="831"/>
      <c r="G90" s="829"/>
      <c r="H90" s="832">
        <f>H76-H88</f>
        <v>16.693000000000005</v>
      </c>
      <c r="I90" s="833" t="s">
        <v>2987</v>
      </c>
      <c r="J90" s="834"/>
    </row>
    <row r="91" spans="1:10">
      <c r="A91" s="834"/>
      <c r="B91" s="435"/>
      <c r="C91" s="829"/>
      <c r="D91" s="832"/>
      <c r="E91" s="844" t="s">
        <v>3146</v>
      </c>
      <c r="F91" s="1335"/>
      <c r="G91" s="848"/>
      <c r="H91" s="843"/>
      <c r="I91" s="435"/>
      <c r="J91" s="834"/>
    </row>
    <row r="92" spans="1:10" ht="18">
      <c r="A92" s="834"/>
      <c r="B92" s="435"/>
      <c r="C92" s="829"/>
      <c r="D92" s="832"/>
      <c r="E92" s="844" t="s">
        <v>1945</v>
      </c>
      <c r="F92" s="839"/>
      <c r="G92" s="935"/>
      <c r="H92" s="838">
        <f>H90</f>
        <v>16.693000000000005</v>
      </c>
      <c r="I92" s="839" t="s">
        <v>3205</v>
      </c>
      <c r="J92" s="834"/>
    </row>
    <row r="93" spans="1:10">
      <c r="A93" s="834"/>
      <c r="B93" s="435">
        <v>6</v>
      </c>
      <c r="C93" s="829">
        <v>20.350000000000001</v>
      </c>
      <c r="D93" s="832"/>
      <c r="E93" s="833" t="s">
        <v>3143</v>
      </c>
      <c r="F93" s="831"/>
      <c r="G93" s="829"/>
      <c r="H93" s="832"/>
      <c r="I93" s="833"/>
      <c r="J93" s="834"/>
    </row>
    <row r="94" spans="1:10">
      <c r="A94" s="834"/>
      <c r="B94" s="435"/>
      <c r="C94" s="829">
        <v>0.4</v>
      </c>
      <c r="D94" s="832">
        <f>B93*C93*C94</f>
        <v>48.84</v>
      </c>
      <c r="E94" s="833"/>
      <c r="F94" s="831"/>
      <c r="G94" s="829"/>
      <c r="H94" s="832"/>
      <c r="I94" s="833"/>
      <c r="J94" s="834"/>
    </row>
    <row r="95" spans="1:10">
      <c r="A95" s="834"/>
      <c r="B95" s="435"/>
      <c r="C95" s="829"/>
      <c r="D95" s="832"/>
      <c r="E95" s="833"/>
      <c r="F95" s="831"/>
      <c r="G95" s="829"/>
      <c r="H95" s="832"/>
      <c r="I95" s="833"/>
      <c r="J95" s="834"/>
    </row>
    <row r="96" spans="1:10">
      <c r="A96" s="834"/>
      <c r="B96" s="435">
        <v>12</v>
      </c>
      <c r="C96" s="829">
        <v>11</v>
      </c>
      <c r="D96" s="832"/>
      <c r="E96" s="833" t="s">
        <v>3144</v>
      </c>
      <c r="F96" s="831"/>
      <c r="G96" s="829"/>
      <c r="H96" s="832"/>
      <c r="I96" s="833"/>
      <c r="J96" s="834"/>
    </row>
    <row r="97" spans="1:10">
      <c r="A97" s="834"/>
      <c r="B97" s="435"/>
      <c r="C97" s="829">
        <v>0.4</v>
      </c>
      <c r="D97" s="832">
        <f>B96*C96*C97</f>
        <v>52.800000000000004</v>
      </c>
      <c r="E97" s="833"/>
      <c r="F97" s="831"/>
      <c r="G97" s="829"/>
      <c r="H97" s="832"/>
      <c r="I97" s="833"/>
      <c r="J97" s="834"/>
    </row>
    <row r="98" spans="1:10">
      <c r="A98" s="834"/>
      <c r="B98" s="435"/>
      <c r="C98" s="829"/>
      <c r="D98" s="832"/>
      <c r="E98" s="833"/>
      <c r="F98" s="831"/>
      <c r="G98" s="829"/>
      <c r="H98" s="832"/>
      <c r="I98" s="833"/>
      <c r="J98" s="834"/>
    </row>
    <row r="99" spans="1:10">
      <c r="A99" s="834"/>
      <c r="B99" s="435">
        <v>34</v>
      </c>
      <c r="C99" s="829">
        <v>0.4</v>
      </c>
      <c r="D99" s="832"/>
      <c r="E99" s="833" t="s">
        <v>1915</v>
      </c>
      <c r="F99" s="831"/>
      <c r="G99" s="829"/>
      <c r="H99" s="832"/>
      <c r="I99" s="833"/>
      <c r="J99" s="834"/>
    </row>
    <row r="100" spans="1:10">
      <c r="A100" s="834"/>
      <c r="B100" s="435"/>
      <c r="C100" s="829">
        <v>0.25</v>
      </c>
      <c r="D100" s="832">
        <f>B99*C99*C100</f>
        <v>3.4000000000000004</v>
      </c>
      <c r="E100" s="833"/>
      <c r="F100" s="831"/>
      <c r="G100" s="829"/>
      <c r="H100" s="832"/>
      <c r="I100" s="833"/>
      <c r="J100" s="834"/>
    </row>
    <row r="101" spans="1:10">
      <c r="A101" s="834"/>
      <c r="B101" s="435"/>
      <c r="C101" s="829"/>
      <c r="D101" s="832"/>
      <c r="E101" s="833"/>
      <c r="F101" s="831"/>
      <c r="G101" s="829"/>
      <c r="H101" s="832"/>
      <c r="I101" s="833"/>
      <c r="J101" s="834"/>
    </row>
    <row r="102" spans="1:10" ht="18">
      <c r="A102" s="834"/>
      <c r="B102" s="839"/>
      <c r="C102" s="839"/>
      <c r="D102" s="838">
        <f>D94+D97-D100</f>
        <v>98.240000000000009</v>
      </c>
      <c r="E102" s="845" t="s">
        <v>3196</v>
      </c>
      <c r="F102" s="831"/>
      <c r="G102" s="829"/>
      <c r="H102" s="832"/>
      <c r="I102" s="833"/>
      <c r="J102" s="834"/>
    </row>
    <row r="103" spans="1:10">
      <c r="A103" s="834"/>
      <c r="B103" s="435"/>
      <c r="C103" s="1193"/>
      <c r="D103" s="1193"/>
      <c r="E103" s="435"/>
      <c r="F103" s="831"/>
      <c r="G103" s="829"/>
      <c r="H103" s="832"/>
      <c r="I103" s="833"/>
      <c r="J103" s="834"/>
    </row>
    <row r="104" spans="1:10">
      <c r="A104" s="834"/>
      <c r="B104" s="831"/>
      <c r="C104" s="829"/>
      <c r="D104" s="832"/>
      <c r="E104" s="837" t="s">
        <v>1899</v>
      </c>
      <c r="F104" s="831"/>
      <c r="G104" s="829"/>
      <c r="H104" s="832"/>
      <c r="I104" s="833"/>
      <c r="J104" s="834"/>
    </row>
    <row r="105" spans="1:10">
      <c r="A105" s="834"/>
      <c r="B105" s="831"/>
      <c r="C105" s="829"/>
      <c r="D105" s="832"/>
      <c r="E105" s="844" t="s">
        <v>3195</v>
      </c>
      <c r="F105" s="831"/>
      <c r="G105" s="829"/>
      <c r="H105" s="832"/>
      <c r="I105" s="833"/>
      <c r="J105" s="834"/>
    </row>
    <row r="106" spans="1:10">
      <c r="A106" s="834"/>
      <c r="B106" s="839"/>
      <c r="C106" s="839"/>
      <c r="D106" s="838">
        <f>'[23]Daigon Reinf'!N30</f>
        <v>1054.2609</v>
      </c>
      <c r="E106" s="845" t="s">
        <v>3028</v>
      </c>
      <c r="F106" s="831"/>
      <c r="G106" s="829"/>
      <c r="H106" s="832"/>
      <c r="I106" s="833"/>
      <c r="J106" s="834" t="e">
        <f>#REF!*#REF!</f>
        <v>#REF!</v>
      </c>
    </row>
    <row r="107" spans="1:10">
      <c r="A107" s="834"/>
      <c r="B107" s="831"/>
      <c r="C107" s="829"/>
      <c r="D107" s="832"/>
      <c r="E107" s="833"/>
      <c r="F107" s="831"/>
      <c r="G107" s="829"/>
      <c r="H107" s="832"/>
      <c r="I107" s="833"/>
      <c r="J107" s="834"/>
    </row>
    <row r="108" spans="1:10">
      <c r="A108" s="834"/>
      <c r="B108" s="831"/>
      <c r="C108" s="829"/>
      <c r="D108" s="832"/>
      <c r="E108" s="844" t="s">
        <v>3036</v>
      </c>
      <c r="F108" s="831"/>
      <c r="G108" s="829"/>
      <c r="H108" s="832"/>
      <c r="I108" s="833"/>
      <c r="J108" s="834"/>
    </row>
    <row r="109" spans="1:10">
      <c r="A109" s="834"/>
      <c r="B109" s="839"/>
      <c r="C109" s="839"/>
      <c r="D109" s="838">
        <f>'[23]Daigon Reinf'!K30+'[23]Daigon Reinf'!K60</f>
        <v>1260.85185</v>
      </c>
      <c r="E109" s="845" t="s">
        <v>2935</v>
      </c>
      <c r="F109" s="831"/>
      <c r="G109" s="829"/>
      <c r="H109" s="832"/>
      <c r="I109" s="833"/>
      <c r="J109" s="834"/>
    </row>
    <row r="110" spans="1:10">
      <c r="A110" s="834"/>
      <c r="B110" s="435"/>
      <c r="C110" s="435"/>
      <c r="D110" s="435"/>
      <c r="E110" s="435"/>
      <c r="F110" s="831"/>
      <c r="G110" s="829"/>
      <c r="H110" s="832"/>
      <c r="I110" s="833"/>
      <c r="J110" s="834"/>
    </row>
    <row r="111" spans="1:10">
      <c r="A111" s="834"/>
      <c r="B111" s="435"/>
      <c r="C111" s="829"/>
      <c r="D111" s="832"/>
      <c r="E111" s="844" t="s">
        <v>3030</v>
      </c>
      <c r="F111" s="831"/>
      <c r="G111" s="829"/>
      <c r="H111" s="832"/>
      <c r="I111" s="833"/>
      <c r="J111" s="834"/>
    </row>
    <row r="112" spans="1:10">
      <c r="A112" s="834"/>
      <c r="B112" s="435"/>
      <c r="C112" s="829"/>
      <c r="D112" s="832"/>
      <c r="E112" s="833" t="s">
        <v>1916</v>
      </c>
      <c r="F112" s="831"/>
      <c r="G112" s="829"/>
      <c r="H112" s="832"/>
      <c r="I112" s="833"/>
      <c r="J112" s="834"/>
    </row>
    <row r="113" spans="1:11">
      <c r="A113" s="834"/>
      <c r="B113" s="435">
        <v>4</v>
      </c>
      <c r="C113" s="829">
        <v>18.850000000000001</v>
      </c>
      <c r="D113" s="832"/>
      <c r="E113" s="833" t="s">
        <v>3145</v>
      </c>
      <c r="F113" s="831"/>
      <c r="G113" s="829"/>
      <c r="H113" s="832"/>
      <c r="I113" s="833"/>
      <c r="J113" s="834"/>
    </row>
    <row r="114" spans="1:11">
      <c r="A114" s="834"/>
      <c r="B114" s="435"/>
      <c r="C114" s="829"/>
      <c r="D114" s="832">
        <f>B113*C113</f>
        <v>75.400000000000006</v>
      </c>
      <c r="E114" s="833"/>
      <c r="F114" s="831"/>
      <c r="G114" s="829"/>
      <c r="H114" s="832"/>
      <c r="I114" s="833"/>
      <c r="J114" s="834"/>
    </row>
    <row r="115" spans="1:11">
      <c r="A115" s="834"/>
      <c r="B115" s="435"/>
      <c r="C115" s="829"/>
      <c r="D115" s="832"/>
      <c r="E115" s="833" t="s">
        <v>1914</v>
      </c>
      <c r="F115" s="831"/>
      <c r="G115" s="829"/>
      <c r="H115" s="832"/>
      <c r="I115" s="833"/>
      <c r="J115" s="834"/>
    </row>
    <row r="116" spans="1:11">
      <c r="A116" s="834"/>
      <c r="B116" s="435">
        <v>10</v>
      </c>
      <c r="C116" s="829">
        <v>10.75</v>
      </c>
      <c r="D116" s="832"/>
      <c r="E116" s="833" t="s">
        <v>3142</v>
      </c>
      <c r="F116" s="831"/>
      <c r="G116" s="829"/>
      <c r="H116" s="832"/>
      <c r="I116" s="833"/>
      <c r="J116" s="834"/>
    </row>
    <row r="117" spans="1:11">
      <c r="A117" s="834"/>
      <c r="B117" s="435"/>
      <c r="C117" s="829"/>
      <c r="D117" s="832">
        <f>B116*C116</f>
        <v>107.5</v>
      </c>
      <c r="E117" s="833"/>
      <c r="F117" s="831"/>
      <c r="G117" s="829"/>
      <c r="H117" s="832"/>
      <c r="I117" s="833"/>
      <c r="J117" s="834"/>
      <c r="K117" s="834"/>
    </row>
    <row r="118" spans="1:11">
      <c r="A118" s="834"/>
      <c r="B118" s="435"/>
      <c r="C118" s="829"/>
      <c r="D118" s="832"/>
      <c r="E118" s="833"/>
      <c r="F118" s="831"/>
      <c r="G118" s="829"/>
      <c r="H118" s="832"/>
      <c r="I118" s="833"/>
      <c r="J118" s="834" t="e">
        <f>SUM(J106:J117)</f>
        <v>#REF!</v>
      </c>
      <c r="K118" s="834"/>
    </row>
    <row r="119" spans="1:11" s="998" customFormat="1">
      <c r="A119" s="834"/>
      <c r="B119" s="839"/>
      <c r="C119" s="839"/>
      <c r="D119" s="838">
        <f>D117+D114</f>
        <v>182.9</v>
      </c>
      <c r="E119" s="845" t="s">
        <v>2936</v>
      </c>
      <c r="F119" s="831"/>
      <c r="G119" s="829"/>
      <c r="H119" s="832"/>
      <c r="I119" s="833"/>
      <c r="J119" s="834"/>
      <c r="K119" s="834"/>
    </row>
    <row r="120" spans="1:11" s="998" customFormat="1">
      <c r="A120" s="834"/>
      <c r="B120" s="831"/>
      <c r="C120" s="829"/>
      <c r="D120" s="832"/>
      <c r="E120" s="833"/>
      <c r="F120" s="831"/>
      <c r="G120" s="829"/>
      <c r="H120" s="832"/>
      <c r="I120" s="833"/>
      <c r="J120" s="834"/>
    </row>
    <row r="121" spans="1:11" s="998" customFormat="1">
      <c r="A121" s="834"/>
      <c r="B121" s="849"/>
      <c r="C121" s="850"/>
      <c r="D121" s="851"/>
      <c r="E121" s="1163"/>
      <c r="F121" s="849"/>
      <c r="G121" s="850"/>
      <c r="H121" s="851"/>
      <c r="I121" s="1163"/>
      <c r="J121" s="834"/>
    </row>
    <row r="122" spans="1:11">
      <c r="C122" s="103"/>
      <c r="D122" s="103"/>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4" max="9"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7"/>
  <sheetViews>
    <sheetView view="pageBreakPreview" zoomScale="80" zoomScaleNormal="115" zoomScaleSheetLayoutView="80" zoomScalePageLayoutView="85" workbookViewId="0">
      <selection activeCell="B310" sqref="B310:E326"/>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19"/>
      <c r="H1" s="919"/>
      <c r="I1" s="920"/>
      <c r="J1" s="820"/>
    </row>
    <row r="2" spans="1:10">
      <c r="A2" s="818"/>
      <c r="B2" s="2059" t="s">
        <v>1917</v>
      </c>
      <c r="C2" s="2059"/>
      <c r="D2" s="2059"/>
      <c r="E2" s="2059"/>
      <c r="F2" s="819"/>
      <c r="G2" s="919"/>
      <c r="J2" s="818"/>
    </row>
    <row r="3" spans="1:10">
      <c r="A3" s="818"/>
      <c r="B3" s="2059" t="s">
        <v>1920</v>
      </c>
      <c r="C3" s="2059"/>
      <c r="D3" s="2059"/>
      <c r="E3" s="2059"/>
      <c r="F3" s="2059"/>
      <c r="G3" s="919"/>
      <c r="H3" s="2060" t="s">
        <v>2426</v>
      </c>
      <c r="I3" s="2060"/>
      <c r="J3" s="818"/>
    </row>
    <row r="4" spans="1:10">
      <c r="A4" s="818"/>
      <c r="B4" s="2059" t="s">
        <v>1921</v>
      </c>
      <c r="C4" s="2059"/>
      <c r="D4" s="2059"/>
      <c r="E4" s="2059"/>
      <c r="F4" s="819"/>
      <c r="G4" s="919"/>
      <c r="H4" s="2089"/>
      <c r="I4" s="2089"/>
      <c r="J4" s="818"/>
    </row>
    <row r="5" spans="1:10">
      <c r="A5" s="818"/>
      <c r="B5" s="824"/>
      <c r="C5" s="919"/>
      <c r="D5" s="919"/>
      <c r="E5" s="825"/>
      <c r="F5" s="819"/>
      <c r="G5" s="919"/>
      <c r="H5" s="827"/>
      <c r="I5" s="918"/>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c r="G7" s="829"/>
      <c r="H7" s="832"/>
      <c r="I7" s="844" t="s">
        <v>32</v>
      </c>
    </row>
    <row r="8" spans="1:10">
      <c r="A8" s="818"/>
      <c r="B8" s="831"/>
      <c r="C8" s="829"/>
      <c r="D8" s="832"/>
      <c r="E8" s="844" t="s">
        <v>25</v>
      </c>
      <c r="F8" s="831"/>
      <c r="G8" s="829"/>
      <c r="H8" s="832"/>
      <c r="I8" s="844" t="s">
        <v>33</v>
      </c>
    </row>
    <row r="9" spans="1:10">
      <c r="A9" s="818"/>
      <c r="B9" s="831"/>
      <c r="C9" s="829"/>
      <c r="D9" s="832"/>
      <c r="E9" s="844" t="s">
        <v>27</v>
      </c>
      <c r="F9" s="831">
        <v>18</v>
      </c>
      <c r="G9" s="829">
        <v>0.8</v>
      </c>
      <c r="H9" s="832"/>
      <c r="I9" s="833" t="s">
        <v>414</v>
      </c>
    </row>
    <row r="10" spans="1:10">
      <c r="A10" s="818"/>
      <c r="B10" s="831">
        <v>18</v>
      </c>
      <c r="C10" s="829">
        <v>0.2</v>
      </c>
      <c r="D10" s="832"/>
      <c r="E10" s="833" t="s">
        <v>953</v>
      </c>
      <c r="F10" s="831"/>
      <c r="G10" s="829">
        <v>2.73</v>
      </c>
      <c r="H10" s="832"/>
      <c r="I10" s="833"/>
    </row>
    <row r="11" spans="1:10">
      <c r="A11" s="818"/>
      <c r="B11" s="831"/>
      <c r="C11" s="829">
        <v>0.2</v>
      </c>
      <c r="D11" s="832"/>
      <c r="E11" s="833"/>
      <c r="F11" s="839"/>
      <c r="G11" s="935"/>
      <c r="H11" s="838">
        <f>G9*G10*F9</f>
        <v>39.312000000000005</v>
      </c>
      <c r="I11" s="839" t="s">
        <v>2117</v>
      </c>
    </row>
    <row r="12" spans="1:10">
      <c r="A12" s="818"/>
      <c r="B12" s="831"/>
      <c r="C12" s="829">
        <v>2.73</v>
      </c>
      <c r="D12" s="832"/>
      <c r="E12" s="833"/>
      <c r="F12" s="831"/>
      <c r="G12" s="829"/>
      <c r="H12" s="832"/>
      <c r="I12" s="833"/>
    </row>
    <row r="13" spans="1:10">
      <c r="A13" s="818"/>
      <c r="B13" s="839"/>
      <c r="C13" s="935"/>
      <c r="D13" s="838">
        <f>B10*C10*C11*C12</f>
        <v>1.9656000000000002</v>
      </c>
      <c r="E13" s="839" t="s">
        <v>2116</v>
      </c>
      <c r="F13" s="831"/>
      <c r="G13" s="829"/>
      <c r="H13" s="832"/>
      <c r="I13" s="844" t="s">
        <v>38</v>
      </c>
    </row>
    <row r="14" spans="1:10">
      <c r="A14" s="818"/>
      <c r="B14" s="831"/>
      <c r="C14" s="829"/>
      <c r="D14" s="832"/>
      <c r="E14" s="833"/>
      <c r="F14" s="831">
        <v>2</v>
      </c>
      <c r="G14" s="829">
        <v>20.75</v>
      </c>
      <c r="H14" s="832"/>
      <c r="I14" s="833" t="s">
        <v>30</v>
      </c>
    </row>
    <row r="15" spans="1:10">
      <c r="A15" s="818"/>
      <c r="B15" s="831"/>
      <c r="C15" s="829"/>
      <c r="D15" s="832"/>
      <c r="E15" s="844" t="s">
        <v>29</v>
      </c>
      <c r="F15" s="831"/>
      <c r="G15" s="829">
        <v>0.8</v>
      </c>
      <c r="H15" s="832">
        <f>F14*G15*G14</f>
        <v>33.200000000000003</v>
      </c>
      <c r="I15" s="833" t="s">
        <v>880</v>
      </c>
    </row>
    <row r="16" spans="1:10">
      <c r="A16" s="818"/>
      <c r="B16" s="831">
        <v>2</v>
      </c>
      <c r="C16" s="829">
        <v>21.95</v>
      </c>
      <c r="D16" s="832"/>
      <c r="E16" s="833" t="s">
        <v>30</v>
      </c>
      <c r="F16" s="831"/>
      <c r="G16" s="829"/>
      <c r="H16" s="832"/>
      <c r="I16" s="833" t="s">
        <v>40</v>
      </c>
    </row>
    <row r="17" spans="1:9">
      <c r="A17" s="818"/>
      <c r="B17" s="831"/>
      <c r="C17" s="829">
        <v>0.3</v>
      </c>
      <c r="D17" s="832"/>
      <c r="E17" s="833" t="s">
        <v>955</v>
      </c>
      <c r="F17" s="831">
        <v>20</v>
      </c>
      <c r="G17" s="829">
        <v>0.3</v>
      </c>
      <c r="H17" s="832"/>
      <c r="I17" s="833"/>
    </row>
    <row r="18" spans="1:9">
      <c r="A18" s="818"/>
      <c r="B18" s="831"/>
      <c r="C18" s="829">
        <v>0.2</v>
      </c>
      <c r="D18" s="832">
        <f>B16*C16*C17*C18</f>
        <v>2.6340000000000003</v>
      </c>
      <c r="E18" s="833"/>
      <c r="F18" s="831"/>
      <c r="G18" s="829">
        <v>0.2</v>
      </c>
      <c r="H18" s="832">
        <f>F17*G18*G17</f>
        <v>1.2</v>
      </c>
      <c r="I18" s="833"/>
    </row>
    <row r="19" spans="1:9">
      <c r="A19" s="818"/>
      <c r="B19" s="831"/>
      <c r="C19" s="829"/>
      <c r="D19" s="832"/>
      <c r="E19" s="833"/>
      <c r="F19" s="831"/>
      <c r="G19" s="829"/>
      <c r="H19" s="832"/>
      <c r="I19" s="833"/>
    </row>
    <row r="20" spans="1:9">
      <c r="A20" s="818"/>
      <c r="B20" s="831">
        <v>1</v>
      </c>
      <c r="C20" s="829">
        <v>21.95</v>
      </c>
      <c r="D20" s="832"/>
      <c r="E20" s="833" t="s">
        <v>956</v>
      </c>
      <c r="F20" s="831">
        <v>1</v>
      </c>
      <c r="G20" s="829">
        <v>20.75</v>
      </c>
      <c r="H20" s="832"/>
      <c r="I20" s="833" t="s">
        <v>956</v>
      </c>
    </row>
    <row r="21" spans="1:9">
      <c r="A21" s="818"/>
      <c r="B21" s="831"/>
      <c r="C21" s="829">
        <v>0.3</v>
      </c>
      <c r="D21" s="832"/>
      <c r="E21" s="833" t="s">
        <v>740</v>
      </c>
      <c r="F21" s="831"/>
      <c r="G21" s="829">
        <v>0.8</v>
      </c>
      <c r="H21" s="832">
        <f>F20*G21*G20</f>
        <v>16.600000000000001</v>
      </c>
      <c r="I21" s="833" t="s">
        <v>468</v>
      </c>
    </row>
    <row r="22" spans="1:9">
      <c r="A22" s="818"/>
      <c r="B22" s="831"/>
      <c r="C22" s="829">
        <v>0.2</v>
      </c>
      <c r="D22" s="832">
        <f>B20*C20*C21*C22</f>
        <v>1.3170000000000002</v>
      </c>
      <c r="E22" s="833"/>
      <c r="F22" s="831"/>
      <c r="G22" s="829"/>
      <c r="H22" s="832"/>
      <c r="I22" s="833" t="s">
        <v>40</v>
      </c>
    </row>
    <row r="23" spans="1:9">
      <c r="A23" s="818"/>
      <c r="B23" s="831"/>
      <c r="C23" s="829"/>
      <c r="D23" s="832"/>
      <c r="E23" s="833"/>
      <c r="F23" s="831"/>
      <c r="G23" s="829"/>
      <c r="H23" s="832"/>
      <c r="I23" s="833"/>
    </row>
    <row r="24" spans="1:9">
      <c r="A24" s="818"/>
      <c r="B24" s="831">
        <v>2</v>
      </c>
      <c r="C24" s="829">
        <v>11.75</v>
      </c>
      <c r="D24" s="832"/>
      <c r="E24" s="833" t="s">
        <v>37</v>
      </c>
      <c r="F24" s="831">
        <v>2</v>
      </c>
      <c r="G24" s="829">
        <v>11.75</v>
      </c>
      <c r="H24" s="832"/>
      <c r="I24" s="833" t="s">
        <v>37</v>
      </c>
    </row>
    <row r="25" spans="1:9">
      <c r="A25" s="818"/>
      <c r="B25" s="831"/>
      <c r="C25" s="829">
        <v>0.3</v>
      </c>
      <c r="D25" s="832"/>
      <c r="E25" s="833" t="s">
        <v>957</v>
      </c>
      <c r="F25" s="831"/>
      <c r="G25" s="829">
        <v>0.8</v>
      </c>
      <c r="H25" s="832">
        <f>F24*G25*G24</f>
        <v>18.8</v>
      </c>
      <c r="I25" s="833" t="s">
        <v>739</v>
      </c>
    </row>
    <row r="26" spans="1:9">
      <c r="A26" s="818"/>
      <c r="B26" s="831"/>
      <c r="C26" s="829">
        <v>0.2</v>
      </c>
      <c r="D26" s="832">
        <f>B24*C24*C25*C26</f>
        <v>1.4100000000000001</v>
      </c>
      <c r="E26" s="833"/>
      <c r="F26" s="831"/>
      <c r="G26" s="829"/>
      <c r="H26" s="832"/>
      <c r="I26" s="833" t="s">
        <v>40</v>
      </c>
    </row>
    <row r="27" spans="1:9">
      <c r="A27" s="818"/>
      <c r="B27" s="831"/>
      <c r="C27" s="829"/>
      <c r="D27" s="832"/>
      <c r="E27" s="833"/>
      <c r="F27" s="831"/>
      <c r="G27" s="829"/>
      <c r="H27" s="832"/>
      <c r="I27" s="833"/>
    </row>
    <row r="28" spans="1:9">
      <c r="A28" s="818"/>
      <c r="B28" s="831">
        <v>4</v>
      </c>
      <c r="C28" s="829">
        <v>11.75</v>
      </c>
      <c r="D28" s="832"/>
      <c r="E28" s="833" t="s">
        <v>741</v>
      </c>
      <c r="F28" s="831">
        <v>4</v>
      </c>
      <c r="G28" s="829">
        <v>11.75</v>
      </c>
      <c r="H28" s="832"/>
      <c r="I28" s="833" t="s">
        <v>741</v>
      </c>
    </row>
    <row r="29" spans="1:9">
      <c r="A29" s="818"/>
      <c r="B29" s="831"/>
      <c r="C29" s="829">
        <v>0.3</v>
      </c>
      <c r="D29" s="832"/>
      <c r="E29" s="833" t="s">
        <v>958</v>
      </c>
      <c r="F29" s="831"/>
      <c r="G29" s="829">
        <v>0.8</v>
      </c>
      <c r="H29" s="832">
        <f>F28*G29*G28</f>
        <v>37.6</v>
      </c>
      <c r="I29" s="833" t="s">
        <v>742</v>
      </c>
    </row>
    <row r="30" spans="1:9">
      <c r="A30" s="818"/>
      <c r="B30" s="831"/>
      <c r="C30" s="829">
        <v>0.2</v>
      </c>
      <c r="D30" s="832">
        <f>B28*C28*C29*C30</f>
        <v>2.8200000000000003</v>
      </c>
      <c r="E30" s="833"/>
      <c r="F30" s="831"/>
      <c r="G30" s="829"/>
      <c r="H30" s="832"/>
      <c r="I30" s="833" t="s">
        <v>40</v>
      </c>
    </row>
    <row r="31" spans="1:9">
      <c r="A31" s="818"/>
      <c r="B31" s="831"/>
      <c r="C31" s="829"/>
      <c r="D31" s="832"/>
      <c r="E31" s="833"/>
      <c r="F31" s="831"/>
      <c r="G31" s="829"/>
      <c r="H31" s="832"/>
      <c r="I31" s="833"/>
    </row>
    <row r="32" spans="1:9">
      <c r="A32" s="818"/>
      <c r="B32" s="831">
        <v>1</v>
      </c>
      <c r="C32" s="829">
        <v>10.199999999999999</v>
      </c>
      <c r="D32" s="832"/>
      <c r="E32" s="833" t="s">
        <v>959</v>
      </c>
      <c r="F32" s="831">
        <v>1</v>
      </c>
      <c r="G32" s="829">
        <v>10.199999999999999</v>
      </c>
      <c r="H32" s="832"/>
      <c r="I32" s="833" t="s">
        <v>959</v>
      </c>
    </row>
    <row r="33" spans="1:9">
      <c r="A33" s="818"/>
      <c r="B33" s="831"/>
      <c r="C33" s="829">
        <v>0.4</v>
      </c>
      <c r="D33" s="832"/>
      <c r="E33" s="833"/>
      <c r="F33" s="831"/>
      <c r="G33" s="829">
        <v>0.6</v>
      </c>
      <c r="H33" s="832">
        <f>F32*G33*G32</f>
        <v>6.1199999999999992</v>
      </c>
      <c r="I33" s="833"/>
    </row>
    <row r="34" spans="1:9">
      <c r="A34" s="818"/>
      <c r="B34" s="831"/>
      <c r="C34" s="829">
        <v>0.1</v>
      </c>
      <c r="D34" s="832">
        <f>B32*C32*C33*C34</f>
        <v>0.40800000000000003</v>
      </c>
      <c r="E34" s="833"/>
      <c r="F34" s="831"/>
      <c r="G34" s="829"/>
      <c r="H34" s="832"/>
      <c r="I34" s="833"/>
    </row>
    <row r="35" spans="1:9">
      <c r="A35" s="818"/>
      <c r="B35" s="831"/>
      <c r="C35" s="829"/>
      <c r="D35" s="832"/>
      <c r="E35" s="833"/>
      <c r="F35" s="839"/>
      <c r="G35" s="935"/>
      <c r="H35" s="838">
        <f>SUM(H14:H34)</f>
        <v>113.52000000000001</v>
      </c>
      <c r="I35" s="839" t="s">
        <v>2118</v>
      </c>
    </row>
    <row r="36" spans="1:9">
      <c r="A36" s="818"/>
      <c r="B36" s="839"/>
      <c r="C36" s="935"/>
      <c r="D36" s="838">
        <f>SUM(D18:D34)</f>
        <v>8.5890000000000004</v>
      </c>
      <c r="E36" s="839" t="s">
        <v>2142</v>
      </c>
      <c r="F36" s="831"/>
      <c r="G36" s="829"/>
      <c r="H36" s="832"/>
      <c r="I36" s="833"/>
    </row>
    <row r="37" spans="1:9">
      <c r="A37" s="818"/>
      <c r="B37" s="831"/>
      <c r="C37" s="829"/>
      <c r="D37" s="832"/>
      <c r="E37" s="833"/>
      <c r="F37" s="831"/>
      <c r="G37" s="829"/>
      <c r="H37" s="832"/>
      <c r="I37" s="844" t="s">
        <v>48</v>
      </c>
    </row>
    <row r="38" spans="1:9">
      <c r="A38" s="818"/>
      <c r="B38" s="831"/>
      <c r="C38" s="829"/>
      <c r="D38" s="832"/>
      <c r="E38" s="844" t="s">
        <v>44</v>
      </c>
      <c r="F38" s="831">
        <v>5</v>
      </c>
      <c r="G38" s="829">
        <v>1.2</v>
      </c>
      <c r="H38" s="832"/>
      <c r="I38" s="833" t="s">
        <v>47</v>
      </c>
    </row>
    <row r="39" spans="1:9">
      <c r="A39" s="818"/>
      <c r="B39" s="831">
        <v>5</v>
      </c>
      <c r="C39" s="829">
        <v>1.2</v>
      </c>
      <c r="D39" s="832"/>
      <c r="E39" s="833" t="s">
        <v>47</v>
      </c>
      <c r="F39" s="831"/>
      <c r="G39" s="829">
        <v>0.55000000000000004</v>
      </c>
      <c r="H39" s="832">
        <f>F38*G38*G39</f>
        <v>3.3000000000000003</v>
      </c>
      <c r="I39" s="833"/>
    </row>
    <row r="40" spans="1:9">
      <c r="A40" s="818"/>
      <c r="B40" s="831"/>
      <c r="C40" s="829">
        <v>0.15</v>
      </c>
      <c r="D40" s="832"/>
      <c r="E40" s="833"/>
      <c r="F40" s="831"/>
      <c r="G40" s="829"/>
      <c r="H40" s="832"/>
      <c r="I40" s="833"/>
    </row>
    <row r="41" spans="1:9">
      <c r="A41" s="818"/>
      <c r="B41" s="831"/>
      <c r="C41" s="829">
        <v>0.2</v>
      </c>
      <c r="D41" s="832">
        <f>B39*C39*C40*C41</f>
        <v>0.18</v>
      </c>
      <c r="E41" s="833"/>
      <c r="F41" s="831">
        <v>12</v>
      </c>
      <c r="G41" s="829">
        <v>1.1000000000000001</v>
      </c>
      <c r="H41" s="832"/>
      <c r="I41" s="833" t="s">
        <v>494</v>
      </c>
    </row>
    <row r="42" spans="1:9">
      <c r="A42" s="818"/>
      <c r="B42" s="831"/>
      <c r="C42" s="829"/>
      <c r="D42" s="832"/>
      <c r="E42" s="833"/>
      <c r="F42" s="831"/>
      <c r="G42" s="829">
        <v>0.55000000000000004</v>
      </c>
      <c r="H42" s="832">
        <f>F41*G41*G42</f>
        <v>7.2600000000000016</v>
      </c>
      <c r="I42" s="833"/>
    </row>
    <row r="43" spans="1:9">
      <c r="A43" s="818"/>
      <c r="B43" s="831">
        <v>12</v>
      </c>
      <c r="C43" s="829">
        <v>1.1000000000000001</v>
      </c>
      <c r="D43" s="832"/>
      <c r="E43" s="833" t="s">
        <v>494</v>
      </c>
      <c r="F43" s="831"/>
      <c r="G43" s="829"/>
      <c r="H43" s="832"/>
      <c r="I43" s="833"/>
    </row>
    <row r="44" spans="1:9">
      <c r="A44" s="818"/>
      <c r="B44" s="831"/>
      <c r="C44" s="829">
        <v>0.15</v>
      </c>
      <c r="D44" s="832"/>
      <c r="E44" s="833"/>
      <c r="F44" s="831">
        <v>1</v>
      </c>
      <c r="G44" s="829">
        <v>1.1000000000000001</v>
      </c>
      <c r="H44" s="832"/>
      <c r="I44" s="833" t="s">
        <v>960</v>
      </c>
    </row>
    <row r="45" spans="1:9">
      <c r="A45" s="818"/>
      <c r="B45" s="831"/>
      <c r="C45" s="829">
        <v>0.2</v>
      </c>
      <c r="D45" s="832">
        <f>B43*C43*C44*C45</f>
        <v>0.39600000000000002</v>
      </c>
      <c r="E45" s="833"/>
      <c r="F45" s="831"/>
      <c r="G45" s="829">
        <v>0.78</v>
      </c>
      <c r="H45" s="832">
        <f>F44*G44*G45</f>
        <v>0.8580000000000001</v>
      </c>
      <c r="I45" s="833"/>
    </row>
    <row r="46" spans="1:9">
      <c r="A46" s="818"/>
      <c r="B46" s="831"/>
      <c r="C46" s="829"/>
      <c r="D46" s="832"/>
      <c r="E46" s="833"/>
      <c r="F46" s="831"/>
      <c r="G46" s="829"/>
      <c r="H46" s="832"/>
      <c r="I46" s="833"/>
    </row>
    <row r="47" spans="1:9">
      <c r="A47" s="818"/>
      <c r="B47" s="831">
        <v>1</v>
      </c>
      <c r="C47" s="829">
        <v>1.1000000000000001</v>
      </c>
      <c r="D47" s="832"/>
      <c r="E47" s="833" t="s">
        <v>960</v>
      </c>
      <c r="F47" s="831">
        <v>1</v>
      </c>
      <c r="G47" s="829">
        <v>1.2</v>
      </c>
      <c r="H47" s="832"/>
      <c r="I47" s="833" t="s">
        <v>961</v>
      </c>
    </row>
    <row r="48" spans="1:9">
      <c r="A48" s="818"/>
      <c r="B48" s="831"/>
      <c r="C48" s="829">
        <v>0.35</v>
      </c>
      <c r="D48" s="832"/>
      <c r="E48" s="833"/>
      <c r="F48" s="831"/>
      <c r="G48" s="829">
        <v>0.78</v>
      </c>
      <c r="H48" s="832">
        <f>F47*G47*G48</f>
        <v>0.93599999999999994</v>
      </c>
      <c r="I48" s="833"/>
    </row>
    <row r="49" spans="1:9">
      <c r="A49" s="818"/>
      <c r="B49" s="831"/>
      <c r="C49" s="829">
        <v>0.2</v>
      </c>
      <c r="D49" s="832">
        <f>B47*C47*C48*C49</f>
        <v>7.7000000000000013E-2</v>
      </c>
      <c r="E49" s="833"/>
      <c r="F49" s="831"/>
      <c r="G49" s="829"/>
      <c r="H49" s="832"/>
      <c r="I49" s="833"/>
    </row>
    <row r="50" spans="1:9">
      <c r="A50" s="818"/>
      <c r="B50" s="831"/>
      <c r="C50" s="829"/>
      <c r="D50" s="832"/>
      <c r="E50" s="833"/>
      <c r="F50" s="831">
        <v>1</v>
      </c>
      <c r="G50" s="829">
        <v>1.6</v>
      </c>
      <c r="H50" s="832"/>
      <c r="I50" s="833" t="s">
        <v>952</v>
      </c>
    </row>
    <row r="51" spans="1:9">
      <c r="A51" s="818"/>
      <c r="B51" s="831">
        <v>1</v>
      </c>
      <c r="C51" s="829">
        <v>1.2</v>
      </c>
      <c r="D51" s="832"/>
      <c r="E51" s="833" t="s">
        <v>961</v>
      </c>
      <c r="F51" s="831"/>
      <c r="G51" s="829">
        <v>0.78</v>
      </c>
      <c r="H51" s="832">
        <f>F50*G50*G51</f>
        <v>1.2480000000000002</v>
      </c>
      <c r="I51" s="833"/>
    </row>
    <row r="52" spans="1:9">
      <c r="A52" s="818"/>
      <c r="B52" s="831"/>
      <c r="C52" s="829">
        <v>0.35</v>
      </c>
      <c r="D52" s="832"/>
      <c r="E52" s="833"/>
      <c r="F52" s="831"/>
      <c r="G52" s="829"/>
      <c r="H52" s="832"/>
      <c r="I52" s="833"/>
    </row>
    <row r="53" spans="1:9">
      <c r="A53" s="818"/>
      <c r="B53" s="831"/>
      <c r="C53" s="829">
        <v>0.2</v>
      </c>
      <c r="D53" s="832">
        <f>B51*C51*C52*C53</f>
        <v>8.4000000000000005E-2</v>
      </c>
      <c r="E53" s="833"/>
      <c r="F53" s="831">
        <v>1</v>
      </c>
      <c r="G53" s="829">
        <v>1.6</v>
      </c>
      <c r="H53" s="832"/>
      <c r="I53" s="833" t="s">
        <v>954</v>
      </c>
    </row>
    <row r="54" spans="1:9">
      <c r="A54" s="818"/>
      <c r="B54" s="831"/>
      <c r="C54" s="829"/>
      <c r="D54" s="832"/>
      <c r="E54" s="833"/>
      <c r="F54" s="831"/>
      <c r="G54" s="829">
        <v>0.55000000000000004</v>
      </c>
      <c r="H54" s="832">
        <f>F53*G53*G54</f>
        <v>0.88000000000000012</v>
      </c>
      <c r="I54" s="833"/>
    </row>
    <row r="55" spans="1:9">
      <c r="A55" s="818"/>
      <c r="B55" s="831">
        <v>1</v>
      </c>
      <c r="C55" s="829">
        <v>1.6</v>
      </c>
      <c r="D55" s="832"/>
      <c r="E55" s="833" t="s">
        <v>952</v>
      </c>
      <c r="F55" s="831"/>
      <c r="G55" s="829"/>
      <c r="H55" s="832"/>
      <c r="I55" s="833"/>
    </row>
    <row r="56" spans="1:9">
      <c r="A56" s="818"/>
      <c r="B56" s="831"/>
      <c r="C56" s="829">
        <v>0.35</v>
      </c>
      <c r="D56" s="832"/>
      <c r="E56" s="833"/>
      <c r="F56" s="839"/>
      <c r="G56" s="935"/>
      <c r="H56" s="838">
        <f>SUM(H39:H55)</f>
        <v>14.482000000000005</v>
      </c>
      <c r="I56" s="839" t="s">
        <v>2119</v>
      </c>
    </row>
    <row r="57" spans="1:9">
      <c r="A57" s="818"/>
      <c r="B57" s="831"/>
      <c r="C57" s="829">
        <v>0.2</v>
      </c>
      <c r="D57" s="832">
        <f>B55*C55*C56*C57</f>
        <v>0.11199999999999999</v>
      </c>
      <c r="E57" s="833"/>
      <c r="F57" s="831"/>
      <c r="G57" s="829"/>
      <c r="H57" s="832"/>
      <c r="I57" s="833"/>
    </row>
    <row r="58" spans="1:9">
      <c r="A58" s="818"/>
      <c r="B58" s="831"/>
      <c r="C58" s="829"/>
      <c r="D58" s="832"/>
      <c r="E58" s="833"/>
      <c r="F58" s="831"/>
      <c r="G58" s="829"/>
      <c r="H58" s="832"/>
      <c r="I58" s="833" t="s">
        <v>511</v>
      </c>
    </row>
    <row r="59" spans="1:9">
      <c r="A59" s="818"/>
      <c r="B59" s="831">
        <v>1</v>
      </c>
      <c r="C59" s="829">
        <v>1.6</v>
      </c>
      <c r="D59" s="832"/>
      <c r="E59" s="833" t="s">
        <v>954</v>
      </c>
      <c r="F59" s="831"/>
      <c r="G59" s="829"/>
      <c r="H59" s="832"/>
      <c r="I59" s="833"/>
    </row>
    <row r="60" spans="1:9">
      <c r="A60" s="818"/>
      <c r="B60" s="831"/>
      <c r="C60" s="829">
        <v>0.15</v>
      </c>
      <c r="D60" s="832"/>
      <c r="E60" s="833"/>
      <c r="F60" s="839"/>
      <c r="G60" s="935"/>
      <c r="H60" s="838">
        <f>'Daigon Reinf'!M123+'Daigon Reinf'!M92</f>
        <v>1084.7364</v>
      </c>
      <c r="I60" s="839" t="s">
        <v>2339</v>
      </c>
    </row>
    <row r="61" spans="1:9">
      <c r="A61" s="818"/>
      <c r="B61" s="831"/>
      <c r="C61" s="829">
        <v>0.2</v>
      </c>
      <c r="D61" s="832">
        <f>B59*C59*C60*C61</f>
        <v>4.8000000000000001E-2</v>
      </c>
      <c r="E61" s="833"/>
      <c r="F61" s="831"/>
      <c r="G61" s="829"/>
      <c r="H61" s="832"/>
      <c r="I61" s="833"/>
    </row>
    <row r="62" spans="1:9">
      <c r="A62" s="818"/>
      <c r="B62" s="831"/>
      <c r="C62" s="829"/>
      <c r="D62" s="832"/>
      <c r="E62" s="833"/>
      <c r="F62" s="831"/>
      <c r="G62" s="829"/>
      <c r="H62" s="832"/>
      <c r="I62" s="833" t="s">
        <v>2427</v>
      </c>
    </row>
    <row r="63" spans="1:9">
      <c r="A63" s="818"/>
      <c r="B63" s="839"/>
      <c r="C63" s="935"/>
      <c r="D63" s="838">
        <f>SUM(D41:D61)</f>
        <v>0.89700000000000002</v>
      </c>
      <c r="E63" s="839" t="s">
        <v>2236</v>
      </c>
      <c r="F63" s="831"/>
      <c r="G63" s="829"/>
      <c r="H63" s="832"/>
      <c r="I63" s="833"/>
    </row>
    <row r="64" spans="1:9">
      <c r="A64" s="818"/>
      <c r="B64" s="849"/>
      <c r="C64" s="850"/>
      <c r="D64" s="851"/>
      <c r="E64" s="852"/>
      <c r="F64" s="857"/>
      <c r="G64" s="970"/>
      <c r="H64" s="858">
        <f>'Daigon Reinf'!K92+'Daigon Reinf'!K123</f>
        <v>355.46050000000002</v>
      </c>
      <c r="I64" s="857" t="s">
        <v>2121</v>
      </c>
    </row>
    <row r="65" spans="1:10">
      <c r="A65" s="828"/>
      <c r="B65" s="853" t="s">
        <v>1884</v>
      </c>
      <c r="C65" s="855" t="s">
        <v>526</v>
      </c>
      <c r="D65" s="856" t="s">
        <v>1885</v>
      </c>
      <c r="E65" s="854" t="s">
        <v>1886</v>
      </c>
      <c r="F65" s="853" t="s">
        <v>1884</v>
      </c>
      <c r="G65" s="855" t="s">
        <v>526</v>
      </c>
      <c r="H65" s="856" t="s">
        <v>1885</v>
      </c>
      <c r="I65" s="854" t="s">
        <v>1886</v>
      </c>
      <c r="J65" s="828"/>
    </row>
    <row r="66" spans="1:10">
      <c r="A66" s="818"/>
      <c r="B66" s="831"/>
      <c r="C66" s="829"/>
      <c r="D66" s="832"/>
      <c r="E66" s="844" t="s">
        <v>2428</v>
      </c>
      <c r="F66" s="831">
        <v>1</v>
      </c>
      <c r="G66" s="829">
        <v>1.2</v>
      </c>
      <c r="H66" s="832"/>
      <c r="I66" s="833" t="s">
        <v>156</v>
      </c>
    </row>
    <row r="67" spans="1:10">
      <c r="A67" s="818"/>
      <c r="B67" s="831"/>
      <c r="C67" s="829"/>
      <c r="D67" s="832"/>
      <c r="E67" s="844" t="s">
        <v>2429</v>
      </c>
      <c r="F67" s="831"/>
      <c r="G67" s="829">
        <v>0.6</v>
      </c>
      <c r="H67" s="832">
        <f>-F66*G66*G67</f>
        <v>-0.72</v>
      </c>
      <c r="I67" s="833"/>
    </row>
    <row r="68" spans="1:10">
      <c r="A68" s="818"/>
      <c r="B68" s="831">
        <v>2</v>
      </c>
      <c r="C68" s="829">
        <v>21.95</v>
      </c>
      <c r="D68" s="832"/>
      <c r="E68" s="833"/>
      <c r="F68" s="831"/>
      <c r="G68" s="829"/>
      <c r="H68" s="832"/>
      <c r="I68" s="833"/>
    </row>
    <row r="69" spans="1:10">
      <c r="A69" s="818"/>
      <c r="B69" s="831"/>
      <c r="C69" s="829">
        <v>2.73</v>
      </c>
      <c r="D69" s="832">
        <f>C69*C68*B68</f>
        <v>119.84699999999999</v>
      </c>
      <c r="E69" s="833"/>
      <c r="F69" s="831">
        <v>3</v>
      </c>
      <c r="G69" s="829">
        <v>2.5499999999999998</v>
      </c>
      <c r="H69" s="832"/>
      <c r="I69" s="833" t="s">
        <v>2431</v>
      </c>
    </row>
    <row r="70" spans="1:10">
      <c r="A70" s="818"/>
      <c r="B70" s="831"/>
      <c r="C70" s="829"/>
      <c r="D70" s="832"/>
      <c r="E70" s="833"/>
      <c r="F70" s="831"/>
      <c r="G70" s="829">
        <v>3.03</v>
      </c>
      <c r="H70" s="832">
        <f>F69*G69*G70</f>
        <v>23.179499999999997</v>
      </c>
      <c r="I70" s="833"/>
    </row>
    <row r="71" spans="1:10">
      <c r="A71" s="818"/>
      <c r="B71" s="831">
        <v>1</v>
      </c>
      <c r="C71" s="829">
        <v>12.35</v>
      </c>
      <c r="D71" s="832"/>
      <c r="E71" s="833"/>
      <c r="F71" s="831"/>
      <c r="G71" s="829"/>
      <c r="H71" s="832"/>
      <c r="I71" s="833"/>
    </row>
    <row r="72" spans="1:10">
      <c r="A72" s="818"/>
      <c r="B72" s="831"/>
      <c r="C72" s="829">
        <v>2.73</v>
      </c>
      <c r="D72" s="832">
        <f>C72*C71*B71</f>
        <v>33.715499999999999</v>
      </c>
      <c r="E72" s="833"/>
      <c r="F72" s="831">
        <v>1</v>
      </c>
      <c r="G72" s="829">
        <v>1.5</v>
      </c>
      <c r="H72" s="832"/>
      <c r="I72" s="833" t="s">
        <v>971</v>
      </c>
    </row>
    <row r="73" spans="1:10">
      <c r="A73" s="818"/>
      <c r="B73" s="831"/>
      <c r="C73" s="829"/>
      <c r="D73" s="832"/>
      <c r="E73" s="833"/>
      <c r="F73" s="831"/>
      <c r="G73" s="829">
        <v>3.03</v>
      </c>
      <c r="H73" s="832">
        <f>F72*G72*G73</f>
        <v>4.5449999999999999</v>
      </c>
      <c r="I73" s="833"/>
    </row>
    <row r="74" spans="1:10">
      <c r="A74" s="818"/>
      <c r="B74" s="831">
        <v>1</v>
      </c>
      <c r="C74" s="829">
        <v>3.25</v>
      </c>
      <c r="D74" s="832"/>
      <c r="E74" s="833"/>
      <c r="F74" s="831"/>
      <c r="G74" s="829"/>
      <c r="H74" s="832"/>
      <c r="I74" s="833"/>
    </row>
    <row r="75" spans="1:10">
      <c r="A75" s="818"/>
      <c r="B75" s="831"/>
      <c r="C75" s="829">
        <v>2.73</v>
      </c>
      <c r="D75" s="832">
        <f>C75*C74</f>
        <v>8.8725000000000005</v>
      </c>
      <c r="E75" s="833"/>
      <c r="F75" s="831">
        <v>1</v>
      </c>
      <c r="G75" s="829">
        <v>4.5999999999999996</v>
      </c>
      <c r="H75" s="832"/>
      <c r="I75" s="833" t="s">
        <v>973</v>
      </c>
    </row>
    <row r="76" spans="1:10">
      <c r="A76" s="818"/>
      <c r="B76" s="831"/>
      <c r="C76" s="829"/>
      <c r="D76" s="832"/>
      <c r="E76" s="833"/>
      <c r="F76" s="831"/>
      <c r="G76" s="829">
        <v>3.03</v>
      </c>
      <c r="H76" s="832">
        <f>F75*G75*G76</f>
        <v>13.937999999999999</v>
      </c>
      <c r="I76" s="833"/>
    </row>
    <row r="77" spans="1:10">
      <c r="A77" s="818"/>
      <c r="B77" s="831">
        <v>1</v>
      </c>
      <c r="C77" s="829">
        <v>3</v>
      </c>
      <c r="D77" s="832"/>
      <c r="E77" s="833"/>
      <c r="F77" s="831"/>
      <c r="G77" s="829"/>
      <c r="H77" s="832"/>
      <c r="I77" s="833"/>
    </row>
    <row r="78" spans="1:10">
      <c r="A78" s="818"/>
      <c r="B78" s="831"/>
      <c r="C78" s="829">
        <v>2.7320000000000002</v>
      </c>
      <c r="D78" s="832">
        <f>C78*C77</f>
        <v>8.1960000000000015</v>
      </c>
      <c r="E78" s="833"/>
      <c r="F78" s="831">
        <v>3</v>
      </c>
      <c r="G78" s="829">
        <v>0.7</v>
      </c>
      <c r="H78" s="832"/>
      <c r="I78" s="833" t="s">
        <v>113</v>
      </c>
    </row>
    <row r="79" spans="1:10">
      <c r="A79" s="818"/>
      <c r="B79" s="831"/>
      <c r="C79" s="829"/>
      <c r="D79" s="832"/>
      <c r="E79" s="833"/>
      <c r="F79" s="831"/>
      <c r="G79" s="829">
        <v>2.73</v>
      </c>
      <c r="H79" s="832">
        <f>-F78*G78*G79</f>
        <v>-5.7329999999999988</v>
      </c>
      <c r="I79" s="833"/>
    </row>
    <row r="80" spans="1:10">
      <c r="A80" s="818"/>
      <c r="B80" s="831">
        <v>2</v>
      </c>
      <c r="C80" s="829">
        <v>6.17</v>
      </c>
      <c r="D80" s="832"/>
      <c r="E80" s="833"/>
      <c r="F80" s="831"/>
      <c r="G80" s="829"/>
      <c r="H80" s="832"/>
      <c r="I80" s="833"/>
    </row>
    <row r="81" spans="1:9">
      <c r="A81" s="818"/>
      <c r="B81" s="831"/>
      <c r="C81" s="829">
        <v>1.8</v>
      </c>
      <c r="D81" s="832">
        <f>B80*C80*C81</f>
        <v>22.212</v>
      </c>
      <c r="E81" s="833"/>
      <c r="F81" s="831">
        <v>1</v>
      </c>
      <c r="G81" s="829">
        <v>11.75</v>
      </c>
      <c r="H81" s="832"/>
      <c r="I81" s="833" t="s">
        <v>975</v>
      </c>
    </row>
    <row r="82" spans="1:9">
      <c r="A82" s="818"/>
      <c r="B82" s="831"/>
      <c r="C82" s="829"/>
      <c r="D82" s="832">
        <f>SUM(D67:D81)</f>
        <v>192.84299999999999</v>
      </c>
      <c r="E82" s="833"/>
      <c r="F82" s="831"/>
      <c r="G82" s="829">
        <v>2.73</v>
      </c>
      <c r="H82" s="832">
        <f>F81*G81*G82</f>
        <v>32.077500000000001</v>
      </c>
      <c r="I82" s="833"/>
    </row>
    <row r="83" spans="1:9">
      <c r="A83" s="818"/>
      <c r="B83" s="831"/>
      <c r="C83" s="829"/>
      <c r="D83" s="832"/>
      <c r="E83" s="833"/>
      <c r="F83" s="831"/>
      <c r="G83" s="829"/>
      <c r="H83" s="832"/>
      <c r="I83" s="833"/>
    </row>
    <row r="84" spans="1:9">
      <c r="A84" s="818"/>
      <c r="B84" s="831">
        <v>-1</v>
      </c>
      <c r="C84" s="829">
        <v>1.5</v>
      </c>
      <c r="D84" s="832"/>
      <c r="E84" s="833" t="s">
        <v>2101</v>
      </c>
      <c r="F84" s="831">
        <v>1</v>
      </c>
      <c r="G84" s="829">
        <v>0.7</v>
      </c>
      <c r="H84" s="832"/>
      <c r="I84" s="833" t="s">
        <v>363</v>
      </c>
    </row>
    <row r="85" spans="1:9">
      <c r="A85" s="818"/>
      <c r="B85" s="831"/>
      <c r="C85" s="829">
        <v>1.73</v>
      </c>
      <c r="D85" s="832">
        <f>B84*C84*C85</f>
        <v>-2.5949999999999998</v>
      </c>
      <c r="E85" s="833"/>
      <c r="F85" s="831"/>
      <c r="G85" s="829">
        <v>2.73</v>
      </c>
      <c r="H85" s="832">
        <f>-F84*G84*G85</f>
        <v>-1.9109999999999998</v>
      </c>
      <c r="I85" s="833"/>
    </row>
    <row r="86" spans="1:9">
      <c r="A86" s="818"/>
      <c r="B86" s="831"/>
      <c r="C86" s="829"/>
      <c r="D86" s="832"/>
      <c r="E86" s="833"/>
      <c r="F86" s="831"/>
      <c r="G86" s="829"/>
      <c r="H86" s="832"/>
      <c r="I86" s="833"/>
    </row>
    <row r="87" spans="1:9">
      <c r="A87" s="818"/>
      <c r="B87" s="831">
        <v>-1</v>
      </c>
      <c r="C87" s="829">
        <v>0.6</v>
      </c>
      <c r="D87" s="832"/>
      <c r="E87" s="833"/>
      <c r="F87" s="831">
        <v>2</v>
      </c>
      <c r="G87" s="829">
        <v>2.0499999999999998</v>
      </c>
      <c r="H87" s="832"/>
      <c r="I87" s="833" t="s">
        <v>976</v>
      </c>
    </row>
    <row r="88" spans="1:9">
      <c r="A88" s="818"/>
      <c r="B88" s="831"/>
      <c r="C88" s="829">
        <v>4.0999999999999996</v>
      </c>
      <c r="D88" s="832">
        <f>B87*C87*C88</f>
        <v>-2.4599999999999995</v>
      </c>
      <c r="E88" s="833"/>
      <c r="F88" s="831"/>
      <c r="G88" s="829">
        <v>3.03</v>
      </c>
      <c r="H88" s="832">
        <f>F87*G87*G88</f>
        <v>12.422999999999998</v>
      </c>
      <c r="I88" s="833"/>
    </row>
    <row r="89" spans="1:9">
      <c r="A89" s="818"/>
      <c r="B89" s="831"/>
      <c r="C89" s="829"/>
      <c r="D89" s="832"/>
      <c r="E89" s="833"/>
      <c r="F89" s="831"/>
      <c r="G89" s="829"/>
      <c r="H89" s="832"/>
      <c r="I89" s="833"/>
    </row>
    <row r="90" spans="1:9">
      <c r="A90" s="818"/>
      <c r="B90" s="831">
        <v>-6</v>
      </c>
      <c r="C90" s="829">
        <v>1.5</v>
      </c>
      <c r="D90" s="832"/>
      <c r="E90" s="833"/>
      <c r="F90" s="831">
        <v>1</v>
      </c>
      <c r="G90" s="829">
        <v>2.75</v>
      </c>
      <c r="H90" s="832"/>
      <c r="I90" s="833" t="s">
        <v>976</v>
      </c>
    </row>
    <row r="91" spans="1:9">
      <c r="A91" s="818"/>
      <c r="B91" s="831"/>
      <c r="C91" s="829">
        <v>1.73</v>
      </c>
      <c r="D91" s="832">
        <f>B90*C90*C91</f>
        <v>-15.57</v>
      </c>
      <c r="E91" s="833"/>
      <c r="F91" s="831"/>
      <c r="G91" s="829">
        <v>3.03</v>
      </c>
      <c r="H91" s="832">
        <f>F90*G90*G91</f>
        <v>8.3324999999999996</v>
      </c>
      <c r="I91" s="833"/>
    </row>
    <row r="92" spans="1:9">
      <c r="A92" s="818"/>
      <c r="B92" s="831"/>
      <c r="C92" s="829"/>
      <c r="D92" s="832"/>
      <c r="E92" s="833"/>
      <c r="F92" s="831"/>
      <c r="G92" s="829"/>
      <c r="H92" s="832"/>
      <c r="I92" s="833"/>
    </row>
    <row r="93" spans="1:9">
      <c r="A93" s="818"/>
      <c r="B93" s="831">
        <v>-4</v>
      </c>
      <c r="C93" s="829">
        <v>1.2</v>
      </c>
      <c r="D93" s="832"/>
      <c r="E93" s="833"/>
      <c r="F93" s="831">
        <v>1</v>
      </c>
      <c r="G93" s="829">
        <v>2.8</v>
      </c>
      <c r="H93" s="832"/>
      <c r="I93" s="833" t="s">
        <v>978</v>
      </c>
    </row>
    <row r="94" spans="1:9">
      <c r="A94" s="818"/>
      <c r="B94" s="831"/>
      <c r="C94" s="829">
        <v>1.73</v>
      </c>
      <c r="D94" s="832">
        <f>B93*C93*C94</f>
        <v>-8.3040000000000003</v>
      </c>
      <c r="E94" s="833"/>
      <c r="F94" s="831"/>
      <c r="G94" s="829">
        <v>3.03</v>
      </c>
      <c r="H94" s="832">
        <f>F93*G93*G94</f>
        <v>8.4839999999999982</v>
      </c>
      <c r="I94" s="833"/>
    </row>
    <row r="95" spans="1:9">
      <c r="A95" s="818"/>
      <c r="B95" s="831"/>
      <c r="C95" s="829"/>
      <c r="D95" s="832"/>
      <c r="E95" s="833"/>
      <c r="F95" s="831"/>
      <c r="G95" s="829"/>
      <c r="H95" s="832"/>
      <c r="I95" s="833"/>
    </row>
    <row r="96" spans="1:9">
      <c r="A96" s="818"/>
      <c r="B96" s="831">
        <v>-1</v>
      </c>
      <c r="C96" s="829">
        <v>1.05</v>
      </c>
      <c r="D96" s="832"/>
      <c r="E96" s="833"/>
      <c r="F96" s="831">
        <v>1</v>
      </c>
      <c r="G96" s="829">
        <v>6.5</v>
      </c>
      <c r="H96" s="832"/>
      <c r="I96" s="833" t="s">
        <v>979</v>
      </c>
    </row>
    <row r="97" spans="1:9">
      <c r="A97" s="818"/>
      <c r="B97" s="831"/>
      <c r="C97" s="829">
        <v>1.73</v>
      </c>
      <c r="D97" s="832">
        <f>B96*C96*C97</f>
        <v>-1.8165</v>
      </c>
      <c r="E97" s="833"/>
      <c r="F97" s="831"/>
      <c r="G97" s="829">
        <v>2.73</v>
      </c>
      <c r="H97" s="832">
        <f>F96*G96*G97</f>
        <v>17.745000000000001</v>
      </c>
      <c r="I97" s="833"/>
    </row>
    <row r="98" spans="1:9">
      <c r="A98" s="818"/>
      <c r="B98" s="831"/>
      <c r="C98" s="829"/>
      <c r="D98" s="832"/>
      <c r="E98" s="833"/>
      <c r="F98" s="831"/>
      <c r="G98" s="829"/>
      <c r="H98" s="832"/>
      <c r="I98" s="833"/>
    </row>
    <row r="99" spans="1:9">
      <c r="A99" s="818"/>
      <c r="B99" s="831">
        <v>-2</v>
      </c>
      <c r="C99" s="829">
        <v>2.5</v>
      </c>
      <c r="D99" s="832"/>
      <c r="E99" s="833" t="s">
        <v>62</v>
      </c>
      <c r="F99" s="831">
        <v>1</v>
      </c>
      <c r="G99" s="829">
        <v>10.15</v>
      </c>
      <c r="H99" s="832"/>
      <c r="I99" s="833" t="s">
        <v>980</v>
      </c>
    </row>
    <row r="100" spans="1:9">
      <c r="A100" s="818"/>
      <c r="B100" s="831"/>
      <c r="C100" s="829">
        <v>2.73</v>
      </c>
      <c r="D100" s="832">
        <f>B99*C99*C100</f>
        <v>-13.65</v>
      </c>
      <c r="E100" s="435"/>
      <c r="F100" s="831"/>
      <c r="G100" s="829">
        <v>2.73</v>
      </c>
      <c r="H100" s="832">
        <f>F99*G99*G100</f>
        <v>27.709500000000002</v>
      </c>
      <c r="I100" s="833"/>
    </row>
    <row r="101" spans="1:9">
      <c r="A101" s="818"/>
      <c r="B101" s="435"/>
      <c r="C101" s="435"/>
      <c r="D101" s="435"/>
      <c r="E101" s="833"/>
      <c r="F101" s="831"/>
      <c r="G101" s="829"/>
      <c r="H101" s="832"/>
      <c r="I101" s="833"/>
    </row>
    <row r="102" spans="1:9" ht="21">
      <c r="A102" s="818"/>
      <c r="B102" s="839"/>
      <c r="C102" s="839"/>
      <c r="D102" s="838">
        <f>SUM(D82:D100)</f>
        <v>148.44749999999999</v>
      </c>
      <c r="E102" s="839" t="s">
        <v>2430</v>
      </c>
      <c r="F102" s="831">
        <v>2</v>
      </c>
      <c r="G102" s="829">
        <v>0.8</v>
      </c>
      <c r="H102" s="832"/>
      <c r="I102" s="833" t="s">
        <v>99</v>
      </c>
    </row>
    <row r="103" spans="1:9">
      <c r="B103" s="831"/>
      <c r="C103" s="829"/>
      <c r="D103" s="832"/>
      <c r="E103" s="833"/>
      <c r="F103" s="831"/>
      <c r="G103" s="829">
        <v>2.73</v>
      </c>
      <c r="H103" s="832">
        <f>-F102*G102*G103</f>
        <v>-4.3680000000000003</v>
      </c>
      <c r="I103" s="833"/>
    </row>
    <row r="104" spans="1:9" s="966" customFormat="1">
      <c r="A104" s="965"/>
      <c r="B104" s="831"/>
      <c r="C104" s="829"/>
      <c r="D104" s="832"/>
      <c r="E104" s="844" t="s">
        <v>86</v>
      </c>
      <c r="F104" s="831"/>
      <c r="G104" s="829"/>
      <c r="H104" s="832"/>
      <c r="I104" s="833"/>
    </row>
    <row r="105" spans="1:9">
      <c r="A105" s="818"/>
      <c r="B105" s="831">
        <v>3</v>
      </c>
      <c r="C105" s="829">
        <v>4.2</v>
      </c>
      <c r="D105" s="832"/>
      <c r="E105" s="833" t="s">
        <v>965</v>
      </c>
      <c r="F105" s="831">
        <v>1</v>
      </c>
      <c r="G105" s="829">
        <v>10.15</v>
      </c>
      <c r="H105" s="832"/>
      <c r="I105" s="833" t="s">
        <v>981</v>
      </c>
    </row>
    <row r="106" spans="1:9">
      <c r="A106" s="818"/>
      <c r="B106" s="831"/>
      <c r="C106" s="829">
        <v>3.03</v>
      </c>
      <c r="D106" s="832">
        <f>B105*C105*C106</f>
        <v>38.178000000000004</v>
      </c>
      <c r="E106" s="833"/>
      <c r="F106" s="831"/>
      <c r="G106" s="829">
        <v>3.03</v>
      </c>
      <c r="H106" s="832">
        <f>F105*G105*G106</f>
        <v>30.7545</v>
      </c>
      <c r="I106" s="833"/>
    </row>
    <row r="107" spans="1:9">
      <c r="A107" s="818"/>
      <c r="B107" s="831"/>
      <c r="C107" s="829"/>
      <c r="D107" s="832"/>
      <c r="E107" s="833"/>
      <c r="F107" s="831"/>
      <c r="G107" s="829"/>
      <c r="H107" s="832"/>
      <c r="I107" s="833"/>
    </row>
    <row r="108" spans="1:9">
      <c r="A108" s="818"/>
      <c r="B108" s="831">
        <v>3</v>
      </c>
      <c r="C108" s="829">
        <v>0.8</v>
      </c>
      <c r="D108" s="832"/>
      <c r="E108" s="833"/>
      <c r="F108" s="831">
        <v>1</v>
      </c>
      <c r="G108" s="829">
        <v>0.8</v>
      </c>
      <c r="H108" s="832"/>
      <c r="I108" s="833" t="s">
        <v>363</v>
      </c>
    </row>
    <row r="109" spans="1:9">
      <c r="A109" s="818"/>
      <c r="B109" s="831"/>
      <c r="C109" s="829">
        <v>2.73</v>
      </c>
      <c r="D109" s="832">
        <f>-B108*C108*C109</f>
        <v>-6.5520000000000005</v>
      </c>
      <c r="E109" s="833" t="s">
        <v>111</v>
      </c>
      <c r="F109" s="831"/>
      <c r="G109" s="829">
        <v>2.73</v>
      </c>
      <c r="H109" s="832">
        <f>-F108*G108*G109</f>
        <v>-2.1840000000000002</v>
      </c>
      <c r="I109" s="833"/>
    </row>
    <row r="110" spans="1:9">
      <c r="A110" s="818"/>
      <c r="B110" s="831"/>
      <c r="C110" s="829"/>
      <c r="D110" s="832"/>
      <c r="E110" s="833"/>
      <c r="F110" s="831"/>
      <c r="G110" s="829"/>
      <c r="H110" s="832"/>
      <c r="I110" s="833"/>
    </row>
    <row r="111" spans="1:9">
      <c r="A111" s="818"/>
      <c r="B111" s="831">
        <v>1</v>
      </c>
      <c r="C111" s="829">
        <v>3.15</v>
      </c>
      <c r="D111" s="832"/>
      <c r="E111" s="833"/>
      <c r="F111" s="831">
        <v>1</v>
      </c>
      <c r="G111" s="829">
        <v>0.7</v>
      </c>
      <c r="H111" s="832"/>
      <c r="I111" s="833" t="s">
        <v>51</v>
      </c>
    </row>
    <row r="112" spans="1:9">
      <c r="A112" s="818"/>
      <c r="B112" s="831"/>
      <c r="C112" s="829">
        <v>3.03</v>
      </c>
      <c r="D112" s="832">
        <f>B111*C111*C112</f>
        <v>9.5444999999999993</v>
      </c>
      <c r="E112" s="833" t="s">
        <v>966</v>
      </c>
      <c r="F112" s="831"/>
      <c r="G112" s="829">
        <v>2.73</v>
      </c>
      <c r="H112" s="832">
        <f>-F111*G111*G112</f>
        <v>-1.9109999999999998</v>
      </c>
      <c r="I112" s="833"/>
    </row>
    <row r="113" spans="1:10">
      <c r="A113" s="818"/>
      <c r="B113" s="831"/>
      <c r="C113" s="829"/>
      <c r="D113" s="832"/>
      <c r="E113" s="833"/>
      <c r="F113" s="831"/>
      <c r="G113" s="829"/>
      <c r="H113" s="832"/>
      <c r="I113" s="833"/>
    </row>
    <row r="114" spans="1:10">
      <c r="A114" s="818"/>
      <c r="B114" s="831">
        <v>1</v>
      </c>
      <c r="C114" s="829">
        <v>4.37</v>
      </c>
      <c r="D114" s="832"/>
      <c r="E114" s="833"/>
      <c r="F114" s="831">
        <v>1</v>
      </c>
      <c r="G114" s="829">
        <v>2.5499999999999998</v>
      </c>
      <c r="H114" s="832"/>
      <c r="I114" s="833" t="s">
        <v>985</v>
      </c>
    </row>
    <row r="115" spans="1:10">
      <c r="A115" s="818"/>
      <c r="B115" s="831"/>
      <c r="C115" s="829">
        <v>3.03</v>
      </c>
      <c r="D115" s="832">
        <f>B114*C114*C115</f>
        <v>13.241099999999999</v>
      </c>
      <c r="E115" s="833" t="s">
        <v>967</v>
      </c>
      <c r="F115" s="831"/>
      <c r="G115" s="829">
        <v>2.73</v>
      </c>
      <c r="H115" s="832">
        <f>F114*G114*G115</f>
        <v>6.9614999999999991</v>
      </c>
      <c r="I115" s="833"/>
    </row>
    <row r="116" spans="1:10">
      <c r="A116" s="818"/>
      <c r="B116" s="831"/>
      <c r="C116" s="829"/>
      <c r="D116" s="832"/>
      <c r="E116" s="833"/>
      <c r="F116" s="831"/>
      <c r="G116" s="829"/>
      <c r="H116" s="832"/>
      <c r="I116" s="833"/>
    </row>
    <row r="117" spans="1:10">
      <c r="A117" s="818"/>
      <c r="B117" s="831">
        <v>3</v>
      </c>
      <c r="C117" s="829">
        <v>0.7</v>
      </c>
      <c r="D117" s="832"/>
      <c r="E117" s="833"/>
      <c r="F117" s="831">
        <v>1</v>
      </c>
      <c r="G117" s="829">
        <v>0.7</v>
      </c>
      <c r="H117" s="832"/>
      <c r="I117" s="833" t="s">
        <v>51</v>
      </c>
    </row>
    <row r="118" spans="1:10">
      <c r="A118" s="818"/>
      <c r="B118" s="831"/>
      <c r="C118" s="829">
        <v>2.73</v>
      </c>
      <c r="D118" s="832">
        <f>-B117*C117*C118</f>
        <v>-5.7329999999999988</v>
      </c>
      <c r="E118" s="833" t="s">
        <v>113</v>
      </c>
      <c r="F118" s="831"/>
      <c r="G118" s="829">
        <v>2.73</v>
      </c>
      <c r="H118" s="832">
        <f>-F117*G117*G118</f>
        <v>-1.9109999999999998</v>
      </c>
      <c r="I118" s="833"/>
    </row>
    <row r="119" spans="1:10">
      <c r="A119" s="818"/>
      <c r="B119" s="831"/>
      <c r="C119" s="829"/>
      <c r="D119" s="832"/>
      <c r="E119" s="833"/>
      <c r="F119" s="831"/>
      <c r="G119" s="829"/>
      <c r="H119" s="832"/>
      <c r="I119" s="833"/>
    </row>
    <row r="120" spans="1:10">
      <c r="A120" s="818"/>
      <c r="B120" s="831">
        <v>1</v>
      </c>
      <c r="C120" s="829">
        <v>2.23</v>
      </c>
      <c r="D120" s="832"/>
      <c r="E120" s="833"/>
      <c r="F120" s="831">
        <v>1</v>
      </c>
      <c r="G120" s="829">
        <v>3.25</v>
      </c>
      <c r="H120" s="832"/>
      <c r="I120" s="833" t="s">
        <v>986</v>
      </c>
    </row>
    <row r="121" spans="1:10">
      <c r="A121" s="818"/>
      <c r="B121" s="831"/>
      <c r="C121" s="829">
        <v>3.03</v>
      </c>
      <c r="D121" s="832">
        <f>B120*C120*C121</f>
        <v>6.7568999999999999</v>
      </c>
      <c r="E121" s="833" t="s">
        <v>968</v>
      </c>
      <c r="F121" s="831"/>
      <c r="G121" s="829">
        <v>2.73</v>
      </c>
      <c r="H121" s="832">
        <f>F120*G120*G121</f>
        <v>8.8725000000000005</v>
      </c>
      <c r="I121" s="833"/>
    </row>
    <row r="122" spans="1:10">
      <c r="A122" s="818"/>
      <c r="B122" s="831"/>
      <c r="C122" s="829"/>
      <c r="D122" s="832"/>
      <c r="E122" s="833"/>
      <c r="F122" s="17"/>
      <c r="G122" s="9"/>
      <c r="H122" s="435"/>
      <c r="I122" s="36"/>
    </row>
    <row r="123" spans="1:10">
      <c r="A123" s="818"/>
      <c r="B123" s="109"/>
      <c r="C123" s="860"/>
      <c r="D123" s="860"/>
      <c r="E123" s="109"/>
      <c r="F123" s="109"/>
      <c r="G123" s="939"/>
      <c r="H123" s="860"/>
      <c r="I123" s="109"/>
    </row>
    <row r="124" spans="1:10">
      <c r="A124" s="828"/>
      <c r="B124" s="853" t="s">
        <v>1884</v>
      </c>
      <c r="C124" s="854" t="s">
        <v>526</v>
      </c>
      <c r="D124" s="855" t="s">
        <v>1885</v>
      </c>
      <c r="E124" s="854" t="s">
        <v>1886</v>
      </c>
      <c r="F124" s="853" t="s">
        <v>1884</v>
      </c>
      <c r="G124" s="855" t="s">
        <v>526</v>
      </c>
      <c r="H124" s="856" t="s">
        <v>1885</v>
      </c>
      <c r="I124" s="854" t="s">
        <v>1886</v>
      </c>
      <c r="J124" s="828"/>
    </row>
    <row r="125" spans="1:10">
      <c r="A125" s="818"/>
      <c r="B125" s="831">
        <v>1</v>
      </c>
      <c r="C125" s="829">
        <v>0.8</v>
      </c>
      <c r="D125" s="832"/>
      <c r="E125" s="833" t="s">
        <v>363</v>
      </c>
      <c r="F125" s="831"/>
      <c r="G125" s="829"/>
      <c r="H125" s="832"/>
      <c r="I125" s="844" t="s">
        <v>109</v>
      </c>
    </row>
    <row r="126" spans="1:10">
      <c r="A126" s="818"/>
      <c r="B126" s="831"/>
      <c r="C126" s="829">
        <v>2.73</v>
      </c>
      <c r="D126" s="832">
        <f>-B125*C125*C126</f>
        <v>-2.1840000000000002</v>
      </c>
      <c r="E126" s="833"/>
      <c r="F126" s="847"/>
      <c r="G126" s="848"/>
      <c r="H126" s="843"/>
      <c r="I126" s="844" t="s">
        <v>896</v>
      </c>
    </row>
    <row r="127" spans="1:10">
      <c r="A127" s="818"/>
      <c r="B127" s="831"/>
      <c r="C127" s="829"/>
      <c r="D127" s="832"/>
      <c r="E127" s="833"/>
      <c r="F127" s="831">
        <v>18</v>
      </c>
      <c r="G127" s="829">
        <v>13.9</v>
      </c>
      <c r="H127" s="832"/>
      <c r="I127" s="833" t="s">
        <v>987</v>
      </c>
    </row>
    <row r="128" spans="1:10">
      <c r="A128" s="818"/>
      <c r="B128" s="831">
        <v>2</v>
      </c>
      <c r="C128" s="829">
        <v>1.45</v>
      </c>
      <c r="D128" s="832"/>
      <c r="E128" s="833" t="s">
        <v>974</v>
      </c>
      <c r="F128" s="831"/>
      <c r="G128" s="829"/>
      <c r="H128" s="832">
        <f>F127*G127</f>
        <v>250.20000000000002</v>
      </c>
      <c r="I128" s="833" t="s">
        <v>988</v>
      </c>
    </row>
    <row r="129" spans="1:9">
      <c r="A129" s="818"/>
      <c r="B129" s="831"/>
      <c r="C129" s="829">
        <v>3.03</v>
      </c>
      <c r="D129" s="832">
        <f>B128*C128*C129</f>
        <v>8.786999999999999</v>
      </c>
      <c r="E129" s="833"/>
      <c r="F129" s="847"/>
      <c r="G129" s="848"/>
      <c r="H129" s="843"/>
      <c r="I129" s="435"/>
    </row>
    <row r="130" spans="1:9">
      <c r="A130" s="818"/>
      <c r="B130" s="831"/>
      <c r="C130" s="829"/>
      <c r="D130" s="832"/>
      <c r="E130" s="833"/>
      <c r="F130" s="831">
        <v>18</v>
      </c>
      <c r="G130" s="829">
        <v>13.16</v>
      </c>
      <c r="H130" s="832"/>
      <c r="I130" s="833"/>
    </row>
    <row r="131" spans="1:9">
      <c r="A131" s="818"/>
      <c r="B131" s="831">
        <v>1</v>
      </c>
      <c r="C131" s="829">
        <v>2.7</v>
      </c>
      <c r="D131" s="832"/>
      <c r="E131" s="833" t="s">
        <v>974</v>
      </c>
      <c r="F131" s="831"/>
      <c r="G131" s="829"/>
      <c r="H131" s="832">
        <f>F130*G130</f>
        <v>236.88</v>
      </c>
      <c r="I131" s="833"/>
    </row>
    <row r="132" spans="1:9">
      <c r="A132" s="818"/>
      <c r="B132" s="831"/>
      <c r="C132" s="829">
        <v>3.03</v>
      </c>
      <c r="D132" s="832">
        <f>B131*C131*C132</f>
        <v>8.1809999999999992</v>
      </c>
      <c r="E132" s="833"/>
      <c r="F132" s="847"/>
      <c r="G132" s="848"/>
      <c r="H132" s="843"/>
      <c r="I132" s="435"/>
    </row>
    <row r="133" spans="1:9">
      <c r="A133" s="818"/>
      <c r="B133" s="831"/>
      <c r="C133" s="829"/>
      <c r="D133" s="832"/>
      <c r="E133" s="833"/>
      <c r="F133" s="839"/>
      <c r="G133" s="839"/>
      <c r="H133" s="838">
        <f>SUM(H128:H131)</f>
        <v>487.08000000000004</v>
      </c>
      <c r="I133" s="839" t="s">
        <v>2127</v>
      </c>
    </row>
    <row r="134" spans="1:9">
      <c r="A134" s="818"/>
      <c r="B134" s="831">
        <v>1</v>
      </c>
      <c r="C134" s="829">
        <v>0.8</v>
      </c>
      <c r="D134" s="832"/>
      <c r="E134" s="833" t="s">
        <v>363</v>
      </c>
      <c r="F134" s="847"/>
      <c r="G134" s="848"/>
      <c r="H134" s="843"/>
      <c r="I134" s="435"/>
    </row>
    <row r="135" spans="1:9">
      <c r="A135" s="818"/>
      <c r="B135" s="831"/>
      <c r="C135" s="829">
        <v>2.73</v>
      </c>
      <c r="D135" s="832">
        <f>-B134*C134*C135</f>
        <v>-2.1840000000000002</v>
      </c>
      <c r="E135" s="833"/>
      <c r="F135" s="831"/>
      <c r="G135" s="829"/>
      <c r="H135" s="832"/>
      <c r="I135" s="844" t="s">
        <v>114</v>
      </c>
    </row>
    <row r="136" spans="1:9">
      <c r="A136" s="818"/>
      <c r="B136" s="831"/>
      <c r="C136" s="829"/>
      <c r="D136" s="832"/>
      <c r="E136" s="833"/>
      <c r="F136" s="831"/>
      <c r="G136" s="829"/>
      <c r="H136" s="832"/>
      <c r="I136" s="833" t="s">
        <v>989</v>
      </c>
    </row>
    <row r="137" spans="1:9">
      <c r="A137" s="818"/>
      <c r="B137" s="831">
        <v>1</v>
      </c>
      <c r="C137" s="829">
        <v>3.25</v>
      </c>
      <c r="D137" s="832"/>
      <c r="E137" s="833" t="s">
        <v>977</v>
      </c>
      <c r="F137" s="831">
        <v>18</v>
      </c>
      <c r="G137" s="829">
        <v>13.78</v>
      </c>
      <c r="H137" s="832"/>
      <c r="I137" s="833" t="s">
        <v>990</v>
      </c>
    </row>
    <row r="138" spans="1:9">
      <c r="A138" s="818"/>
      <c r="B138" s="831"/>
      <c r="C138" s="829">
        <v>3.03</v>
      </c>
      <c r="D138" s="832">
        <f>B137*C137*C138</f>
        <v>9.8475000000000001</v>
      </c>
      <c r="E138" s="833"/>
      <c r="F138" s="831"/>
      <c r="G138" s="829"/>
      <c r="H138" s="832">
        <f>F137*G137</f>
        <v>248.04</v>
      </c>
      <c r="I138" s="833"/>
    </row>
    <row r="139" spans="1:9">
      <c r="A139" s="818"/>
      <c r="B139" s="831"/>
      <c r="C139" s="829"/>
      <c r="D139" s="832"/>
      <c r="E139" s="435"/>
      <c r="F139" s="847"/>
      <c r="G139" s="848"/>
      <c r="H139" s="843"/>
      <c r="I139" s="435"/>
    </row>
    <row r="140" spans="1:9">
      <c r="A140" s="818"/>
      <c r="B140" s="831">
        <v>1</v>
      </c>
      <c r="C140" s="829">
        <v>0.8</v>
      </c>
      <c r="D140" s="832"/>
      <c r="E140" s="833" t="s">
        <v>363</v>
      </c>
      <c r="F140" s="831">
        <v>18</v>
      </c>
      <c r="G140" s="829">
        <v>16.48</v>
      </c>
      <c r="H140" s="832"/>
      <c r="I140" s="833"/>
    </row>
    <row r="141" spans="1:9">
      <c r="A141" s="818"/>
      <c r="B141" s="831"/>
      <c r="C141" s="829">
        <v>2.73</v>
      </c>
      <c r="D141" s="832">
        <f>-B140*C140*C141</f>
        <v>-2.1840000000000002</v>
      </c>
      <c r="E141" s="833"/>
      <c r="F141" s="831"/>
      <c r="G141" s="829"/>
      <c r="H141" s="832">
        <f>F140*G140</f>
        <v>296.64</v>
      </c>
      <c r="I141" s="435"/>
    </row>
    <row r="142" spans="1:9">
      <c r="A142" s="818"/>
      <c r="B142" s="831"/>
      <c r="C142" s="829"/>
      <c r="D142" s="832"/>
      <c r="E142" s="833"/>
      <c r="F142" s="831"/>
      <c r="G142" s="829"/>
      <c r="H142" s="832"/>
      <c r="I142" s="435"/>
    </row>
    <row r="143" spans="1:9">
      <c r="A143" s="818"/>
      <c r="B143" s="831">
        <v>4</v>
      </c>
      <c r="C143" s="829">
        <v>1</v>
      </c>
      <c r="D143" s="832"/>
      <c r="E143" s="833"/>
      <c r="F143" s="839"/>
      <c r="G143" s="839"/>
      <c r="H143" s="838">
        <f>SUM(H138:H141)</f>
        <v>544.67999999999995</v>
      </c>
      <c r="I143" s="839" t="s">
        <v>2128</v>
      </c>
    </row>
    <row r="144" spans="1:9">
      <c r="A144" s="818"/>
      <c r="B144" s="831"/>
      <c r="C144" s="829">
        <v>2.73</v>
      </c>
      <c r="D144" s="832">
        <f>C143*C144*B143</f>
        <v>10.92</v>
      </c>
      <c r="E144" s="833"/>
      <c r="F144" s="831"/>
      <c r="G144" s="829"/>
      <c r="H144" s="832"/>
      <c r="I144" s="435"/>
    </row>
    <row r="145" spans="1:9">
      <c r="A145" s="818"/>
      <c r="B145" s="831"/>
      <c r="C145" s="829"/>
      <c r="D145" s="832"/>
      <c r="E145" s="833"/>
      <c r="F145" s="847"/>
      <c r="G145" s="848"/>
      <c r="H145" s="843"/>
      <c r="I145" s="844" t="s">
        <v>117</v>
      </c>
    </row>
    <row r="146" spans="1:9">
      <c r="A146" s="818"/>
      <c r="B146" s="831">
        <v>2</v>
      </c>
      <c r="C146" s="829">
        <v>1.5</v>
      </c>
      <c r="D146" s="832"/>
      <c r="E146" s="833"/>
      <c r="F146" s="847"/>
      <c r="G146" s="848"/>
      <c r="H146" s="843"/>
      <c r="I146" s="833" t="s">
        <v>991</v>
      </c>
    </row>
    <row r="147" spans="1:9">
      <c r="A147" s="818"/>
      <c r="B147" s="831"/>
      <c r="C147" s="829">
        <v>2.73</v>
      </c>
      <c r="D147" s="832">
        <f>C146*C147*B146</f>
        <v>8.19</v>
      </c>
      <c r="E147" s="833"/>
      <c r="F147" s="831">
        <v>18</v>
      </c>
      <c r="G147" s="829">
        <v>23.15</v>
      </c>
      <c r="H147" s="832"/>
      <c r="I147" s="833" t="s">
        <v>992</v>
      </c>
    </row>
    <row r="148" spans="1:9">
      <c r="A148" s="818"/>
      <c r="B148" s="831"/>
      <c r="C148" s="829"/>
      <c r="D148" s="832"/>
      <c r="E148" s="833"/>
      <c r="F148" s="839"/>
      <c r="G148" s="839"/>
      <c r="H148" s="838">
        <f>F147*G147</f>
        <v>416.7</v>
      </c>
      <c r="I148" s="839" t="s">
        <v>2349</v>
      </c>
    </row>
    <row r="149" spans="1:9">
      <c r="A149" s="818"/>
      <c r="B149" s="831">
        <v>4</v>
      </c>
      <c r="C149" s="829">
        <v>0.7</v>
      </c>
      <c r="D149" s="832"/>
      <c r="E149" s="833"/>
      <c r="F149" s="831"/>
      <c r="G149" s="829"/>
      <c r="H149" s="832"/>
      <c r="I149" s="833"/>
    </row>
    <row r="150" spans="1:9">
      <c r="A150" s="818"/>
      <c r="B150" s="435"/>
      <c r="C150" s="829">
        <v>2.73</v>
      </c>
      <c r="D150" s="832">
        <f>-C149*C150*B149</f>
        <v>-7.6439999999999992</v>
      </c>
      <c r="E150" s="833"/>
      <c r="F150" s="847"/>
      <c r="G150" s="848"/>
      <c r="H150" s="843"/>
      <c r="I150" s="844" t="s">
        <v>122</v>
      </c>
    </row>
    <row r="151" spans="1:9">
      <c r="A151" s="818"/>
      <c r="B151" s="435"/>
      <c r="C151" s="435"/>
      <c r="D151" s="435"/>
      <c r="E151" s="435"/>
      <c r="F151" s="831">
        <v>4</v>
      </c>
      <c r="G151" s="829">
        <v>6.95</v>
      </c>
      <c r="H151" s="832"/>
      <c r="I151" s="833"/>
    </row>
    <row r="152" spans="1:9">
      <c r="A152" s="818"/>
      <c r="B152" s="839"/>
      <c r="C152" s="839"/>
      <c r="D152" s="838">
        <f>SUM(D125:D150)+SUM(H67:H122)+SUM(D105:D121)</f>
        <v>263.4495</v>
      </c>
      <c r="E152" s="839" t="s">
        <v>2123</v>
      </c>
      <c r="F152" s="831"/>
      <c r="G152" s="829"/>
      <c r="H152" s="832">
        <f>F151*G151</f>
        <v>27.8</v>
      </c>
      <c r="I152" s="833"/>
    </row>
    <row r="153" spans="1:9">
      <c r="A153" s="818"/>
      <c r="B153" s="831"/>
      <c r="C153" s="829"/>
      <c r="D153" s="435"/>
      <c r="E153" s="435"/>
      <c r="F153" s="847"/>
      <c r="G153" s="848"/>
      <c r="H153" s="843"/>
      <c r="I153" s="833"/>
    </row>
    <row r="154" spans="1:9">
      <c r="A154" s="818"/>
      <c r="B154" s="435"/>
      <c r="C154" s="829"/>
      <c r="D154" s="832"/>
      <c r="E154" s="844" t="s">
        <v>124</v>
      </c>
      <c r="F154" s="831">
        <v>2</v>
      </c>
      <c r="G154" s="829">
        <v>23.15</v>
      </c>
      <c r="H154" s="832"/>
      <c r="I154" s="833"/>
    </row>
    <row r="155" spans="1:9">
      <c r="A155" s="818"/>
      <c r="B155" s="435"/>
      <c r="C155" s="435"/>
      <c r="D155" s="435"/>
      <c r="E155" s="844" t="s">
        <v>125</v>
      </c>
      <c r="F155" s="831"/>
      <c r="G155" s="829"/>
      <c r="H155" s="832">
        <f>F154*G154</f>
        <v>46.3</v>
      </c>
      <c r="I155" s="833"/>
    </row>
    <row r="156" spans="1:9">
      <c r="A156" s="818"/>
      <c r="B156" s="435">
        <v>1</v>
      </c>
      <c r="C156" s="829">
        <v>13.55</v>
      </c>
      <c r="D156" s="832"/>
      <c r="E156" s="833" t="s">
        <v>982</v>
      </c>
      <c r="F156" s="831"/>
      <c r="G156" s="829"/>
      <c r="H156" s="832"/>
      <c r="I156" s="833"/>
    </row>
    <row r="157" spans="1:9">
      <c r="A157" s="818"/>
      <c r="B157" s="435"/>
      <c r="C157" s="829">
        <v>23.15</v>
      </c>
      <c r="D157" s="832"/>
      <c r="E157" s="833" t="s">
        <v>983</v>
      </c>
      <c r="F157" s="839"/>
      <c r="G157" s="839"/>
      <c r="H157" s="838">
        <f>SUM(H152:H155)</f>
        <v>74.099999999999994</v>
      </c>
      <c r="I157" s="839" t="s">
        <v>2350</v>
      </c>
    </row>
    <row r="158" spans="1:9">
      <c r="A158" s="818"/>
      <c r="B158" s="839"/>
      <c r="C158" s="839"/>
      <c r="D158" s="838">
        <f>C156*C157*B156</f>
        <v>313.6825</v>
      </c>
      <c r="E158" s="839" t="s">
        <v>2432</v>
      </c>
      <c r="F158" s="831"/>
      <c r="G158" s="829"/>
      <c r="H158" s="832"/>
      <c r="I158" s="833"/>
    </row>
    <row r="159" spans="1:9">
      <c r="A159" s="818"/>
      <c r="B159" s="435"/>
      <c r="C159" s="829"/>
      <c r="D159" s="832"/>
      <c r="E159" s="833"/>
      <c r="F159" s="435"/>
      <c r="G159" s="829"/>
      <c r="H159" s="843"/>
      <c r="I159" s="847" t="s">
        <v>561</v>
      </c>
    </row>
    <row r="160" spans="1:9">
      <c r="A160" s="818"/>
      <c r="B160" s="435"/>
      <c r="C160" s="829"/>
      <c r="D160" s="832"/>
      <c r="E160" s="844" t="s">
        <v>129</v>
      </c>
      <c r="F160" s="435"/>
      <c r="G160" s="829"/>
      <c r="H160" s="843"/>
      <c r="I160" s="847" t="s">
        <v>2435</v>
      </c>
    </row>
    <row r="161" spans="1:9">
      <c r="A161" s="818"/>
      <c r="B161" s="435">
        <v>2</v>
      </c>
      <c r="C161" s="829">
        <v>23.15</v>
      </c>
      <c r="D161" s="832"/>
      <c r="E161" s="844" t="s">
        <v>984</v>
      </c>
      <c r="F161" s="435">
        <v>1</v>
      </c>
      <c r="G161" s="829">
        <v>6</v>
      </c>
      <c r="H161" s="843"/>
      <c r="I161" s="847"/>
    </row>
    <row r="162" spans="1:9">
      <c r="A162" s="818"/>
      <c r="B162" s="435"/>
      <c r="C162" s="829">
        <v>0.5</v>
      </c>
      <c r="D162" s="832">
        <f>C161*C162*B161</f>
        <v>23.15</v>
      </c>
      <c r="E162" s="844"/>
      <c r="F162" s="839"/>
      <c r="G162" s="839"/>
      <c r="H162" s="838">
        <f>F161*G161</f>
        <v>6</v>
      </c>
      <c r="I162" s="839" t="s">
        <v>2131</v>
      </c>
    </row>
    <row r="163" spans="1:9">
      <c r="A163" s="818"/>
      <c r="B163" s="435"/>
      <c r="C163" s="829"/>
      <c r="D163" s="832"/>
      <c r="E163" s="833"/>
      <c r="F163" s="435"/>
      <c r="G163" s="829"/>
      <c r="H163" s="843"/>
      <c r="I163" s="847"/>
    </row>
    <row r="164" spans="1:9">
      <c r="A164" s="818"/>
      <c r="B164" s="435">
        <v>4</v>
      </c>
      <c r="C164" s="829">
        <v>6.95</v>
      </c>
      <c r="D164" s="832"/>
      <c r="E164" s="833"/>
      <c r="F164" s="435"/>
      <c r="G164" s="829"/>
      <c r="H164" s="843"/>
      <c r="I164" s="847" t="s">
        <v>993</v>
      </c>
    </row>
    <row r="165" spans="1:9">
      <c r="A165" s="818"/>
      <c r="B165" s="435"/>
      <c r="C165" s="829">
        <v>0.5</v>
      </c>
      <c r="D165" s="832">
        <f>B164*C164*C165</f>
        <v>13.9</v>
      </c>
      <c r="E165" s="833"/>
      <c r="F165" s="435">
        <v>1</v>
      </c>
      <c r="G165" s="829">
        <v>2</v>
      </c>
      <c r="H165" s="843"/>
      <c r="I165" s="847"/>
    </row>
    <row r="166" spans="1:9">
      <c r="A166" s="818"/>
      <c r="B166" s="435"/>
      <c r="C166" s="435"/>
      <c r="D166" s="435"/>
      <c r="E166" s="833"/>
      <c r="F166" s="839"/>
      <c r="G166" s="839"/>
      <c r="H166" s="838">
        <f>F165*G165</f>
        <v>2</v>
      </c>
      <c r="I166" s="839" t="s">
        <v>2139</v>
      </c>
    </row>
    <row r="167" spans="1:9">
      <c r="A167" s="818"/>
      <c r="B167" s="839"/>
      <c r="C167" s="839"/>
      <c r="D167" s="838">
        <f>SUM(D162:D165)</f>
        <v>37.049999999999997</v>
      </c>
      <c r="E167" s="839" t="s">
        <v>2433</v>
      </c>
      <c r="F167" s="831"/>
      <c r="G167" s="829"/>
      <c r="H167" s="832"/>
      <c r="I167" s="833"/>
    </row>
    <row r="168" spans="1:9">
      <c r="A168" s="818"/>
      <c r="B168" s="435"/>
      <c r="C168" s="829"/>
      <c r="D168" s="832"/>
      <c r="E168" s="833"/>
      <c r="F168" s="435"/>
      <c r="G168" s="829"/>
      <c r="H168" s="843"/>
      <c r="I168" s="847" t="s">
        <v>2434</v>
      </c>
    </row>
    <row r="169" spans="1:9">
      <c r="A169" s="818"/>
      <c r="B169" s="435"/>
      <c r="C169" s="829"/>
      <c r="D169" s="832"/>
      <c r="E169" s="844" t="s">
        <v>131</v>
      </c>
      <c r="F169" s="435">
        <v>1</v>
      </c>
      <c r="G169" s="829">
        <v>1</v>
      </c>
      <c r="H169" s="843"/>
      <c r="I169" s="847"/>
    </row>
    <row r="170" spans="1:9">
      <c r="A170" s="818"/>
      <c r="B170" s="435">
        <v>1</v>
      </c>
      <c r="C170" s="829">
        <v>23.15</v>
      </c>
      <c r="D170" s="832"/>
      <c r="E170" s="844" t="s">
        <v>133</v>
      </c>
      <c r="F170" s="839"/>
      <c r="G170" s="839"/>
      <c r="H170" s="838">
        <f>F169*G169</f>
        <v>1</v>
      </c>
      <c r="I170" s="839" t="s">
        <v>2138</v>
      </c>
    </row>
    <row r="171" spans="1:9">
      <c r="A171" s="818"/>
      <c r="B171" s="435"/>
      <c r="C171" s="829"/>
      <c r="D171" s="832">
        <f>B170*C170</f>
        <v>23.15</v>
      </c>
      <c r="E171" s="833"/>
      <c r="F171" s="435"/>
      <c r="G171" s="829"/>
      <c r="H171" s="832"/>
      <c r="I171" s="844"/>
    </row>
    <row r="172" spans="1:9">
      <c r="A172" s="818"/>
      <c r="B172" s="435"/>
      <c r="C172" s="435"/>
      <c r="D172" s="832"/>
      <c r="E172" s="833"/>
      <c r="F172" s="435"/>
      <c r="G172" s="829"/>
      <c r="H172" s="832"/>
      <c r="I172" s="844" t="s">
        <v>135</v>
      </c>
    </row>
    <row r="173" spans="1:9">
      <c r="A173" s="818"/>
      <c r="B173" s="435">
        <v>4</v>
      </c>
      <c r="C173" s="829">
        <v>6.95</v>
      </c>
      <c r="D173" s="832"/>
      <c r="E173" s="833"/>
      <c r="F173" s="435"/>
      <c r="G173" s="829"/>
      <c r="H173" s="832"/>
      <c r="I173" s="844" t="s">
        <v>137</v>
      </c>
    </row>
    <row r="174" spans="1:9">
      <c r="A174" s="818"/>
      <c r="B174" s="435"/>
      <c r="C174" s="829">
        <v>1</v>
      </c>
      <c r="D174" s="832">
        <f>B173*C174*C173</f>
        <v>27.8</v>
      </c>
      <c r="E174" s="833"/>
      <c r="F174" s="435">
        <v>1</v>
      </c>
      <c r="G174" s="829">
        <v>13</v>
      </c>
      <c r="H174" s="832"/>
      <c r="I174" s="844"/>
    </row>
    <row r="175" spans="1:9">
      <c r="A175" s="818"/>
      <c r="B175" s="435"/>
      <c r="C175" s="829"/>
      <c r="D175" s="435"/>
      <c r="E175" s="833"/>
      <c r="F175" s="839"/>
      <c r="G175" s="839"/>
      <c r="H175" s="838">
        <f>F174*G174</f>
        <v>13</v>
      </c>
      <c r="I175" s="839" t="s">
        <v>2136</v>
      </c>
    </row>
    <row r="176" spans="1:9">
      <c r="A176" s="818"/>
      <c r="B176" s="839"/>
      <c r="C176" s="839"/>
      <c r="D176" s="838">
        <f>SUM(D171:D174)</f>
        <v>50.95</v>
      </c>
      <c r="E176" s="839" t="s">
        <v>2347</v>
      </c>
      <c r="F176" s="435"/>
      <c r="G176" s="829"/>
      <c r="H176" s="832"/>
      <c r="I176" s="844"/>
    </row>
    <row r="177" spans="1:10">
      <c r="A177" s="818"/>
      <c r="B177" s="435"/>
      <c r="C177" s="435"/>
      <c r="D177" s="435"/>
      <c r="E177" s="435"/>
      <c r="F177" s="435"/>
      <c r="G177" s="829"/>
      <c r="H177" s="832"/>
      <c r="I177" s="844" t="s">
        <v>2436</v>
      </c>
    </row>
    <row r="178" spans="1:10">
      <c r="A178" s="818"/>
      <c r="B178" s="435"/>
      <c r="C178" s="829"/>
      <c r="D178" s="832"/>
      <c r="E178" s="844" t="s">
        <v>2099</v>
      </c>
      <c r="F178" s="435">
        <v>1</v>
      </c>
      <c r="G178" s="829">
        <v>1</v>
      </c>
      <c r="H178" s="832"/>
      <c r="I178" s="844"/>
    </row>
    <row r="179" spans="1:10">
      <c r="A179" s="818"/>
      <c r="B179" s="435">
        <v>2</v>
      </c>
      <c r="C179" s="829">
        <v>24.1</v>
      </c>
      <c r="D179" s="832"/>
      <c r="E179" s="833" t="s">
        <v>2100</v>
      </c>
      <c r="F179" s="839"/>
      <c r="G179" s="839"/>
      <c r="H179" s="838">
        <f>F178*G178</f>
        <v>1</v>
      </c>
      <c r="I179" s="839" t="s">
        <v>2358</v>
      </c>
    </row>
    <row r="180" spans="1:10">
      <c r="A180" s="818"/>
      <c r="B180" s="435"/>
      <c r="C180" s="435"/>
      <c r="D180" s="832">
        <f>C179*B179</f>
        <v>48.2</v>
      </c>
      <c r="E180" s="844"/>
      <c r="F180" s="831"/>
      <c r="G180" s="829"/>
      <c r="H180" s="832"/>
      <c r="I180" s="833"/>
    </row>
    <row r="181" spans="1:10">
      <c r="A181" s="818"/>
      <c r="B181" s="435"/>
      <c r="C181" s="829"/>
      <c r="D181" s="832"/>
      <c r="E181" s="844"/>
      <c r="F181" s="831"/>
      <c r="G181" s="829"/>
      <c r="H181" s="832"/>
      <c r="I181" s="833"/>
    </row>
    <row r="182" spans="1:10">
      <c r="A182" s="818"/>
      <c r="B182" s="839"/>
      <c r="C182" s="839"/>
      <c r="D182" s="838">
        <f>D180</f>
        <v>48.2</v>
      </c>
      <c r="E182" s="839" t="s">
        <v>2126</v>
      </c>
      <c r="F182" s="831"/>
      <c r="G182" s="829"/>
      <c r="H182" s="832"/>
      <c r="I182" s="833"/>
    </row>
    <row r="183" spans="1:10">
      <c r="A183" s="818"/>
      <c r="B183" s="109"/>
      <c r="C183" s="850"/>
      <c r="D183" s="851"/>
      <c r="E183" s="852"/>
      <c r="F183" s="860"/>
      <c r="G183" s="927"/>
      <c r="H183" s="928"/>
      <c r="I183" s="109"/>
    </row>
    <row r="184" spans="1:10">
      <c r="A184" s="828"/>
      <c r="B184" s="853" t="s">
        <v>1884</v>
      </c>
      <c r="C184" s="854" t="s">
        <v>526</v>
      </c>
      <c r="D184" s="855" t="s">
        <v>1885</v>
      </c>
      <c r="E184" s="854" t="s">
        <v>1886</v>
      </c>
      <c r="F184" s="853" t="s">
        <v>1884</v>
      </c>
      <c r="G184" s="854" t="s">
        <v>526</v>
      </c>
      <c r="H184" s="855" t="s">
        <v>1885</v>
      </c>
      <c r="I184" s="854" t="s">
        <v>1886</v>
      </c>
      <c r="J184" s="828"/>
    </row>
    <row r="185" spans="1:10">
      <c r="A185" s="818"/>
      <c r="B185" s="435"/>
      <c r="C185" s="829"/>
      <c r="D185" s="832"/>
      <c r="E185" s="833" t="s">
        <v>141</v>
      </c>
      <c r="F185" s="435">
        <v>1</v>
      </c>
      <c r="G185" s="829">
        <v>24.45</v>
      </c>
      <c r="H185" s="832"/>
      <c r="I185" s="833" t="s">
        <v>160</v>
      </c>
    </row>
    <row r="186" spans="1:10">
      <c r="A186" s="818"/>
      <c r="B186" s="435"/>
      <c r="C186" s="435"/>
      <c r="D186" s="832"/>
      <c r="E186" s="844" t="s">
        <v>142</v>
      </c>
      <c r="F186" s="435"/>
      <c r="G186" s="829">
        <v>3.06</v>
      </c>
      <c r="H186" s="832">
        <f>G185*G186*F185</f>
        <v>74.816999999999993</v>
      </c>
      <c r="I186" s="833" t="s">
        <v>1007</v>
      </c>
    </row>
    <row r="187" spans="1:10">
      <c r="A187" s="818"/>
      <c r="B187" s="435">
        <v>2</v>
      </c>
      <c r="C187" s="829">
        <v>18.25</v>
      </c>
      <c r="D187" s="832"/>
      <c r="E187" s="833" t="s">
        <v>963</v>
      </c>
      <c r="F187" s="435"/>
      <c r="G187" s="829"/>
      <c r="H187" s="832"/>
      <c r="I187" s="833" t="s">
        <v>1008</v>
      </c>
    </row>
    <row r="188" spans="1:10">
      <c r="A188" s="818"/>
      <c r="B188" s="435"/>
      <c r="C188" s="829">
        <v>2.73</v>
      </c>
      <c r="D188" s="832">
        <f>B187*C187*C188</f>
        <v>99.644999999999996</v>
      </c>
      <c r="E188" s="833"/>
      <c r="F188" s="435">
        <v>1</v>
      </c>
      <c r="G188" s="829">
        <v>0.8</v>
      </c>
      <c r="H188" s="832"/>
      <c r="I188" s="833" t="s">
        <v>363</v>
      </c>
    </row>
    <row r="189" spans="1:10">
      <c r="A189" s="818"/>
      <c r="B189" s="435"/>
      <c r="C189" s="435"/>
      <c r="D189" s="832"/>
      <c r="E189" s="833"/>
      <c r="F189" s="435"/>
      <c r="G189" s="829">
        <v>2.73</v>
      </c>
      <c r="H189" s="832">
        <f>-G188*G189*F188</f>
        <v>-2.1840000000000002</v>
      </c>
      <c r="I189" s="844"/>
    </row>
    <row r="190" spans="1:10">
      <c r="A190" s="818"/>
      <c r="B190" s="435">
        <v>3</v>
      </c>
      <c r="C190" s="829">
        <v>1.5</v>
      </c>
      <c r="D190" s="832"/>
      <c r="E190" s="833" t="s">
        <v>79</v>
      </c>
      <c r="F190" s="435"/>
      <c r="G190" s="829"/>
      <c r="H190" s="832"/>
      <c r="I190" s="844"/>
    </row>
    <row r="191" spans="1:10">
      <c r="A191" s="818"/>
      <c r="B191" s="435"/>
      <c r="C191" s="829">
        <v>1.73</v>
      </c>
      <c r="D191" s="832">
        <f>-B190*C190*C191</f>
        <v>-7.7850000000000001</v>
      </c>
      <c r="E191" s="833"/>
      <c r="F191" s="435">
        <v>3</v>
      </c>
      <c r="G191" s="829">
        <v>0.7</v>
      </c>
      <c r="H191" s="832"/>
      <c r="I191" s="833" t="s">
        <v>113</v>
      </c>
    </row>
    <row r="192" spans="1:10">
      <c r="A192" s="818"/>
      <c r="B192" s="435"/>
      <c r="C192" s="435"/>
      <c r="D192" s="832"/>
      <c r="E192" s="833"/>
      <c r="F192" s="435"/>
      <c r="G192" s="829">
        <v>2.73</v>
      </c>
      <c r="H192" s="832">
        <f>-G191*G192*F191</f>
        <v>-5.7329999999999997</v>
      </c>
      <c r="I192" s="844"/>
    </row>
    <row r="193" spans="1:9">
      <c r="A193" s="818"/>
      <c r="B193" s="435">
        <v>1</v>
      </c>
      <c r="C193" s="829">
        <v>1.05</v>
      </c>
      <c r="D193" s="832"/>
      <c r="E193" s="833" t="s">
        <v>969</v>
      </c>
      <c r="F193" s="435"/>
      <c r="G193" s="829"/>
      <c r="H193" s="832"/>
      <c r="I193" s="844"/>
    </row>
    <row r="194" spans="1:9">
      <c r="A194" s="818"/>
      <c r="B194" s="435"/>
      <c r="C194" s="829">
        <v>1.73</v>
      </c>
      <c r="D194" s="832">
        <f>-B193*C193*C194</f>
        <v>-1.8165</v>
      </c>
      <c r="E194" s="833"/>
      <c r="F194" s="435">
        <v>1</v>
      </c>
      <c r="G194" s="829">
        <v>0.8</v>
      </c>
      <c r="H194" s="832"/>
      <c r="I194" s="833" t="s">
        <v>1009</v>
      </c>
    </row>
    <row r="195" spans="1:9">
      <c r="A195" s="818"/>
      <c r="B195" s="435"/>
      <c r="C195" s="435"/>
      <c r="D195" s="832"/>
      <c r="E195" s="833"/>
      <c r="F195" s="435"/>
      <c r="G195" s="829">
        <v>1.73</v>
      </c>
      <c r="H195" s="832">
        <f>-G194*G195*F194</f>
        <v>-1.3840000000000001</v>
      </c>
      <c r="I195" s="844"/>
    </row>
    <row r="196" spans="1:9">
      <c r="A196" s="818"/>
      <c r="B196" s="435">
        <v>1</v>
      </c>
      <c r="C196" s="829">
        <v>1.5</v>
      </c>
      <c r="D196" s="832"/>
      <c r="E196" s="833" t="s">
        <v>619</v>
      </c>
      <c r="F196" s="435"/>
      <c r="G196" s="829"/>
      <c r="H196" s="832"/>
      <c r="I196" s="833"/>
    </row>
    <row r="197" spans="1:9">
      <c r="A197" s="818"/>
      <c r="B197" s="435"/>
      <c r="C197" s="829">
        <v>1.73</v>
      </c>
      <c r="D197" s="832">
        <f>-B196*C196*C197</f>
        <v>-2.5949999999999998</v>
      </c>
      <c r="E197" s="833"/>
      <c r="F197" s="435">
        <v>1</v>
      </c>
      <c r="G197" s="829">
        <v>18.899999999999999</v>
      </c>
      <c r="H197" s="832"/>
      <c r="I197" s="833" t="s">
        <v>160</v>
      </c>
    </row>
    <row r="198" spans="1:9">
      <c r="A198" s="818"/>
      <c r="B198" s="435"/>
      <c r="C198" s="435"/>
      <c r="D198" s="832"/>
      <c r="E198" s="833"/>
      <c r="F198" s="435"/>
      <c r="G198" s="829">
        <v>3.06</v>
      </c>
      <c r="H198" s="832">
        <f>G197*G198*F197</f>
        <v>57.833999999999996</v>
      </c>
      <c r="I198" s="833" t="s">
        <v>995</v>
      </c>
    </row>
    <row r="199" spans="1:9">
      <c r="A199" s="818"/>
      <c r="B199" s="435">
        <v>3</v>
      </c>
      <c r="C199" s="829">
        <v>1.2</v>
      </c>
      <c r="D199" s="832"/>
      <c r="E199" s="833" t="s">
        <v>970</v>
      </c>
      <c r="F199" s="435"/>
      <c r="G199" s="829"/>
      <c r="H199" s="832"/>
      <c r="I199" s="833"/>
    </row>
    <row r="200" spans="1:9">
      <c r="A200" s="818"/>
      <c r="B200" s="435"/>
      <c r="C200" s="829">
        <v>0.6</v>
      </c>
      <c r="D200" s="832">
        <f>-B199*C199*C200</f>
        <v>-2.1599999999999997</v>
      </c>
      <c r="E200" s="833"/>
      <c r="F200" s="435">
        <v>2</v>
      </c>
      <c r="G200" s="829">
        <v>0.8</v>
      </c>
      <c r="H200" s="832"/>
      <c r="I200" s="833" t="s">
        <v>99</v>
      </c>
    </row>
    <row r="201" spans="1:9">
      <c r="A201" s="818"/>
      <c r="B201" s="435"/>
      <c r="C201" s="435"/>
      <c r="D201" s="832"/>
      <c r="E201" s="833"/>
      <c r="F201" s="435"/>
      <c r="G201" s="829">
        <v>2.73</v>
      </c>
      <c r="H201" s="832">
        <f>-G200*G201*F200</f>
        <v>-4.3680000000000003</v>
      </c>
      <c r="I201" s="833"/>
    </row>
    <row r="202" spans="1:9">
      <c r="A202" s="818"/>
      <c r="B202" s="435">
        <v>1</v>
      </c>
      <c r="C202" s="829">
        <v>4.1500000000000004</v>
      </c>
      <c r="D202" s="832"/>
      <c r="E202" s="833" t="s">
        <v>972</v>
      </c>
      <c r="F202" s="435"/>
      <c r="G202" s="829"/>
      <c r="H202" s="832"/>
      <c r="I202" s="833"/>
    </row>
    <row r="203" spans="1:9">
      <c r="A203" s="818"/>
      <c r="B203" s="435"/>
      <c r="C203" s="829">
        <v>0.6</v>
      </c>
      <c r="D203" s="832">
        <f>-B202*C202*C203</f>
        <v>-2.4900000000000002</v>
      </c>
      <c r="E203" s="833"/>
      <c r="F203" s="435">
        <v>1</v>
      </c>
      <c r="G203" s="829">
        <v>1.6</v>
      </c>
      <c r="H203" s="832"/>
      <c r="I203" s="833"/>
    </row>
    <row r="204" spans="1:9">
      <c r="A204" s="818"/>
      <c r="B204" s="435"/>
      <c r="C204" s="435"/>
      <c r="D204" s="832"/>
      <c r="E204" s="833"/>
      <c r="F204" s="435"/>
      <c r="G204" s="829">
        <v>2.73</v>
      </c>
      <c r="H204" s="832">
        <f>-G203*G204*F203</f>
        <v>-4.3680000000000003</v>
      </c>
      <c r="I204" s="833"/>
    </row>
    <row r="205" spans="1:9">
      <c r="A205" s="818"/>
      <c r="B205" s="435">
        <v>2</v>
      </c>
      <c r="C205" s="829">
        <v>11.75</v>
      </c>
      <c r="D205" s="832"/>
      <c r="E205" s="833" t="s">
        <v>994</v>
      </c>
      <c r="F205" s="435"/>
      <c r="G205" s="829"/>
      <c r="H205" s="832"/>
      <c r="I205" s="969"/>
    </row>
    <row r="206" spans="1:9">
      <c r="A206" s="818"/>
      <c r="B206" s="435"/>
      <c r="C206" s="829">
        <v>2.73</v>
      </c>
      <c r="D206" s="832">
        <f>B205*C205*C206</f>
        <v>64.155000000000001</v>
      </c>
      <c r="E206" s="833"/>
      <c r="F206" s="435">
        <v>1</v>
      </c>
      <c r="G206" s="829">
        <v>7.96</v>
      </c>
      <c r="H206" s="832"/>
      <c r="I206" s="969" t="s">
        <v>996</v>
      </c>
    </row>
    <row r="207" spans="1:9">
      <c r="A207" s="818"/>
      <c r="B207" s="435"/>
      <c r="C207" s="435"/>
      <c r="D207" s="832"/>
      <c r="E207" s="833"/>
      <c r="F207" s="435"/>
      <c r="G207" s="829">
        <v>2.73</v>
      </c>
      <c r="H207" s="832">
        <f>G206*G207*F206</f>
        <v>21.730799999999999</v>
      </c>
      <c r="I207" s="969" t="s">
        <v>997</v>
      </c>
    </row>
    <row r="208" spans="1:9">
      <c r="A208" s="818"/>
      <c r="B208" s="435">
        <v>3</v>
      </c>
      <c r="C208" s="829">
        <v>1.5</v>
      </c>
      <c r="D208" s="832"/>
      <c r="E208" s="833" t="s">
        <v>79</v>
      </c>
      <c r="F208" s="435"/>
      <c r="G208" s="829"/>
      <c r="H208" s="832"/>
      <c r="I208" s="969"/>
    </row>
    <row r="209" spans="1:9">
      <c r="A209" s="818"/>
      <c r="B209" s="435"/>
      <c r="C209" s="829">
        <v>1.73</v>
      </c>
      <c r="D209" s="832">
        <f>-B208*C208*C209</f>
        <v>-7.7850000000000001</v>
      </c>
      <c r="E209" s="833"/>
      <c r="F209" s="435">
        <v>1</v>
      </c>
      <c r="G209" s="829">
        <v>1.2</v>
      </c>
      <c r="H209" s="832"/>
      <c r="I209" s="969" t="s">
        <v>55</v>
      </c>
    </row>
    <row r="210" spans="1:9">
      <c r="A210" s="818"/>
      <c r="B210" s="435"/>
      <c r="C210" s="435"/>
      <c r="D210" s="832"/>
      <c r="E210" s="833"/>
      <c r="F210" s="435"/>
      <c r="G210" s="829">
        <v>0.6</v>
      </c>
      <c r="H210" s="832">
        <f>-G209*G210*F209</f>
        <v>-0.72</v>
      </c>
      <c r="I210" s="844"/>
    </row>
    <row r="211" spans="1:9">
      <c r="A211" s="818"/>
      <c r="B211" s="435">
        <v>1</v>
      </c>
      <c r="C211" s="829">
        <v>1.2</v>
      </c>
      <c r="D211" s="832"/>
      <c r="E211" s="833" t="s">
        <v>962</v>
      </c>
      <c r="F211" s="435"/>
      <c r="G211" s="829"/>
      <c r="H211" s="832"/>
      <c r="I211" s="844"/>
    </row>
    <row r="212" spans="1:9">
      <c r="A212" s="818"/>
      <c r="B212" s="435"/>
      <c r="C212" s="829">
        <v>0.6</v>
      </c>
      <c r="D212" s="832">
        <f>-B211*C211*C212</f>
        <v>-0.72</v>
      </c>
      <c r="E212" s="833"/>
      <c r="F212" s="435">
        <v>1</v>
      </c>
      <c r="G212" s="829">
        <v>0.7</v>
      </c>
      <c r="H212" s="832"/>
      <c r="I212" s="833" t="s">
        <v>51</v>
      </c>
    </row>
    <row r="213" spans="1:9">
      <c r="A213" s="818"/>
      <c r="B213" s="435"/>
      <c r="C213" s="435"/>
      <c r="D213" s="832"/>
      <c r="E213" s="833"/>
      <c r="F213" s="435"/>
      <c r="G213" s="829">
        <v>2.73</v>
      </c>
      <c r="H213" s="832">
        <f>-G212*G213*F212</f>
        <v>-1.9109999999999998</v>
      </c>
      <c r="I213" s="844"/>
    </row>
    <row r="214" spans="1:9">
      <c r="A214" s="818"/>
      <c r="B214" s="435">
        <v>2</v>
      </c>
      <c r="C214" s="829">
        <v>1.05</v>
      </c>
      <c r="D214" s="832"/>
      <c r="E214" s="833" t="s">
        <v>964</v>
      </c>
      <c r="F214" s="435"/>
      <c r="G214" s="829"/>
      <c r="H214" s="832"/>
      <c r="I214" s="844"/>
    </row>
    <row r="215" spans="1:9">
      <c r="A215" s="818"/>
      <c r="B215" s="435"/>
      <c r="C215" s="829">
        <v>12.35</v>
      </c>
      <c r="D215" s="832">
        <f>B214*C214*C215</f>
        <v>25.934999999999999</v>
      </c>
      <c r="E215" s="833"/>
      <c r="F215" s="435">
        <v>2</v>
      </c>
      <c r="G215" s="829">
        <v>21.1</v>
      </c>
      <c r="H215" s="832"/>
      <c r="I215" s="833" t="s">
        <v>1001</v>
      </c>
    </row>
    <row r="216" spans="1:9">
      <c r="A216" s="818"/>
      <c r="B216" s="435"/>
      <c r="C216" s="435"/>
      <c r="D216" s="832"/>
      <c r="E216" s="844"/>
      <c r="F216" s="435"/>
      <c r="G216" s="829">
        <v>2.73</v>
      </c>
      <c r="H216" s="832">
        <f>G215*G216*F215</f>
        <v>115.206</v>
      </c>
      <c r="I216" s="844"/>
    </row>
    <row r="217" spans="1:9">
      <c r="A217" s="818"/>
      <c r="B217" s="839"/>
      <c r="C217" s="839"/>
      <c r="D217" s="838">
        <f>SUM(D188:D215)</f>
        <v>164.38350000000003</v>
      </c>
      <c r="E217" s="845" t="s">
        <v>2123</v>
      </c>
      <c r="F217" s="435"/>
      <c r="G217" s="829"/>
      <c r="H217" s="832"/>
      <c r="I217" s="844"/>
    </row>
    <row r="218" spans="1:9">
      <c r="A218" s="818"/>
      <c r="B218" s="435"/>
      <c r="C218" s="829"/>
      <c r="D218" s="832"/>
      <c r="E218" s="833"/>
      <c r="F218" s="435">
        <v>10</v>
      </c>
      <c r="G218" s="829">
        <v>0.7</v>
      </c>
      <c r="H218" s="832"/>
      <c r="I218" s="833" t="s">
        <v>1002</v>
      </c>
    </row>
    <row r="219" spans="1:9">
      <c r="A219" s="818"/>
      <c r="B219" s="435"/>
      <c r="C219" s="829"/>
      <c r="D219" s="832"/>
      <c r="E219" s="844" t="s">
        <v>358</v>
      </c>
      <c r="F219" s="435"/>
      <c r="G219" s="829">
        <v>2.73</v>
      </c>
      <c r="H219" s="832">
        <f>-G218*G219*F218</f>
        <v>-19.11</v>
      </c>
      <c r="I219" s="844"/>
    </row>
    <row r="220" spans="1:9">
      <c r="A220" s="818"/>
      <c r="B220" s="435"/>
      <c r="C220" s="829"/>
      <c r="D220" s="832"/>
      <c r="E220" s="844" t="s">
        <v>359</v>
      </c>
      <c r="F220" s="435"/>
      <c r="G220" s="829"/>
      <c r="H220" s="832"/>
      <c r="I220" s="844"/>
    </row>
    <row r="221" spans="1:9">
      <c r="A221" s="818"/>
      <c r="B221" s="435">
        <v>3</v>
      </c>
      <c r="C221" s="829">
        <v>14.4</v>
      </c>
      <c r="D221" s="832"/>
      <c r="E221" s="833" t="s">
        <v>998</v>
      </c>
      <c r="F221" s="435">
        <v>1</v>
      </c>
      <c r="G221" s="829">
        <v>1.2</v>
      </c>
      <c r="H221" s="832"/>
      <c r="I221" s="833" t="s">
        <v>55</v>
      </c>
    </row>
    <row r="222" spans="1:9">
      <c r="A222" s="818"/>
      <c r="B222" s="435"/>
      <c r="C222" s="829">
        <v>3.06</v>
      </c>
      <c r="D222" s="832">
        <f>C221*C222*B221</f>
        <v>132.19200000000001</v>
      </c>
      <c r="E222" s="844" t="s">
        <v>999</v>
      </c>
      <c r="F222" s="435"/>
      <c r="G222" s="829">
        <v>0.6</v>
      </c>
      <c r="H222" s="832">
        <f>-G221*G222*F221</f>
        <v>-0.72</v>
      </c>
      <c r="I222" s="844"/>
    </row>
    <row r="223" spans="1:9">
      <c r="A223" s="818"/>
      <c r="B223" s="435"/>
      <c r="C223" s="829"/>
      <c r="D223" s="832"/>
      <c r="E223" s="833" t="s">
        <v>1000</v>
      </c>
      <c r="F223" s="435"/>
      <c r="G223" s="829"/>
      <c r="H223" s="832"/>
      <c r="I223" s="844"/>
    </row>
    <row r="224" spans="1:9">
      <c r="A224" s="818"/>
      <c r="B224" s="435">
        <v>3</v>
      </c>
      <c r="C224" s="829">
        <v>1.5</v>
      </c>
      <c r="D224" s="832"/>
      <c r="E224" s="833" t="s">
        <v>79</v>
      </c>
      <c r="F224" s="435">
        <v>1</v>
      </c>
      <c r="G224" s="829">
        <v>4.1500000000000004</v>
      </c>
      <c r="H224" s="832"/>
      <c r="I224" s="833" t="s">
        <v>1005</v>
      </c>
    </row>
    <row r="225" spans="1:9">
      <c r="A225" s="818"/>
      <c r="B225" s="435"/>
      <c r="C225" s="829">
        <v>1.73</v>
      </c>
      <c r="D225" s="832">
        <f>-C224*C225*B224</f>
        <v>-7.7849999999999993</v>
      </c>
      <c r="E225" s="844"/>
      <c r="F225" s="435"/>
      <c r="G225" s="829">
        <v>0.6</v>
      </c>
      <c r="H225" s="832">
        <f>-G224*G225*F224</f>
        <v>-2.4900000000000002</v>
      </c>
      <c r="I225" s="844"/>
    </row>
    <row r="226" spans="1:9">
      <c r="A226" s="818"/>
      <c r="B226" s="435"/>
      <c r="C226" s="829"/>
      <c r="D226" s="832"/>
      <c r="E226" s="833" t="s">
        <v>619</v>
      </c>
      <c r="F226" s="435"/>
      <c r="G226" s="829"/>
      <c r="H226" s="832"/>
      <c r="I226" s="844"/>
    </row>
    <row r="227" spans="1:9">
      <c r="A227" s="818"/>
      <c r="B227" s="435">
        <v>1</v>
      </c>
      <c r="C227" s="829">
        <v>1.5</v>
      </c>
      <c r="D227" s="832"/>
      <c r="E227" s="833"/>
      <c r="F227" s="435">
        <v>1</v>
      </c>
      <c r="G227" s="829">
        <v>12.1</v>
      </c>
      <c r="H227" s="832"/>
      <c r="I227" s="833" t="s">
        <v>230</v>
      </c>
    </row>
    <row r="228" spans="1:9">
      <c r="A228" s="818"/>
      <c r="B228" s="435"/>
      <c r="C228" s="829">
        <v>1.73</v>
      </c>
      <c r="D228" s="832">
        <f>-C227*C228*B227</f>
        <v>-2.5949999999999998</v>
      </c>
      <c r="E228" s="844"/>
      <c r="F228" s="435"/>
      <c r="G228" s="829">
        <v>3.06</v>
      </c>
      <c r="H228" s="832">
        <f>G227*G228*F227</f>
        <v>37.025999999999996</v>
      </c>
      <c r="I228" s="844" t="s">
        <v>1006</v>
      </c>
    </row>
    <row r="229" spans="1:9">
      <c r="A229" s="818"/>
      <c r="B229" s="435"/>
      <c r="C229" s="829"/>
      <c r="D229" s="832"/>
      <c r="E229" s="844"/>
      <c r="F229" s="435"/>
      <c r="G229" s="829"/>
      <c r="H229" s="832"/>
      <c r="I229" s="844"/>
    </row>
    <row r="230" spans="1:9">
      <c r="A230" s="818"/>
      <c r="B230" s="435">
        <v>5</v>
      </c>
      <c r="C230" s="829">
        <v>0.8</v>
      </c>
      <c r="D230" s="832"/>
      <c r="E230" s="833" t="s">
        <v>47</v>
      </c>
      <c r="F230" s="435">
        <v>1</v>
      </c>
      <c r="G230" s="829">
        <v>1.5</v>
      </c>
      <c r="H230" s="832"/>
      <c r="I230" s="833" t="s">
        <v>360</v>
      </c>
    </row>
    <row r="231" spans="1:9">
      <c r="A231" s="818"/>
      <c r="B231" s="435"/>
      <c r="C231" s="829">
        <v>2.73</v>
      </c>
      <c r="D231" s="832">
        <f>-C230*C231*B230</f>
        <v>-10.920000000000002</v>
      </c>
      <c r="E231" s="844"/>
      <c r="F231" s="435"/>
      <c r="G231" s="829">
        <v>1.73</v>
      </c>
      <c r="H231" s="832">
        <f>-G230*G231*F230</f>
        <v>-2.5949999999999998</v>
      </c>
      <c r="I231" s="844"/>
    </row>
    <row r="232" spans="1:9">
      <c r="A232" s="818"/>
      <c r="B232" s="435"/>
      <c r="C232" s="829"/>
      <c r="D232" s="832"/>
      <c r="E232" s="844"/>
      <c r="F232" s="435"/>
      <c r="G232" s="829"/>
      <c r="H232" s="832"/>
      <c r="I232" s="844"/>
    </row>
    <row r="233" spans="1:9">
      <c r="A233" s="818"/>
      <c r="B233" s="435">
        <v>1</v>
      </c>
      <c r="C233" s="829">
        <v>13.4</v>
      </c>
      <c r="D233" s="832"/>
      <c r="E233" s="833" t="s">
        <v>1003</v>
      </c>
      <c r="F233" s="435">
        <v>1</v>
      </c>
      <c r="G233" s="829">
        <v>0.8</v>
      </c>
      <c r="H233" s="832"/>
      <c r="I233" s="833" t="s">
        <v>182</v>
      </c>
    </row>
    <row r="234" spans="1:9">
      <c r="A234" s="818"/>
      <c r="B234" s="435"/>
      <c r="C234" s="829">
        <v>3.06</v>
      </c>
      <c r="D234" s="832">
        <f>C233*C234*B233</f>
        <v>41.004000000000005</v>
      </c>
      <c r="E234" s="833" t="s">
        <v>1004</v>
      </c>
      <c r="F234" s="435"/>
      <c r="G234" s="829">
        <v>2.63</v>
      </c>
      <c r="H234" s="832">
        <f>-G233*G234*F233</f>
        <v>-2.1040000000000001</v>
      </c>
      <c r="I234" s="844"/>
    </row>
    <row r="235" spans="1:9">
      <c r="A235" s="818"/>
      <c r="B235" s="435"/>
      <c r="C235" s="829"/>
      <c r="D235" s="832"/>
      <c r="E235" s="844"/>
      <c r="F235" s="435"/>
      <c r="G235" s="829"/>
      <c r="H235" s="832"/>
      <c r="I235" s="844"/>
    </row>
    <row r="236" spans="1:9">
      <c r="A236" s="818"/>
      <c r="B236" s="435">
        <v>1</v>
      </c>
      <c r="C236" s="829">
        <v>1.5</v>
      </c>
      <c r="D236" s="832"/>
      <c r="E236" s="833" t="s">
        <v>360</v>
      </c>
      <c r="F236" s="435">
        <v>1</v>
      </c>
      <c r="G236" s="829">
        <v>0.7</v>
      </c>
      <c r="H236" s="832"/>
      <c r="I236" s="833" t="s">
        <v>51</v>
      </c>
    </row>
    <row r="237" spans="1:9">
      <c r="A237" s="818"/>
      <c r="B237" s="435"/>
      <c r="C237" s="829">
        <v>1.73</v>
      </c>
      <c r="D237" s="832">
        <f>-C236*C237*B236</f>
        <v>-2.5949999999999998</v>
      </c>
      <c r="E237" s="844"/>
      <c r="F237" s="435"/>
      <c r="G237" s="829">
        <v>2.73</v>
      </c>
      <c r="H237" s="832">
        <f>-G236*G237*F236</f>
        <v>-1.9109999999999998</v>
      </c>
      <c r="I237" s="844"/>
    </row>
    <row r="238" spans="1:9">
      <c r="A238" s="818"/>
      <c r="B238" s="435"/>
      <c r="C238" s="829"/>
      <c r="D238" s="832"/>
      <c r="E238" s="844"/>
      <c r="F238" s="435"/>
      <c r="G238" s="829"/>
      <c r="H238" s="832"/>
      <c r="I238" s="844"/>
    </row>
    <row r="239" spans="1:9">
      <c r="A239" s="818"/>
      <c r="B239" s="435">
        <v>2</v>
      </c>
      <c r="C239" s="829">
        <v>0.8</v>
      </c>
      <c r="D239" s="832"/>
      <c r="E239" s="833" t="s">
        <v>99</v>
      </c>
      <c r="F239" s="435">
        <v>1</v>
      </c>
      <c r="G239" s="829">
        <v>11.7</v>
      </c>
      <c r="H239" s="832"/>
      <c r="I239" s="833" t="s">
        <v>183</v>
      </c>
    </row>
    <row r="240" spans="1:9">
      <c r="A240" s="818"/>
      <c r="B240" s="435"/>
      <c r="C240" s="829">
        <v>2.73</v>
      </c>
      <c r="D240" s="832">
        <f>-C239*C240*B239</f>
        <v>-4.3680000000000003</v>
      </c>
      <c r="E240" s="844"/>
      <c r="F240" s="435"/>
      <c r="G240" s="829">
        <v>3.06</v>
      </c>
      <c r="H240" s="832">
        <f>G239*G240*F239</f>
        <v>35.802</v>
      </c>
      <c r="I240" s="844" t="s">
        <v>1010</v>
      </c>
    </row>
    <row r="241" spans="1:10">
      <c r="A241" s="818"/>
      <c r="B241" s="435"/>
      <c r="C241" s="829"/>
      <c r="D241" s="832"/>
      <c r="E241" s="844"/>
      <c r="F241" s="435"/>
      <c r="G241" s="829"/>
      <c r="H241" s="832"/>
      <c r="I241" s="844"/>
    </row>
    <row r="242" spans="1:10">
      <c r="A242" s="818"/>
      <c r="B242" s="109"/>
      <c r="C242" s="860"/>
      <c r="D242" s="860"/>
      <c r="E242" s="109"/>
      <c r="F242" s="109"/>
      <c r="G242" s="109"/>
      <c r="H242" s="109"/>
      <c r="I242" s="109"/>
    </row>
    <row r="243" spans="1:10">
      <c r="A243" s="828"/>
      <c r="B243" s="853" t="s">
        <v>1884</v>
      </c>
      <c r="C243" s="854" t="s">
        <v>526</v>
      </c>
      <c r="D243" s="855" t="s">
        <v>1885</v>
      </c>
      <c r="E243" s="854" t="s">
        <v>1886</v>
      </c>
      <c r="F243" s="853" t="s">
        <v>1884</v>
      </c>
      <c r="G243" s="854" t="s">
        <v>526</v>
      </c>
      <c r="H243" s="855" t="s">
        <v>1885</v>
      </c>
      <c r="I243" s="854" t="s">
        <v>1886</v>
      </c>
      <c r="J243" s="828"/>
    </row>
    <row r="244" spans="1:10">
      <c r="A244" s="818"/>
      <c r="B244" s="435">
        <v>1</v>
      </c>
      <c r="C244" s="829">
        <v>0.8</v>
      </c>
      <c r="D244" s="832"/>
      <c r="E244" s="833" t="s">
        <v>363</v>
      </c>
      <c r="F244" s="435">
        <v>1</v>
      </c>
      <c r="G244" s="829">
        <v>0.7</v>
      </c>
      <c r="H244" s="832"/>
      <c r="I244" s="833" t="s">
        <v>1016</v>
      </c>
    </row>
    <row r="245" spans="1:10">
      <c r="A245" s="818"/>
      <c r="B245" s="435"/>
      <c r="C245" s="829">
        <v>2.73</v>
      </c>
      <c r="D245" s="832">
        <f>-C244*C245*B244</f>
        <v>-2.1840000000000002</v>
      </c>
      <c r="E245" s="833"/>
      <c r="F245" s="435"/>
      <c r="G245" s="829">
        <v>0.7</v>
      </c>
      <c r="H245" s="832">
        <f>-G244*G245*F244</f>
        <v>-0.48999999999999994</v>
      </c>
      <c r="I245" s="833"/>
    </row>
    <row r="246" spans="1:10">
      <c r="A246" s="818"/>
      <c r="B246" s="435"/>
      <c r="C246" s="829"/>
      <c r="D246" s="832"/>
      <c r="E246" s="833"/>
      <c r="F246" s="435"/>
      <c r="G246" s="829"/>
      <c r="H246" s="832"/>
      <c r="I246" s="833"/>
    </row>
    <row r="247" spans="1:10">
      <c r="A247" s="818"/>
      <c r="B247" s="435">
        <v>1</v>
      </c>
      <c r="C247" s="829">
        <v>11.3</v>
      </c>
      <c r="D247" s="832"/>
      <c r="E247" s="833" t="s">
        <v>780</v>
      </c>
      <c r="F247" s="435">
        <v>1</v>
      </c>
      <c r="G247" s="829">
        <v>0.4</v>
      </c>
      <c r="H247" s="832"/>
      <c r="I247" s="833" t="s">
        <v>961</v>
      </c>
    </row>
    <row r="248" spans="1:10">
      <c r="A248" s="818"/>
      <c r="B248" s="435"/>
      <c r="C248" s="829">
        <v>3.06</v>
      </c>
      <c r="D248" s="832">
        <f>C247*C248*B247</f>
        <v>34.578000000000003</v>
      </c>
      <c r="E248" s="833" t="s">
        <v>1014</v>
      </c>
      <c r="F248" s="435"/>
      <c r="G248" s="829">
        <v>0.4</v>
      </c>
      <c r="H248" s="832">
        <f>-G247*G248*F247</f>
        <v>-0.16000000000000003</v>
      </c>
      <c r="I248" s="833"/>
    </row>
    <row r="249" spans="1:10">
      <c r="A249" s="818"/>
      <c r="B249" s="435"/>
      <c r="C249" s="829"/>
      <c r="D249" s="832"/>
      <c r="E249" s="833"/>
      <c r="F249" s="435"/>
      <c r="G249" s="829"/>
      <c r="H249" s="832"/>
      <c r="I249" s="833"/>
    </row>
    <row r="250" spans="1:10">
      <c r="A250" s="818"/>
      <c r="B250" s="435">
        <v>1</v>
      </c>
      <c r="C250" s="829">
        <v>0.8</v>
      </c>
      <c r="D250" s="832"/>
      <c r="E250" s="833" t="s">
        <v>363</v>
      </c>
      <c r="F250" s="435">
        <v>1</v>
      </c>
      <c r="G250" s="829">
        <v>11.4</v>
      </c>
      <c r="H250" s="832"/>
      <c r="I250" s="833" t="s">
        <v>223</v>
      </c>
    </row>
    <row r="251" spans="1:10">
      <c r="A251" s="818"/>
      <c r="B251" s="435"/>
      <c r="C251" s="829">
        <v>2.73</v>
      </c>
      <c r="D251" s="832">
        <f>-C250*C251*B250</f>
        <v>-2.1840000000000002</v>
      </c>
      <c r="E251" s="833"/>
      <c r="F251" s="435"/>
      <c r="G251" s="829">
        <v>3.06</v>
      </c>
      <c r="H251" s="832">
        <f>G250*G251*F250</f>
        <v>34.884</v>
      </c>
      <c r="I251" s="833" t="s">
        <v>1018</v>
      </c>
    </row>
    <row r="252" spans="1:10">
      <c r="A252" s="818"/>
      <c r="B252" s="435"/>
      <c r="C252" s="829"/>
      <c r="D252" s="832"/>
      <c r="E252" s="833"/>
      <c r="F252" s="435"/>
      <c r="G252" s="829"/>
      <c r="H252" s="832"/>
      <c r="I252" s="833"/>
    </row>
    <row r="253" spans="1:10">
      <c r="A253" s="818"/>
      <c r="B253" s="435">
        <v>1</v>
      </c>
      <c r="C253" s="829">
        <v>26.5</v>
      </c>
      <c r="D253" s="832"/>
      <c r="E253" s="833" t="s">
        <v>160</v>
      </c>
      <c r="F253" s="435">
        <v>5</v>
      </c>
      <c r="G253" s="829">
        <v>0.7</v>
      </c>
      <c r="H253" s="832"/>
      <c r="I253" s="833" t="s">
        <v>346</v>
      </c>
    </row>
    <row r="254" spans="1:10">
      <c r="A254" s="818"/>
      <c r="B254" s="435"/>
      <c r="C254" s="829">
        <v>3.06</v>
      </c>
      <c r="D254" s="832">
        <f>C253*C254*B253</f>
        <v>81.09</v>
      </c>
      <c r="E254" s="833" t="s">
        <v>1017</v>
      </c>
      <c r="F254" s="435"/>
      <c r="G254" s="829">
        <v>2.73</v>
      </c>
      <c r="H254" s="832">
        <f>-G253*G254*F253</f>
        <v>-9.5549999999999997</v>
      </c>
      <c r="I254" s="833"/>
    </row>
    <row r="255" spans="1:10">
      <c r="A255" s="818"/>
      <c r="B255" s="435"/>
      <c r="C255" s="829"/>
      <c r="D255" s="832"/>
      <c r="E255" s="833"/>
      <c r="F255" s="435"/>
      <c r="G255" s="829"/>
      <c r="H255" s="832"/>
      <c r="I255" s="833"/>
    </row>
    <row r="256" spans="1:10">
      <c r="A256" s="818"/>
      <c r="B256" s="435">
        <v>1</v>
      </c>
      <c r="C256" s="829">
        <v>0.7</v>
      </c>
      <c r="D256" s="832"/>
      <c r="E256" s="833" t="s">
        <v>204</v>
      </c>
      <c r="F256" s="435">
        <v>1</v>
      </c>
      <c r="G256" s="829">
        <v>0.8</v>
      </c>
      <c r="H256" s="832"/>
      <c r="I256" s="833" t="s">
        <v>1015</v>
      </c>
    </row>
    <row r="257" spans="1:9">
      <c r="A257" s="818"/>
      <c r="B257" s="435"/>
      <c r="C257" s="829">
        <v>2.73</v>
      </c>
      <c r="D257" s="832">
        <f>-C256*C257*B256</f>
        <v>-1.9109999999999998</v>
      </c>
      <c r="E257" s="833"/>
      <c r="F257" s="435"/>
      <c r="G257" s="829">
        <v>2.73</v>
      </c>
      <c r="H257" s="832">
        <f>-G256*G257*F256</f>
        <v>-2.1840000000000002</v>
      </c>
      <c r="I257" s="833"/>
    </row>
    <row r="258" spans="1:9">
      <c r="A258" s="818"/>
      <c r="B258" s="435"/>
      <c r="C258" s="829"/>
      <c r="D258" s="832"/>
      <c r="E258" s="833"/>
      <c r="F258" s="435"/>
      <c r="G258" s="829"/>
      <c r="H258" s="832"/>
      <c r="I258" s="833"/>
    </row>
    <row r="259" spans="1:9">
      <c r="A259" s="818"/>
      <c r="B259" s="435">
        <v>2</v>
      </c>
      <c r="C259" s="829">
        <v>0.8</v>
      </c>
      <c r="D259" s="832"/>
      <c r="E259" s="833" t="s">
        <v>99</v>
      </c>
      <c r="F259" s="435">
        <v>2</v>
      </c>
      <c r="G259" s="829">
        <v>5.6</v>
      </c>
      <c r="H259" s="832"/>
      <c r="I259" s="833" t="s">
        <v>1020</v>
      </c>
    </row>
    <row r="260" spans="1:9">
      <c r="A260" s="818"/>
      <c r="B260" s="435"/>
      <c r="C260" s="829">
        <v>2.73</v>
      </c>
      <c r="D260" s="832">
        <f>-C259*C260*B259</f>
        <v>-4.3680000000000003</v>
      </c>
      <c r="E260" s="833"/>
      <c r="F260" s="435"/>
      <c r="G260" s="829">
        <v>3.06</v>
      </c>
      <c r="H260" s="832">
        <f>G259*G260*F259</f>
        <v>34.271999999999998</v>
      </c>
      <c r="I260" s="833" t="s">
        <v>1021</v>
      </c>
    </row>
    <row r="261" spans="1:9">
      <c r="A261" s="818"/>
      <c r="B261" s="435"/>
      <c r="C261" s="829"/>
      <c r="D261" s="832"/>
      <c r="E261" s="833"/>
      <c r="F261" s="435"/>
      <c r="G261" s="829"/>
      <c r="H261" s="832"/>
      <c r="I261" s="833"/>
    </row>
    <row r="262" spans="1:9">
      <c r="A262" s="818"/>
      <c r="B262" s="435">
        <v>1</v>
      </c>
      <c r="C262" s="829">
        <v>1.4</v>
      </c>
      <c r="D262" s="832"/>
      <c r="E262" s="833" t="s">
        <v>1013</v>
      </c>
      <c r="F262" s="435">
        <v>1</v>
      </c>
      <c r="G262" s="829">
        <v>6.1</v>
      </c>
      <c r="H262" s="832"/>
      <c r="I262" s="833" t="s">
        <v>1022</v>
      </c>
    </row>
    <row r="263" spans="1:9">
      <c r="A263" s="818"/>
      <c r="B263" s="435"/>
      <c r="C263" s="829">
        <v>2.73</v>
      </c>
      <c r="D263" s="832">
        <f>-C262*C263*B262</f>
        <v>-3.8219999999999996</v>
      </c>
      <c r="E263" s="833"/>
      <c r="F263" s="435"/>
      <c r="G263" s="829">
        <v>3.06</v>
      </c>
      <c r="H263" s="832">
        <f>G262*G263*F262</f>
        <v>18.666</v>
      </c>
      <c r="I263" s="833" t="s">
        <v>1023</v>
      </c>
    </row>
    <row r="264" spans="1:9">
      <c r="A264" s="818"/>
      <c r="B264" s="435"/>
      <c r="C264" s="829"/>
      <c r="D264" s="832"/>
      <c r="E264" s="833" t="s">
        <v>84</v>
      </c>
      <c r="F264" s="435"/>
      <c r="G264" s="829"/>
      <c r="H264" s="832"/>
      <c r="I264" s="833"/>
    </row>
    <row r="265" spans="1:9">
      <c r="A265" s="818"/>
      <c r="B265" s="435">
        <v>1</v>
      </c>
      <c r="C265" s="829">
        <v>7.2</v>
      </c>
      <c r="D265" s="832"/>
      <c r="E265" s="833" t="s">
        <v>1019</v>
      </c>
      <c r="F265" s="435">
        <v>3</v>
      </c>
      <c r="G265" s="829">
        <v>0.7</v>
      </c>
      <c r="H265" s="832"/>
      <c r="I265" s="833" t="s">
        <v>113</v>
      </c>
    </row>
    <row r="266" spans="1:9">
      <c r="A266" s="818"/>
      <c r="B266" s="435"/>
      <c r="C266" s="829">
        <v>2.73</v>
      </c>
      <c r="D266" s="832">
        <f>C265*C266*B265</f>
        <v>19.655999999999999</v>
      </c>
      <c r="E266" s="833"/>
      <c r="F266" s="435"/>
      <c r="G266" s="829">
        <v>2.73</v>
      </c>
      <c r="H266" s="832">
        <f>-G265*G266*F265</f>
        <v>-5.7329999999999997</v>
      </c>
      <c r="I266" s="833"/>
    </row>
    <row r="267" spans="1:9">
      <c r="A267" s="818"/>
      <c r="B267" s="435"/>
      <c r="C267" s="829"/>
      <c r="D267" s="832"/>
      <c r="E267" s="833"/>
      <c r="F267" s="435"/>
      <c r="G267" s="829"/>
      <c r="H267" s="832"/>
      <c r="I267" s="833"/>
    </row>
    <row r="268" spans="1:9">
      <c r="A268" s="818"/>
      <c r="B268" s="435">
        <v>1</v>
      </c>
      <c r="C268" s="829">
        <v>0.7</v>
      </c>
      <c r="D268" s="832"/>
      <c r="E268" s="833" t="s">
        <v>51</v>
      </c>
      <c r="F268" s="435">
        <v>2</v>
      </c>
      <c r="G268" s="829">
        <v>1.2</v>
      </c>
      <c r="H268" s="832"/>
      <c r="I268" s="833" t="s">
        <v>912</v>
      </c>
    </row>
    <row r="269" spans="1:9">
      <c r="A269" s="818"/>
      <c r="B269" s="435"/>
      <c r="C269" s="829">
        <v>2.73</v>
      </c>
      <c r="D269" s="832">
        <f>-C268*C269*B268</f>
        <v>-1.9109999999999998</v>
      </c>
      <c r="E269" s="833"/>
      <c r="F269" s="435"/>
      <c r="G269" s="829">
        <v>0.6</v>
      </c>
      <c r="H269" s="832">
        <f>-G268*G269*F268</f>
        <v>-1.44</v>
      </c>
      <c r="I269" s="833"/>
    </row>
    <row r="270" spans="1:9">
      <c r="A270" s="818"/>
      <c r="B270" s="435"/>
      <c r="C270" s="829"/>
      <c r="D270" s="832"/>
      <c r="E270" s="833"/>
      <c r="F270" s="435"/>
      <c r="G270" s="829"/>
      <c r="H270" s="832"/>
      <c r="I270" s="833"/>
    </row>
    <row r="271" spans="1:9">
      <c r="A271" s="818"/>
      <c r="B271" s="435">
        <v>1</v>
      </c>
      <c r="C271" s="829">
        <v>1.2</v>
      </c>
      <c r="D271" s="832"/>
      <c r="E271" s="833" t="s">
        <v>55</v>
      </c>
      <c r="F271" s="435">
        <v>1</v>
      </c>
      <c r="G271" s="829">
        <v>1.5</v>
      </c>
      <c r="H271" s="832"/>
      <c r="I271" s="833" t="s">
        <v>90</v>
      </c>
    </row>
    <row r="272" spans="1:9">
      <c r="A272" s="818"/>
      <c r="B272" s="435"/>
      <c r="C272" s="829">
        <v>0.6</v>
      </c>
      <c r="D272" s="832">
        <f>-C271*C272*B271</f>
        <v>-0.72</v>
      </c>
      <c r="E272" s="833"/>
      <c r="F272" s="435"/>
      <c r="G272" s="829">
        <v>1.73</v>
      </c>
      <c r="H272" s="832">
        <f>-G271*G272*F271</f>
        <v>-2.5949999999999998</v>
      </c>
      <c r="I272" s="833"/>
    </row>
    <row r="273" spans="1:9">
      <c r="A273" s="818"/>
      <c r="B273" s="435"/>
      <c r="C273" s="829"/>
      <c r="D273" s="832"/>
      <c r="E273" s="833"/>
      <c r="F273" s="435"/>
      <c r="G273" s="829"/>
      <c r="H273" s="832"/>
      <c r="I273" s="833"/>
    </row>
    <row r="274" spans="1:9">
      <c r="A274" s="818"/>
      <c r="B274" s="435">
        <v>1</v>
      </c>
      <c r="C274" s="829">
        <v>13.2</v>
      </c>
      <c r="D274" s="832"/>
      <c r="E274" s="833" t="s">
        <v>1024</v>
      </c>
      <c r="F274" s="435">
        <v>1</v>
      </c>
      <c r="G274" s="829">
        <v>7.6</v>
      </c>
      <c r="H274" s="832"/>
      <c r="I274" s="833" t="s">
        <v>84</v>
      </c>
    </row>
    <row r="275" spans="1:9">
      <c r="A275" s="818"/>
      <c r="B275" s="435"/>
      <c r="C275" s="829">
        <v>3.06</v>
      </c>
      <c r="D275" s="832">
        <f>C274*C275*B274</f>
        <v>40.391999999999996</v>
      </c>
      <c r="E275" s="833" t="s">
        <v>627</v>
      </c>
      <c r="F275" s="435"/>
      <c r="G275" s="829">
        <v>2.73</v>
      </c>
      <c r="H275" s="832">
        <f>G274*G275*F274</f>
        <v>20.747999999999998</v>
      </c>
      <c r="I275" s="833" t="s">
        <v>1027</v>
      </c>
    </row>
    <row r="276" spans="1:9">
      <c r="A276" s="818"/>
      <c r="B276" s="435"/>
      <c r="C276" s="829"/>
      <c r="D276" s="832"/>
      <c r="E276" s="833"/>
      <c r="F276" s="435"/>
      <c r="G276" s="829"/>
      <c r="H276" s="832"/>
      <c r="I276" s="833"/>
    </row>
    <row r="277" spans="1:9">
      <c r="A277" s="818"/>
      <c r="B277" s="435">
        <v>2</v>
      </c>
      <c r="C277" s="829">
        <v>0.8</v>
      </c>
      <c r="D277" s="832"/>
      <c r="E277" s="833" t="s">
        <v>99</v>
      </c>
      <c r="F277" s="435">
        <v>1</v>
      </c>
      <c r="G277" s="829">
        <v>0.7</v>
      </c>
      <c r="H277" s="832"/>
      <c r="I277" s="833" t="s">
        <v>51</v>
      </c>
    </row>
    <row r="278" spans="1:9">
      <c r="A278" s="818"/>
      <c r="B278" s="435"/>
      <c r="C278" s="829">
        <v>2.73</v>
      </c>
      <c r="D278" s="832">
        <f>-C277*C278*B277</f>
        <v>-4.3680000000000003</v>
      </c>
      <c r="E278" s="833"/>
      <c r="F278" s="435"/>
      <c r="G278" s="829">
        <v>2.73</v>
      </c>
      <c r="H278" s="832">
        <f>-G277*G278*F277</f>
        <v>-1.9109999999999998</v>
      </c>
      <c r="I278" s="833"/>
    </row>
    <row r="279" spans="1:9">
      <c r="A279" s="818"/>
      <c r="B279" s="435"/>
      <c r="C279" s="829"/>
      <c r="D279" s="832"/>
      <c r="E279" s="833"/>
      <c r="F279" s="435"/>
      <c r="G279" s="829"/>
      <c r="H279" s="832"/>
      <c r="I279" s="833"/>
    </row>
    <row r="280" spans="1:9">
      <c r="A280" s="818"/>
      <c r="B280" s="435">
        <v>1</v>
      </c>
      <c r="C280" s="829">
        <v>0.4</v>
      </c>
      <c r="D280" s="832"/>
      <c r="E280" s="833" t="s">
        <v>1016</v>
      </c>
      <c r="F280" s="435">
        <v>1</v>
      </c>
      <c r="G280" s="829">
        <v>1.2</v>
      </c>
      <c r="H280" s="832"/>
      <c r="I280" s="833"/>
    </row>
    <row r="281" spans="1:9">
      <c r="A281" s="818"/>
      <c r="B281" s="435"/>
      <c r="C281" s="829">
        <v>0.4</v>
      </c>
      <c r="D281" s="832">
        <f>-C280*C281*B280</f>
        <v>-0.16000000000000003</v>
      </c>
      <c r="E281" s="833"/>
      <c r="F281" s="435"/>
      <c r="G281" s="829">
        <v>0.6</v>
      </c>
      <c r="H281" s="832">
        <f>-G280*G281*F280</f>
        <v>-0.72</v>
      </c>
      <c r="I281" s="833"/>
    </row>
    <row r="282" spans="1:9">
      <c r="A282" s="818"/>
      <c r="B282" s="435"/>
      <c r="C282" s="829"/>
      <c r="D282" s="832"/>
      <c r="E282" s="833"/>
      <c r="F282" s="435"/>
      <c r="G282" s="829"/>
      <c r="H282" s="832"/>
      <c r="I282" s="833"/>
    </row>
    <row r="283" spans="1:9">
      <c r="A283" s="818"/>
      <c r="B283" s="435">
        <v>1</v>
      </c>
      <c r="C283" s="829">
        <v>11.2</v>
      </c>
      <c r="D283" s="832"/>
      <c r="E283" s="833" t="s">
        <v>1025</v>
      </c>
      <c r="F283" s="435">
        <v>20</v>
      </c>
      <c r="G283" s="829">
        <v>2.73</v>
      </c>
      <c r="H283" s="832"/>
      <c r="I283" s="833" t="s">
        <v>220</v>
      </c>
    </row>
    <row r="284" spans="1:9">
      <c r="A284" s="818"/>
      <c r="B284" s="435"/>
      <c r="C284" s="829">
        <v>3.06</v>
      </c>
      <c r="D284" s="832">
        <f>C283*C284*B283</f>
        <v>34.271999999999998</v>
      </c>
      <c r="E284" s="833" t="s">
        <v>1026</v>
      </c>
      <c r="F284" s="435"/>
      <c r="G284" s="829">
        <v>0.2</v>
      </c>
      <c r="H284" s="832">
        <f>G283*G284*F283</f>
        <v>10.920000000000002</v>
      </c>
      <c r="I284" s="833"/>
    </row>
    <row r="285" spans="1:9">
      <c r="A285" s="818"/>
      <c r="B285" s="435"/>
      <c r="C285" s="829"/>
      <c r="D285" s="832"/>
      <c r="E285" s="833"/>
      <c r="F285" s="435"/>
      <c r="G285" s="829"/>
      <c r="H285" s="832"/>
      <c r="I285" s="833"/>
    </row>
    <row r="286" spans="1:9">
      <c r="A286" s="818"/>
      <c r="B286" s="435">
        <v>1</v>
      </c>
      <c r="C286" s="829">
        <v>0.8</v>
      </c>
      <c r="D286" s="832">
        <f>-C285*C286*B285</f>
        <v>0</v>
      </c>
      <c r="E286" s="833" t="s">
        <v>363</v>
      </c>
      <c r="F286" s="435">
        <v>2</v>
      </c>
      <c r="G286" s="829">
        <v>21.95</v>
      </c>
      <c r="H286" s="832"/>
      <c r="I286" s="833" t="s">
        <v>1028</v>
      </c>
    </row>
    <row r="287" spans="1:9">
      <c r="A287" s="818"/>
      <c r="B287" s="435"/>
      <c r="C287" s="829">
        <v>2.73</v>
      </c>
      <c r="D287" s="832">
        <f>-C286*C287*B286</f>
        <v>-2.1840000000000002</v>
      </c>
      <c r="E287" s="833"/>
      <c r="F287" s="435"/>
      <c r="G287" s="829">
        <v>0.3</v>
      </c>
      <c r="H287" s="832">
        <f>G286*G287*F286</f>
        <v>13.17</v>
      </c>
      <c r="I287" s="833"/>
    </row>
    <row r="288" spans="1:9">
      <c r="A288" s="818"/>
      <c r="B288" s="435"/>
      <c r="C288" s="829"/>
      <c r="D288" s="832"/>
      <c r="E288" s="833"/>
      <c r="F288" s="435"/>
      <c r="G288" s="829"/>
      <c r="H288" s="832"/>
      <c r="I288" s="833"/>
    </row>
    <row r="289" spans="1:9">
      <c r="A289" s="818"/>
      <c r="B289" s="435">
        <v>1</v>
      </c>
      <c r="C289" s="829">
        <v>0.7</v>
      </c>
      <c r="D289" s="832"/>
      <c r="E289" s="833" t="s">
        <v>961</v>
      </c>
      <c r="F289" s="435">
        <v>2</v>
      </c>
      <c r="G289" s="829">
        <v>12.35</v>
      </c>
      <c r="H289" s="832"/>
      <c r="I289" s="833" t="s">
        <v>1029</v>
      </c>
    </row>
    <row r="290" spans="1:9">
      <c r="A290" s="818"/>
      <c r="B290" s="435"/>
      <c r="C290" s="829">
        <v>0.7</v>
      </c>
      <c r="D290" s="832">
        <f>-C289*C290*B289</f>
        <v>-0.48999999999999994</v>
      </c>
      <c r="E290" s="833"/>
      <c r="F290" s="435"/>
      <c r="G290" s="829">
        <v>0.3</v>
      </c>
      <c r="H290" s="832">
        <f>G289*G290*F289</f>
        <v>7.4099999999999993</v>
      </c>
      <c r="I290" s="833"/>
    </row>
    <row r="291" spans="1:9">
      <c r="A291" s="818"/>
      <c r="B291" s="435"/>
      <c r="C291" s="829"/>
      <c r="D291" s="832"/>
      <c r="E291" s="833"/>
      <c r="F291" s="435"/>
      <c r="G291" s="829"/>
      <c r="H291" s="832"/>
      <c r="I291" s="833"/>
    </row>
    <row r="292" spans="1:9">
      <c r="A292" s="818"/>
      <c r="B292" s="435">
        <v>1</v>
      </c>
      <c r="C292" s="829">
        <v>21.2</v>
      </c>
      <c r="D292" s="832"/>
      <c r="E292" s="833" t="s">
        <v>1011</v>
      </c>
      <c r="F292" s="435">
        <v>2</v>
      </c>
      <c r="G292" s="829">
        <v>21.95</v>
      </c>
      <c r="H292" s="832"/>
      <c r="I292" s="833" t="s">
        <v>1030</v>
      </c>
    </row>
    <row r="293" spans="1:9">
      <c r="A293" s="818"/>
      <c r="B293" s="435"/>
      <c r="C293" s="829">
        <v>3.06</v>
      </c>
      <c r="D293" s="832">
        <f>C292*C293*B292</f>
        <v>64.872</v>
      </c>
      <c r="E293" s="833" t="s">
        <v>1012</v>
      </c>
      <c r="F293" s="435"/>
      <c r="G293" s="829">
        <v>0.4</v>
      </c>
      <c r="H293" s="832">
        <f>G292*G293*F292</f>
        <v>17.559999999999999</v>
      </c>
      <c r="I293" s="833"/>
    </row>
    <row r="294" spans="1:9">
      <c r="A294" s="818"/>
      <c r="B294" s="435"/>
      <c r="C294" s="829"/>
      <c r="D294" s="832"/>
      <c r="E294" s="833"/>
      <c r="F294" s="435"/>
      <c r="G294" s="829"/>
      <c r="H294" s="832"/>
      <c r="I294" s="833"/>
    </row>
    <row r="295" spans="1:9">
      <c r="A295" s="818"/>
      <c r="B295" s="435">
        <v>1</v>
      </c>
      <c r="C295" s="829">
        <v>1.4</v>
      </c>
      <c r="D295" s="832"/>
      <c r="E295" s="833" t="s">
        <v>1013</v>
      </c>
      <c r="F295" s="435">
        <v>2</v>
      </c>
      <c r="G295" s="829">
        <v>12.35</v>
      </c>
      <c r="H295" s="832"/>
      <c r="I295" s="833" t="s">
        <v>1031</v>
      </c>
    </row>
    <row r="296" spans="1:9">
      <c r="A296" s="818"/>
      <c r="B296" s="435"/>
      <c r="C296" s="829">
        <v>2.73</v>
      </c>
      <c r="D296" s="832">
        <f>-C295*C296*B295</f>
        <v>-3.8219999999999996</v>
      </c>
      <c r="E296" s="833"/>
      <c r="F296" s="435"/>
      <c r="G296" s="829">
        <v>0.4</v>
      </c>
      <c r="H296" s="832">
        <f>G295*G296*F295</f>
        <v>9.8800000000000008</v>
      </c>
      <c r="I296" s="833"/>
    </row>
    <row r="297" spans="1:9">
      <c r="A297" s="818"/>
      <c r="B297" s="435"/>
      <c r="C297" s="829"/>
      <c r="D297" s="832"/>
      <c r="E297" s="833"/>
      <c r="F297" s="435"/>
      <c r="G297" s="829"/>
      <c r="H297" s="832"/>
      <c r="I297" s="833" t="s">
        <v>1032</v>
      </c>
    </row>
    <row r="298" spans="1:9">
      <c r="A298" s="818"/>
      <c r="B298" s="435">
        <v>1</v>
      </c>
      <c r="C298" s="829">
        <v>0.8</v>
      </c>
      <c r="D298" s="832"/>
      <c r="E298" s="833" t="s">
        <v>1015</v>
      </c>
      <c r="F298" s="435">
        <v>1</v>
      </c>
      <c r="G298" s="829">
        <v>20.75</v>
      </c>
      <c r="H298" s="832"/>
      <c r="I298" s="833" t="s">
        <v>1033</v>
      </c>
    </row>
    <row r="299" spans="1:9">
      <c r="A299" s="818"/>
      <c r="B299" s="435"/>
      <c r="C299" s="829">
        <v>2.73</v>
      </c>
      <c r="D299" s="832">
        <f>-C298*C299*B298</f>
        <v>-2.1840000000000002</v>
      </c>
      <c r="E299" s="833"/>
      <c r="F299" s="435"/>
      <c r="G299" s="829">
        <v>0.8</v>
      </c>
      <c r="H299" s="832">
        <f>G298*G299*F298</f>
        <v>16.600000000000001</v>
      </c>
      <c r="I299" s="833"/>
    </row>
    <row r="300" spans="1:9">
      <c r="A300" s="818"/>
      <c r="B300" s="831"/>
      <c r="C300" s="829"/>
      <c r="D300" s="832"/>
      <c r="E300" s="833"/>
      <c r="F300" s="435"/>
      <c r="G300" s="829"/>
      <c r="H300" s="843"/>
      <c r="I300" s="833"/>
    </row>
    <row r="301" spans="1:9">
      <c r="A301" s="818"/>
      <c r="B301" s="109"/>
      <c r="C301" s="860"/>
      <c r="D301" s="860"/>
      <c r="E301" s="109"/>
      <c r="F301" s="109"/>
      <c r="G301" s="850"/>
      <c r="H301" s="851"/>
      <c r="I301" s="852"/>
    </row>
    <row r="302" spans="1:9">
      <c r="A302" s="818"/>
      <c r="B302" s="853" t="s">
        <v>1884</v>
      </c>
      <c r="C302" s="854" t="s">
        <v>526</v>
      </c>
      <c r="D302" s="855" t="s">
        <v>1885</v>
      </c>
      <c r="E302" s="854" t="s">
        <v>1886</v>
      </c>
      <c r="F302" s="853" t="s">
        <v>1884</v>
      </c>
      <c r="G302" s="854" t="s">
        <v>526</v>
      </c>
      <c r="H302" s="855" t="s">
        <v>1885</v>
      </c>
      <c r="I302" s="854" t="s">
        <v>1886</v>
      </c>
    </row>
    <row r="303" spans="1:9">
      <c r="A303" s="818"/>
      <c r="B303" s="435">
        <v>2</v>
      </c>
      <c r="C303" s="829">
        <v>2.5</v>
      </c>
      <c r="D303" s="832"/>
      <c r="E303" s="833" t="s">
        <v>1034</v>
      </c>
      <c r="F303" s="435">
        <v>1</v>
      </c>
      <c r="G303" s="829">
        <v>8.1</v>
      </c>
      <c r="H303" s="832"/>
      <c r="I303" s="833" t="s">
        <v>160</v>
      </c>
    </row>
    <row r="304" spans="1:9">
      <c r="A304" s="818"/>
      <c r="B304" s="435"/>
      <c r="C304" s="829">
        <v>0.6</v>
      </c>
      <c r="D304" s="832">
        <f>C303*C304*B303</f>
        <v>3</v>
      </c>
      <c r="E304" s="833"/>
      <c r="F304" s="435"/>
      <c r="G304" s="829">
        <v>1.5</v>
      </c>
      <c r="H304" s="832">
        <f>G304*G303*F303</f>
        <v>12.149999999999999</v>
      </c>
      <c r="I304" s="833"/>
    </row>
    <row r="305" spans="1:9">
      <c r="A305" s="818"/>
      <c r="B305" s="435"/>
      <c r="C305" s="829"/>
      <c r="D305" s="832"/>
      <c r="E305" s="833" t="s">
        <v>1035</v>
      </c>
      <c r="F305" s="435"/>
      <c r="G305" s="829"/>
      <c r="H305" s="832"/>
      <c r="I305" s="833"/>
    </row>
    <row r="306" spans="1:9">
      <c r="A306" s="818"/>
      <c r="B306" s="435">
        <v>1</v>
      </c>
      <c r="C306" s="829">
        <v>6.8</v>
      </c>
      <c r="D306" s="832">
        <f>C306*C307*B306</f>
        <v>5.44</v>
      </c>
      <c r="E306" s="833" t="s">
        <v>1036</v>
      </c>
      <c r="F306" s="435">
        <v>1</v>
      </c>
      <c r="G306" s="829">
        <v>2.1</v>
      </c>
      <c r="H306" s="832"/>
      <c r="I306" s="833" t="s">
        <v>84</v>
      </c>
    </row>
    <row r="307" spans="1:9">
      <c r="A307" s="818"/>
      <c r="B307" s="435"/>
      <c r="C307" s="829">
        <v>0.8</v>
      </c>
      <c r="D307" s="435"/>
      <c r="E307" s="435"/>
      <c r="F307" s="435"/>
      <c r="G307" s="829">
        <v>1.5</v>
      </c>
      <c r="H307" s="832">
        <f t="shared" ref="H307:H340" si="0">G307*G306*F306</f>
        <v>3.1500000000000004</v>
      </c>
      <c r="I307" s="833" t="s">
        <v>1019</v>
      </c>
    </row>
    <row r="308" spans="1:9">
      <c r="A308" s="818"/>
      <c r="B308" s="435"/>
      <c r="C308" s="829"/>
      <c r="D308" s="832"/>
      <c r="E308" s="833"/>
      <c r="F308" s="435"/>
      <c r="G308" s="829"/>
      <c r="H308" s="832"/>
      <c r="I308" s="833"/>
    </row>
    <row r="309" spans="1:9">
      <c r="A309" s="818"/>
      <c r="B309" s="839"/>
      <c r="C309" s="839"/>
      <c r="D309" s="838">
        <f>SUM(D303:D308)+SUM(D245:D300)+SUM(H244:H299)+SUM(H186:H241)+SUM(D222:D240)</f>
        <v>850.06479999999988</v>
      </c>
      <c r="E309" s="845" t="s">
        <v>2184</v>
      </c>
      <c r="F309" s="435">
        <v>1</v>
      </c>
      <c r="G309" s="829">
        <v>3.25</v>
      </c>
      <c r="H309" s="832"/>
      <c r="I309" s="833" t="s">
        <v>1024</v>
      </c>
    </row>
    <row r="310" spans="1:9">
      <c r="A310" s="818"/>
      <c r="B310" s="1640"/>
      <c r="C310" s="1640"/>
      <c r="D310" s="1640"/>
      <c r="E310" s="1641" t="s">
        <v>2269</v>
      </c>
      <c r="F310" s="435"/>
      <c r="G310" s="829">
        <v>3.35</v>
      </c>
      <c r="H310" s="832">
        <f t="shared" si="0"/>
        <v>10.887500000000001</v>
      </c>
      <c r="I310" s="833" t="s">
        <v>627</v>
      </c>
    </row>
    <row r="311" spans="1:9">
      <c r="A311" s="818"/>
      <c r="B311" s="1642">
        <v>1</v>
      </c>
      <c r="C311" s="1643">
        <f>27+74+17*6</f>
        <v>203</v>
      </c>
      <c r="D311" s="1638"/>
      <c r="E311" s="1642" t="s">
        <v>3427</v>
      </c>
      <c r="F311" s="435"/>
      <c r="G311" s="829"/>
      <c r="H311" s="832"/>
      <c r="I311" s="833"/>
    </row>
    <row r="312" spans="1:9">
      <c r="A312" s="818"/>
      <c r="B312" s="1642"/>
      <c r="C312" s="1643">
        <f>0.2*0.3</f>
        <v>0.06</v>
      </c>
      <c r="D312" s="1638">
        <f>B311*C311*C312</f>
        <v>12.18</v>
      </c>
      <c r="E312" s="1642"/>
      <c r="F312" s="435">
        <v>1</v>
      </c>
      <c r="G312" s="829">
        <v>5.2</v>
      </c>
      <c r="H312" s="832"/>
      <c r="I312" s="833" t="s">
        <v>1011</v>
      </c>
    </row>
    <row r="313" spans="1:9">
      <c r="A313" s="818"/>
      <c r="B313" s="1642"/>
      <c r="C313" s="1643"/>
      <c r="D313" s="1638"/>
      <c r="E313" s="1640"/>
      <c r="F313" s="435"/>
      <c r="G313" s="829">
        <v>5.4</v>
      </c>
      <c r="H313" s="832">
        <f t="shared" si="0"/>
        <v>28.080000000000002</v>
      </c>
      <c r="I313" s="833"/>
    </row>
    <row r="314" spans="1:9">
      <c r="A314" s="818"/>
      <c r="B314" s="1642">
        <v>1</v>
      </c>
      <c r="C314" s="1643">
        <f>8*6+17*6</f>
        <v>150</v>
      </c>
      <c r="D314" s="1638"/>
      <c r="E314" s="1642" t="s">
        <v>3428</v>
      </c>
      <c r="F314" s="435"/>
      <c r="G314" s="829"/>
      <c r="H314" s="832"/>
      <c r="I314" s="833"/>
    </row>
    <row r="315" spans="1:9">
      <c r="A315" s="818"/>
      <c r="B315" s="1642"/>
      <c r="C315" s="1643">
        <f>0.2*0.3</f>
        <v>0.06</v>
      </c>
      <c r="D315" s="1638">
        <f>B314*C314*C315</f>
        <v>9</v>
      </c>
      <c r="E315" s="1642"/>
      <c r="F315" s="435">
        <v>1</v>
      </c>
      <c r="G315" s="829">
        <v>1.1000000000000001</v>
      </c>
      <c r="H315" s="832"/>
      <c r="I315" s="833" t="s">
        <v>223</v>
      </c>
    </row>
    <row r="316" spans="1:9">
      <c r="A316" s="818"/>
      <c r="B316" s="1640"/>
      <c r="C316" s="1640"/>
      <c r="D316" s="1640"/>
      <c r="E316" s="1642"/>
      <c r="F316" s="435"/>
      <c r="G316" s="829">
        <v>4.5999999999999996</v>
      </c>
      <c r="H316" s="832">
        <f t="shared" si="0"/>
        <v>5.0599999999999996</v>
      </c>
      <c r="I316" s="833"/>
    </row>
    <row r="317" spans="1:9">
      <c r="A317" s="818"/>
      <c r="B317" s="1642">
        <v>1</v>
      </c>
      <c r="C317" s="1643">
        <f>26*4+26+33*4+91+93+99+36+24+5</f>
        <v>610</v>
      </c>
      <c r="D317" s="1638"/>
      <c r="E317" s="1642" t="s">
        <v>3429</v>
      </c>
      <c r="F317" s="435"/>
      <c r="G317" s="829"/>
      <c r="H317" s="832"/>
      <c r="I317" s="833"/>
    </row>
    <row r="318" spans="1:9">
      <c r="A318" s="818"/>
      <c r="B318" s="1642"/>
      <c r="C318" s="1643">
        <f>0.2*0.3</f>
        <v>0.06</v>
      </c>
      <c r="D318" s="1638">
        <f>B317*C317*C318</f>
        <v>36.6</v>
      </c>
      <c r="E318" s="1642"/>
      <c r="F318" s="435">
        <v>1</v>
      </c>
      <c r="G318" s="829">
        <v>1.35</v>
      </c>
      <c r="H318" s="832"/>
      <c r="I318" s="833" t="s">
        <v>1038</v>
      </c>
    </row>
    <row r="319" spans="1:9">
      <c r="A319" s="818"/>
      <c r="B319" s="1642"/>
      <c r="C319" s="1643"/>
      <c r="D319" s="1638"/>
      <c r="E319" s="1642"/>
      <c r="F319" s="435"/>
      <c r="G319" s="829">
        <v>1.45</v>
      </c>
      <c r="H319" s="832">
        <f t="shared" si="0"/>
        <v>1.9575</v>
      </c>
      <c r="I319" s="833"/>
    </row>
    <row r="320" spans="1:9">
      <c r="A320" s="818"/>
      <c r="B320" s="1642"/>
      <c r="C320" s="1643">
        <f>0.2*0.3</f>
        <v>0.06</v>
      </c>
      <c r="D320" s="1638">
        <f>B319*C319*C320</f>
        <v>0</v>
      </c>
      <c r="E320" s="1642"/>
      <c r="F320" s="435"/>
      <c r="G320" s="829"/>
      <c r="H320" s="832"/>
      <c r="I320" s="833"/>
    </row>
    <row r="321" spans="1:9">
      <c r="A321" s="818"/>
      <c r="B321" s="1642"/>
      <c r="C321" s="1643"/>
      <c r="D321" s="1638"/>
      <c r="E321" s="1642"/>
      <c r="F321" s="435">
        <v>1</v>
      </c>
      <c r="G321" s="829">
        <v>1.35</v>
      </c>
      <c r="H321" s="832"/>
      <c r="I321" s="833" t="s">
        <v>1038</v>
      </c>
    </row>
    <row r="322" spans="1:9">
      <c r="A322" s="818"/>
      <c r="B322" s="1642"/>
      <c r="C322" s="1643">
        <f>0.2*0.3</f>
        <v>0.06</v>
      </c>
      <c r="D322" s="1638">
        <f>B321*C321*C322</f>
        <v>0</v>
      </c>
      <c r="E322" s="1642"/>
      <c r="F322" s="435"/>
      <c r="G322" s="829">
        <v>1.45</v>
      </c>
      <c r="H322" s="832">
        <f t="shared" si="0"/>
        <v>1.9575</v>
      </c>
      <c r="I322" s="833"/>
    </row>
    <row r="323" spans="1:9">
      <c r="A323" s="818"/>
      <c r="B323" s="1642"/>
      <c r="C323" s="1643"/>
      <c r="D323" s="1638"/>
      <c r="E323" s="1642"/>
      <c r="F323" s="435"/>
      <c r="G323" s="829"/>
      <c r="H323" s="832"/>
      <c r="I323" s="833"/>
    </row>
    <row r="324" spans="1:9">
      <c r="A324" s="818"/>
      <c r="B324" s="1642"/>
      <c r="C324" s="1643">
        <f>0.2*0.3</f>
        <v>0.06</v>
      </c>
      <c r="D324" s="1638">
        <f>B323*C323*C324</f>
        <v>0</v>
      </c>
      <c r="E324" s="1642"/>
      <c r="F324" s="435">
        <v>1</v>
      </c>
      <c r="G324" s="829">
        <v>1.6</v>
      </c>
      <c r="H324" s="832"/>
      <c r="I324" s="833" t="s">
        <v>1022</v>
      </c>
    </row>
    <row r="325" spans="1:9">
      <c r="A325" s="818"/>
      <c r="B325" s="1640"/>
      <c r="C325" s="1640"/>
      <c r="D325" s="1640"/>
      <c r="E325" s="1642"/>
      <c r="F325" s="435"/>
      <c r="G325" s="829">
        <v>1.45</v>
      </c>
      <c r="H325" s="832">
        <f t="shared" si="0"/>
        <v>2.3199999999999998</v>
      </c>
      <c r="I325" s="833"/>
    </row>
    <row r="326" spans="1:9">
      <c r="A326" s="818"/>
      <c r="B326" s="1644"/>
      <c r="C326" s="1644"/>
      <c r="D326" s="1645">
        <f>SUM(D312:D324)</f>
        <v>57.78</v>
      </c>
      <c r="E326" s="1646" t="s">
        <v>2146</v>
      </c>
      <c r="F326" s="435"/>
      <c r="G326" s="829"/>
      <c r="H326" s="832"/>
      <c r="I326" s="833"/>
    </row>
    <row r="327" spans="1:9">
      <c r="A327" s="818"/>
      <c r="B327" s="435"/>
      <c r="C327" s="829"/>
      <c r="D327" s="832"/>
      <c r="E327" s="833" t="s">
        <v>863</v>
      </c>
      <c r="F327" s="435">
        <v>1</v>
      </c>
      <c r="G327" s="829">
        <v>1.1000000000000001</v>
      </c>
      <c r="H327" s="832"/>
      <c r="I327" s="833" t="s">
        <v>84</v>
      </c>
    </row>
    <row r="328" spans="1:9">
      <c r="A328" s="818"/>
      <c r="B328" s="435"/>
      <c r="C328" s="829"/>
      <c r="D328" s="832"/>
      <c r="E328" s="833" t="s">
        <v>998</v>
      </c>
      <c r="F328" s="435"/>
      <c r="G328" s="829">
        <v>2.7</v>
      </c>
      <c r="H328" s="832">
        <f t="shared" si="0"/>
        <v>2.9700000000000006</v>
      </c>
      <c r="I328" s="833"/>
    </row>
    <row r="329" spans="1:9">
      <c r="A329" s="818"/>
      <c r="B329" s="435">
        <v>3</v>
      </c>
      <c r="C329" s="829">
        <v>3</v>
      </c>
      <c r="D329" s="832"/>
      <c r="E329" s="833" t="s">
        <v>999</v>
      </c>
      <c r="F329" s="435"/>
      <c r="G329" s="829"/>
      <c r="H329" s="832"/>
      <c r="I329" s="833"/>
    </row>
    <row r="330" spans="1:9">
      <c r="A330" s="818"/>
      <c r="B330" s="435"/>
      <c r="C330" s="829">
        <v>4.2</v>
      </c>
      <c r="D330" s="832">
        <f>C329*C330*B329</f>
        <v>37.800000000000004</v>
      </c>
      <c r="E330" s="833"/>
      <c r="F330" s="435">
        <v>9</v>
      </c>
      <c r="G330" s="829">
        <v>0.8</v>
      </c>
      <c r="H330" s="832"/>
      <c r="I330" s="833" t="s">
        <v>1053</v>
      </c>
    </row>
    <row r="331" spans="1:9">
      <c r="A331" s="818"/>
      <c r="B331" s="435">
        <v>1</v>
      </c>
      <c r="C331" s="829">
        <v>2.5</v>
      </c>
      <c r="D331" s="832"/>
      <c r="E331" s="833" t="s">
        <v>1003</v>
      </c>
      <c r="F331" s="435"/>
      <c r="G331" s="829">
        <v>0.15</v>
      </c>
      <c r="H331" s="832">
        <f t="shared" si="0"/>
        <v>1.08</v>
      </c>
      <c r="I331" s="833"/>
    </row>
    <row r="332" spans="1:9">
      <c r="A332" s="818"/>
      <c r="B332" s="435"/>
      <c r="C332" s="829">
        <v>4.2</v>
      </c>
      <c r="D332" s="832">
        <f>C331*C332*B331</f>
        <v>10.5</v>
      </c>
      <c r="E332" s="833"/>
      <c r="F332" s="435"/>
      <c r="G332" s="829"/>
      <c r="H332" s="832"/>
      <c r="I332" s="833"/>
    </row>
    <row r="333" spans="1:9">
      <c r="A333" s="818"/>
      <c r="B333" s="435">
        <v>1</v>
      </c>
      <c r="C333" s="829">
        <v>1.5</v>
      </c>
      <c r="D333" s="832"/>
      <c r="E333" s="833" t="s">
        <v>1037</v>
      </c>
      <c r="F333" s="435">
        <v>13</v>
      </c>
      <c r="G333" s="829">
        <v>0.7</v>
      </c>
      <c r="H333" s="832"/>
      <c r="I333" s="833" t="s">
        <v>1055</v>
      </c>
    </row>
    <row r="334" spans="1:9">
      <c r="A334" s="818"/>
      <c r="B334" s="435"/>
      <c r="C334" s="829">
        <v>4.1500000000000004</v>
      </c>
      <c r="D334" s="832">
        <f>C333*C334*B333</f>
        <v>6.2250000000000005</v>
      </c>
      <c r="E334" s="833"/>
      <c r="F334" s="435"/>
      <c r="G334" s="829">
        <v>0.15</v>
      </c>
      <c r="H334" s="832">
        <f t="shared" si="0"/>
        <v>1.365</v>
      </c>
      <c r="I334" s="833"/>
    </row>
    <row r="335" spans="1:9">
      <c r="A335" s="818"/>
      <c r="B335" s="435">
        <v>1</v>
      </c>
      <c r="C335" s="829">
        <v>2.95</v>
      </c>
      <c r="D335" s="832"/>
      <c r="E335" s="833" t="s">
        <v>121</v>
      </c>
      <c r="F335" s="435"/>
      <c r="G335" s="829"/>
      <c r="H335" s="832"/>
      <c r="I335" s="833"/>
    </row>
    <row r="336" spans="1:9">
      <c r="A336" s="818"/>
      <c r="B336" s="435"/>
      <c r="C336" s="829">
        <v>1.2</v>
      </c>
      <c r="D336" s="832">
        <f>C335*C336*B335</f>
        <v>3.54</v>
      </c>
      <c r="E336" s="833"/>
      <c r="F336" s="435">
        <v>1</v>
      </c>
      <c r="G336" s="829">
        <v>0.9</v>
      </c>
      <c r="H336" s="832"/>
      <c r="I336" s="833" t="s">
        <v>1015</v>
      </c>
    </row>
    <row r="337" spans="1:13">
      <c r="A337" s="818"/>
      <c r="B337" s="435">
        <v>1</v>
      </c>
      <c r="C337" s="829">
        <v>1.1399999999999999</v>
      </c>
      <c r="D337" s="832"/>
      <c r="E337" s="833" t="s">
        <v>84</v>
      </c>
      <c r="F337" s="435"/>
      <c r="G337" s="829">
        <v>0.35</v>
      </c>
      <c r="H337" s="832">
        <f t="shared" si="0"/>
        <v>0.315</v>
      </c>
      <c r="I337" s="833"/>
    </row>
    <row r="338" spans="1:13">
      <c r="A338" s="818"/>
      <c r="B338" s="435"/>
      <c r="C338" s="829">
        <v>2.2000000000000002</v>
      </c>
      <c r="D338" s="832">
        <f>C337*C338*B337</f>
        <v>2.508</v>
      </c>
      <c r="E338" s="833"/>
      <c r="F338" s="435"/>
      <c r="G338" s="829"/>
      <c r="H338" s="832"/>
      <c r="I338" s="833"/>
    </row>
    <row r="339" spans="1:13">
      <c r="A339" s="818"/>
      <c r="B339" s="435">
        <v>1</v>
      </c>
      <c r="C339" s="829">
        <v>1</v>
      </c>
      <c r="D339" s="832"/>
      <c r="E339" s="833" t="s">
        <v>121</v>
      </c>
      <c r="F339" s="435">
        <v>1</v>
      </c>
      <c r="G339" s="829">
        <v>1.4</v>
      </c>
      <c r="H339" s="832"/>
      <c r="I339" s="833" t="s">
        <v>1058</v>
      </c>
    </row>
    <row r="340" spans="1:13" ht="22.5" customHeight="1">
      <c r="A340" s="818"/>
      <c r="B340" s="435"/>
      <c r="C340" s="829">
        <v>2.2000000000000002</v>
      </c>
      <c r="D340" s="832">
        <f>C339*C340*B339</f>
        <v>2.2000000000000002</v>
      </c>
      <c r="E340" s="833"/>
      <c r="F340" s="435"/>
      <c r="G340" s="829">
        <v>0.35</v>
      </c>
      <c r="H340" s="832">
        <f t="shared" si="0"/>
        <v>0.48999999999999994</v>
      </c>
      <c r="I340" s="833"/>
    </row>
    <row r="341" spans="1:13">
      <c r="A341" s="818"/>
      <c r="B341" s="435">
        <v>2</v>
      </c>
      <c r="C341" s="829">
        <v>2.0499999999999998</v>
      </c>
      <c r="D341" s="832"/>
      <c r="E341" s="833" t="s">
        <v>121</v>
      </c>
      <c r="F341" s="435"/>
      <c r="G341" s="829"/>
      <c r="H341" s="832"/>
      <c r="I341" s="833"/>
    </row>
    <row r="342" spans="1:13">
      <c r="A342" s="818"/>
      <c r="B342" s="435"/>
      <c r="C342" s="829">
        <v>1.2</v>
      </c>
      <c r="D342" s="832">
        <f>C341*C342*B341</f>
        <v>4.919999999999999</v>
      </c>
      <c r="E342" s="833"/>
      <c r="F342" s="435">
        <v>1</v>
      </c>
      <c r="G342" s="829">
        <v>2.35</v>
      </c>
      <c r="H342" s="832"/>
      <c r="I342" s="833" t="s">
        <v>1025</v>
      </c>
    </row>
    <row r="343" spans="1:13">
      <c r="A343" s="818"/>
      <c r="B343" s="435">
        <v>4</v>
      </c>
      <c r="C343" s="829">
        <v>1</v>
      </c>
      <c r="D343" s="832"/>
      <c r="E343" s="833" t="s">
        <v>121</v>
      </c>
      <c r="F343" s="435"/>
      <c r="G343" s="829">
        <v>3.25</v>
      </c>
      <c r="H343" s="832">
        <f>G343*G342*F342</f>
        <v>7.6375000000000002</v>
      </c>
      <c r="I343" s="833"/>
    </row>
    <row r="344" spans="1:13">
      <c r="A344" s="818"/>
      <c r="B344" s="435"/>
      <c r="C344" s="829">
        <v>1.5</v>
      </c>
      <c r="D344" s="832">
        <f>C343*C344*B343</f>
        <v>6</v>
      </c>
      <c r="E344" s="833"/>
      <c r="F344" s="435"/>
      <c r="G344" s="829"/>
      <c r="H344" s="832"/>
      <c r="I344" s="833"/>
    </row>
    <row r="345" spans="1:13">
      <c r="A345" s="818"/>
      <c r="B345" s="435">
        <v>1</v>
      </c>
      <c r="C345" s="829">
        <v>1.93</v>
      </c>
      <c r="D345" s="832"/>
      <c r="E345" s="833" t="s">
        <v>1040</v>
      </c>
      <c r="F345" s="839"/>
      <c r="G345" s="839"/>
      <c r="H345" s="838">
        <f>SUM(H303:H344)+SUM(D330:D360)</f>
        <v>238.98950000000002</v>
      </c>
      <c r="I345" s="845" t="s">
        <v>2437</v>
      </c>
    </row>
    <row r="346" spans="1:13">
      <c r="A346" s="818"/>
      <c r="B346" s="435"/>
      <c r="C346" s="829">
        <v>2.0499999999999998</v>
      </c>
      <c r="D346" s="832">
        <f>C345*C346*B345</f>
        <v>3.9564999999999997</v>
      </c>
      <c r="E346" s="833"/>
      <c r="F346" s="435"/>
      <c r="G346" s="829"/>
      <c r="H346" s="832"/>
      <c r="I346" s="833"/>
    </row>
    <row r="347" spans="1:13">
      <c r="A347" s="818"/>
      <c r="B347" s="435">
        <v>1</v>
      </c>
      <c r="C347" s="829">
        <v>2.8</v>
      </c>
      <c r="D347" s="832"/>
      <c r="E347" s="833" t="s">
        <v>1039</v>
      </c>
      <c r="F347" s="435"/>
      <c r="G347" s="829"/>
      <c r="H347" s="832"/>
      <c r="I347" s="833" t="s">
        <v>1041</v>
      </c>
    </row>
    <row r="348" spans="1:13">
      <c r="A348" s="818"/>
      <c r="B348" s="435"/>
      <c r="C348" s="829">
        <v>3</v>
      </c>
      <c r="D348" s="832">
        <f>C347*C348*B347</f>
        <v>8.3999999999999986</v>
      </c>
      <c r="E348" s="833"/>
      <c r="F348" s="435"/>
      <c r="G348" s="829"/>
      <c r="H348" s="832"/>
      <c r="I348" s="833" t="s">
        <v>998</v>
      </c>
      <c r="K348" s="968"/>
      <c r="L348" s="967"/>
      <c r="M348" s="967"/>
    </row>
    <row r="349" spans="1:13">
      <c r="A349" s="818"/>
      <c r="B349" s="435">
        <v>1</v>
      </c>
      <c r="C349" s="829">
        <v>2.4</v>
      </c>
      <c r="D349" s="832"/>
      <c r="E349" s="833" t="s">
        <v>1037</v>
      </c>
      <c r="F349" s="435">
        <v>3</v>
      </c>
      <c r="G349" s="829">
        <v>13.6</v>
      </c>
      <c r="H349" s="832"/>
      <c r="I349" s="833" t="s">
        <v>999</v>
      </c>
      <c r="K349" s="968"/>
      <c r="L349" s="967"/>
      <c r="M349" s="967"/>
    </row>
    <row r="350" spans="1:13">
      <c r="A350" s="818"/>
      <c r="B350" s="435"/>
      <c r="C350" s="829">
        <v>4.3499999999999996</v>
      </c>
      <c r="D350" s="832">
        <f>C349*C350*B349</f>
        <v>10.44</v>
      </c>
      <c r="E350" s="833"/>
      <c r="F350" s="435"/>
      <c r="G350" s="829"/>
      <c r="H350" s="832">
        <f>F349*G349</f>
        <v>40.799999999999997</v>
      </c>
      <c r="I350" s="833" t="s">
        <v>1042</v>
      </c>
    </row>
    <row r="351" spans="1:13">
      <c r="A351" s="818"/>
      <c r="B351" s="435">
        <v>1</v>
      </c>
      <c r="C351" s="829">
        <v>12.35</v>
      </c>
      <c r="D351" s="832"/>
      <c r="E351" s="833"/>
      <c r="F351" s="435"/>
      <c r="G351" s="829"/>
      <c r="H351" s="832"/>
      <c r="I351" s="833"/>
    </row>
    <row r="352" spans="1:13">
      <c r="A352" s="818"/>
      <c r="B352" s="435"/>
      <c r="C352" s="829">
        <v>2.5</v>
      </c>
      <c r="D352" s="832">
        <f>C351*C352*B351</f>
        <v>30.875</v>
      </c>
      <c r="E352" s="833"/>
      <c r="F352" s="435">
        <v>1</v>
      </c>
      <c r="G352" s="829">
        <v>11.8</v>
      </c>
      <c r="H352" s="832"/>
      <c r="I352" s="833" t="s">
        <v>1003</v>
      </c>
    </row>
    <row r="353" spans="1:9">
      <c r="A353" s="818"/>
      <c r="B353" s="435">
        <v>1</v>
      </c>
      <c r="C353" s="829">
        <v>3.5</v>
      </c>
      <c r="D353" s="832"/>
      <c r="E353" s="833" t="s">
        <v>230</v>
      </c>
      <c r="F353" s="435"/>
      <c r="G353" s="829"/>
      <c r="H353" s="832">
        <f>F352*G352</f>
        <v>11.8</v>
      </c>
      <c r="I353" s="833" t="s">
        <v>1043</v>
      </c>
    </row>
    <row r="354" spans="1:9">
      <c r="A354" s="818"/>
      <c r="B354" s="435"/>
      <c r="C354" s="829">
        <v>2.5499999999999998</v>
      </c>
      <c r="D354" s="832">
        <f>C353*C354*B353</f>
        <v>8.9249999999999989</v>
      </c>
      <c r="E354" s="833"/>
      <c r="F354" s="435"/>
      <c r="G354" s="829"/>
      <c r="H354" s="832"/>
      <c r="I354" s="833"/>
    </row>
    <row r="355" spans="1:9">
      <c r="A355" s="818"/>
      <c r="B355" s="435">
        <v>1</v>
      </c>
      <c r="C355" s="829">
        <v>3.3</v>
      </c>
      <c r="D355" s="832"/>
      <c r="E355" s="833" t="s">
        <v>183</v>
      </c>
      <c r="F355" s="435">
        <v>1</v>
      </c>
      <c r="G355" s="829">
        <v>26.07</v>
      </c>
      <c r="H355" s="832"/>
      <c r="I355" s="833" t="s">
        <v>160</v>
      </c>
    </row>
    <row r="356" spans="1:9">
      <c r="A356" s="818"/>
      <c r="B356" s="435"/>
      <c r="C356" s="829">
        <v>2.5499999999999998</v>
      </c>
      <c r="D356" s="832">
        <f>C355*C356*B355</f>
        <v>8.4149999999999991</v>
      </c>
      <c r="E356" s="833"/>
      <c r="F356" s="435"/>
      <c r="G356" s="829"/>
      <c r="H356" s="832">
        <f>F355*G355</f>
        <v>26.07</v>
      </c>
      <c r="I356" s="833" t="s">
        <v>1044</v>
      </c>
    </row>
    <row r="357" spans="1:9">
      <c r="A357" s="818"/>
      <c r="B357" s="435">
        <v>1</v>
      </c>
      <c r="C357" s="829">
        <v>3.1</v>
      </c>
      <c r="D357" s="832"/>
      <c r="E357" s="833" t="s">
        <v>780</v>
      </c>
      <c r="F357" s="435"/>
      <c r="G357" s="829"/>
      <c r="H357" s="832"/>
      <c r="I357" s="833" t="s">
        <v>1045</v>
      </c>
    </row>
    <row r="358" spans="1:9">
      <c r="A358" s="818"/>
      <c r="B358" s="435"/>
      <c r="C358" s="829">
        <v>2.5499999999999998</v>
      </c>
      <c r="D358" s="832">
        <f>C357*C358*B357</f>
        <v>7.9049999999999994</v>
      </c>
      <c r="E358" s="833"/>
      <c r="F358" s="435">
        <v>1</v>
      </c>
      <c r="G358" s="829">
        <v>16.100000000000001</v>
      </c>
      <c r="H358" s="832"/>
      <c r="I358" s="833" t="s">
        <v>160</v>
      </c>
    </row>
    <row r="359" spans="1:9">
      <c r="A359" s="818"/>
      <c r="B359" s="435">
        <v>1</v>
      </c>
      <c r="C359" s="829">
        <v>1.6</v>
      </c>
      <c r="D359" s="832"/>
      <c r="E359" s="833" t="s">
        <v>160</v>
      </c>
      <c r="F359" s="435"/>
      <c r="G359" s="829"/>
      <c r="H359" s="832">
        <f>F358*G358</f>
        <v>16.100000000000001</v>
      </c>
      <c r="I359" s="833" t="s">
        <v>1046</v>
      </c>
    </row>
    <row r="360" spans="1:9">
      <c r="A360" s="818"/>
      <c r="B360" s="435"/>
      <c r="C360" s="829">
        <v>4.3499999999999996</v>
      </c>
      <c r="D360" s="832">
        <f>C359*C360*B359</f>
        <v>6.96</v>
      </c>
      <c r="E360" s="833"/>
      <c r="F360" s="109"/>
      <c r="G360" s="850"/>
      <c r="H360" s="851"/>
      <c r="I360" s="852"/>
    </row>
    <row r="361" spans="1:9">
      <c r="A361" s="818"/>
      <c r="B361" s="853" t="s">
        <v>1884</v>
      </c>
      <c r="C361" s="854" t="s">
        <v>526</v>
      </c>
      <c r="D361" s="855" t="s">
        <v>1885</v>
      </c>
      <c r="E361" s="854" t="s">
        <v>1886</v>
      </c>
      <c r="F361" s="853" t="s">
        <v>1884</v>
      </c>
      <c r="G361" s="854" t="s">
        <v>526</v>
      </c>
      <c r="H361" s="855" t="s">
        <v>1885</v>
      </c>
      <c r="I361" s="854" t="s">
        <v>1886</v>
      </c>
    </row>
    <row r="362" spans="1:9">
      <c r="A362" s="818"/>
      <c r="B362" s="435">
        <v>1</v>
      </c>
      <c r="C362" s="829">
        <v>10.6</v>
      </c>
      <c r="D362" s="832"/>
      <c r="E362" s="833" t="s">
        <v>230</v>
      </c>
      <c r="F362" s="435"/>
      <c r="G362" s="433"/>
      <c r="H362" s="433"/>
      <c r="I362" s="435" t="s">
        <v>274</v>
      </c>
    </row>
    <row r="363" spans="1:9">
      <c r="A363" s="818"/>
      <c r="B363" s="435"/>
      <c r="C363" s="829"/>
      <c r="D363" s="832">
        <f>B362*C362</f>
        <v>10.6</v>
      </c>
      <c r="E363" s="833" t="s">
        <v>1047</v>
      </c>
      <c r="F363" s="435">
        <v>1</v>
      </c>
      <c r="G363" s="433">
        <v>24.35</v>
      </c>
      <c r="H363" s="433"/>
      <c r="I363" s="437" t="s">
        <v>275</v>
      </c>
    </row>
    <row r="364" spans="1:9">
      <c r="A364" s="818"/>
      <c r="B364" s="435"/>
      <c r="C364" s="829"/>
      <c r="D364" s="832"/>
      <c r="E364" s="833"/>
      <c r="F364" s="435"/>
      <c r="G364" s="433">
        <v>1.2</v>
      </c>
      <c r="H364" s="433"/>
      <c r="I364" s="434" t="s">
        <v>1061</v>
      </c>
    </row>
    <row r="365" spans="1:9">
      <c r="A365" s="818"/>
      <c r="B365" s="435">
        <v>1</v>
      </c>
      <c r="C365" s="829">
        <v>10.9</v>
      </c>
      <c r="D365" s="832"/>
      <c r="E365" s="833" t="s">
        <v>183</v>
      </c>
      <c r="F365" s="435"/>
      <c r="G365" s="433"/>
      <c r="H365" s="433">
        <f>G363*G364*F363</f>
        <v>29.22</v>
      </c>
      <c r="I365" s="434"/>
    </row>
    <row r="366" spans="1:9">
      <c r="A366" s="818"/>
      <c r="B366" s="435"/>
      <c r="C366" s="829"/>
      <c r="D366" s="832">
        <f>B365*C365</f>
        <v>10.9</v>
      </c>
      <c r="E366" s="833" t="s">
        <v>1048</v>
      </c>
      <c r="F366" s="435">
        <v>1</v>
      </c>
      <c r="G366" s="433">
        <v>14.75</v>
      </c>
      <c r="H366" s="433"/>
      <c r="I366" s="434"/>
    </row>
    <row r="367" spans="1:9">
      <c r="A367" s="818"/>
      <c r="B367" s="435"/>
      <c r="C367" s="829"/>
      <c r="D367" s="832"/>
      <c r="E367" s="833"/>
      <c r="F367" s="443"/>
      <c r="G367" s="433">
        <v>1.2</v>
      </c>
      <c r="H367" s="433"/>
      <c r="I367" s="444"/>
    </row>
    <row r="368" spans="1:9">
      <c r="A368" s="818"/>
      <c r="B368" s="435">
        <v>1</v>
      </c>
      <c r="C368" s="829">
        <v>10.5</v>
      </c>
      <c r="D368" s="832"/>
      <c r="E368" s="833" t="s">
        <v>780</v>
      </c>
      <c r="F368" s="435"/>
      <c r="G368" s="443"/>
      <c r="H368" s="433">
        <f>G366*G367*F366</f>
        <v>17.7</v>
      </c>
      <c r="I368" s="438"/>
    </row>
    <row r="369" spans="1:9">
      <c r="A369" s="818"/>
      <c r="B369" s="435"/>
      <c r="C369" s="829"/>
      <c r="D369" s="832">
        <f>B368*C368</f>
        <v>10.5</v>
      </c>
      <c r="E369" s="833" t="s">
        <v>1049</v>
      </c>
      <c r="F369" s="435">
        <v>2</v>
      </c>
      <c r="G369" s="440">
        <v>12.35</v>
      </c>
      <c r="H369" s="433">
        <f>G367*G368*F367</f>
        <v>0</v>
      </c>
      <c r="I369" s="443"/>
    </row>
    <row r="370" spans="1:9">
      <c r="A370" s="818"/>
      <c r="B370" s="435"/>
      <c r="C370" s="829"/>
      <c r="D370" s="832"/>
      <c r="E370" s="833"/>
      <c r="F370" s="435"/>
      <c r="G370" s="440">
        <v>1.2</v>
      </c>
      <c r="H370" s="433">
        <f>G368*G369*F368</f>
        <v>0</v>
      </c>
      <c r="I370" s="435"/>
    </row>
    <row r="371" spans="1:9">
      <c r="A371" s="818"/>
      <c r="B371" s="435">
        <v>1</v>
      </c>
      <c r="C371" s="829">
        <v>22.8</v>
      </c>
      <c r="D371" s="832"/>
      <c r="E371" s="833" t="s">
        <v>160</v>
      </c>
      <c r="F371" s="435"/>
      <c r="G371" s="435"/>
      <c r="H371" s="433">
        <f>G369*G370*F369</f>
        <v>29.639999999999997</v>
      </c>
      <c r="I371" s="436"/>
    </row>
    <row r="372" spans="1:9">
      <c r="A372" s="818"/>
      <c r="B372" s="435"/>
      <c r="C372" s="829"/>
      <c r="D372" s="832">
        <f>B371*C371</f>
        <v>22.8</v>
      </c>
      <c r="E372" s="833" t="s">
        <v>1050</v>
      </c>
      <c r="F372" s="435"/>
      <c r="G372" s="829"/>
      <c r="H372" s="832"/>
      <c r="I372" s="833"/>
    </row>
    <row r="373" spans="1:9">
      <c r="A373" s="818"/>
      <c r="B373" s="435"/>
      <c r="C373" s="829"/>
      <c r="D373" s="832"/>
      <c r="E373" s="833"/>
      <c r="F373" s="839"/>
      <c r="G373" s="839"/>
      <c r="H373" s="838">
        <f>SUM(H364:H371)</f>
        <v>76.56</v>
      </c>
      <c r="I373" s="845" t="s">
        <v>2438</v>
      </c>
    </row>
    <row r="374" spans="1:9">
      <c r="A374" s="818"/>
      <c r="B374" s="435">
        <v>1</v>
      </c>
      <c r="C374" s="829">
        <v>11.6</v>
      </c>
      <c r="D374" s="832"/>
      <c r="E374" s="833" t="s">
        <v>1024</v>
      </c>
      <c r="F374" s="435"/>
      <c r="G374" s="829"/>
      <c r="H374" s="832"/>
      <c r="I374" s="833"/>
    </row>
    <row r="375" spans="1:9">
      <c r="A375" s="818"/>
      <c r="B375" s="435"/>
      <c r="C375" s="829"/>
      <c r="D375" s="832">
        <f>B374*C374</f>
        <v>11.6</v>
      </c>
      <c r="E375" s="833" t="s">
        <v>1051</v>
      </c>
      <c r="F375" s="435"/>
      <c r="G375" s="829"/>
      <c r="H375" s="832"/>
      <c r="I375" s="844" t="s">
        <v>2439</v>
      </c>
    </row>
    <row r="376" spans="1:9">
      <c r="A376" s="818"/>
      <c r="B376" s="435"/>
      <c r="C376" s="829"/>
      <c r="D376" s="832"/>
      <c r="E376" s="833"/>
      <c r="F376" s="435">
        <v>2</v>
      </c>
      <c r="G376" s="829">
        <v>15.35</v>
      </c>
      <c r="H376" s="832"/>
      <c r="I376" s="833" t="s">
        <v>2440</v>
      </c>
    </row>
    <row r="377" spans="1:9">
      <c r="A377" s="818"/>
      <c r="B377" s="435">
        <v>1</v>
      </c>
      <c r="C377" s="829">
        <v>10.4</v>
      </c>
      <c r="D377" s="832"/>
      <c r="E377" s="833" t="s">
        <v>1025</v>
      </c>
      <c r="F377" s="435"/>
      <c r="G377" s="829"/>
      <c r="H377" s="832">
        <f>G376*F376</f>
        <v>30.7</v>
      </c>
      <c r="I377" s="833"/>
    </row>
    <row r="378" spans="1:9">
      <c r="A378" s="818"/>
      <c r="B378" s="435"/>
      <c r="C378" s="829"/>
      <c r="D378" s="832">
        <f>B377*C377</f>
        <v>10.4</v>
      </c>
      <c r="E378" s="833" t="s">
        <v>1052</v>
      </c>
      <c r="F378" s="435"/>
      <c r="G378" s="829"/>
      <c r="H378" s="832"/>
      <c r="I378" s="833"/>
    </row>
    <row r="379" spans="1:9">
      <c r="A379" s="818"/>
      <c r="B379" s="435"/>
      <c r="C379" s="829"/>
      <c r="D379" s="832"/>
      <c r="E379" s="833"/>
      <c r="F379" s="435">
        <v>2</v>
      </c>
      <c r="G379" s="829">
        <v>24.35</v>
      </c>
      <c r="H379" s="832"/>
      <c r="I379" s="833" t="s">
        <v>2441</v>
      </c>
    </row>
    <row r="380" spans="1:9">
      <c r="A380" s="818"/>
      <c r="B380" s="435">
        <v>1</v>
      </c>
      <c r="C380" s="829">
        <v>18.899999999999999</v>
      </c>
      <c r="D380" s="832"/>
      <c r="E380" s="833" t="s">
        <v>1011</v>
      </c>
      <c r="F380" s="435"/>
      <c r="G380" s="829"/>
      <c r="H380" s="832">
        <f>G379*F379</f>
        <v>48.7</v>
      </c>
      <c r="I380" s="833"/>
    </row>
    <row r="381" spans="1:9">
      <c r="A381" s="818"/>
      <c r="B381" s="435"/>
      <c r="C381" s="829"/>
      <c r="D381" s="832">
        <f>B380*C380</f>
        <v>18.899999999999999</v>
      </c>
      <c r="E381" s="833" t="s">
        <v>1054</v>
      </c>
      <c r="F381" s="435"/>
      <c r="G381" s="829"/>
      <c r="H381" s="832"/>
      <c r="I381" s="833"/>
    </row>
    <row r="382" spans="1:9">
      <c r="A382" s="818"/>
      <c r="B382" s="435"/>
      <c r="C382" s="829"/>
      <c r="D382" s="832"/>
      <c r="E382" s="833"/>
      <c r="F382" s="839"/>
      <c r="G382" s="839"/>
      <c r="H382" s="838">
        <f>H380+H377</f>
        <v>79.400000000000006</v>
      </c>
      <c r="I382" s="845" t="s">
        <v>2442</v>
      </c>
    </row>
    <row r="383" spans="1:9">
      <c r="A383" s="818"/>
      <c r="B383" s="435">
        <v>1</v>
      </c>
      <c r="C383" s="829">
        <v>7.1</v>
      </c>
      <c r="D383" s="832"/>
      <c r="E383" s="833" t="s">
        <v>223</v>
      </c>
      <c r="F383" s="435"/>
      <c r="G383" s="435"/>
      <c r="H383" s="435"/>
      <c r="I383" s="435"/>
    </row>
    <row r="384" spans="1:9">
      <c r="A384" s="818"/>
      <c r="B384" s="435"/>
      <c r="C384" s="829"/>
      <c r="D384" s="832">
        <f>B383*C383</f>
        <v>7.1</v>
      </c>
      <c r="E384" s="833" t="s">
        <v>1056</v>
      </c>
      <c r="F384" s="435"/>
      <c r="G384" s="829"/>
      <c r="H384" s="832"/>
      <c r="I384" s="844" t="s">
        <v>2101</v>
      </c>
    </row>
    <row r="385" spans="1:9">
      <c r="A385" s="818"/>
      <c r="B385" s="435"/>
      <c r="C385" s="829"/>
      <c r="D385" s="832"/>
      <c r="E385" s="833"/>
      <c r="F385" s="435">
        <v>1</v>
      </c>
      <c r="G385" s="829">
        <v>2.8</v>
      </c>
      <c r="H385" s="832"/>
      <c r="I385" s="833" t="s">
        <v>2443</v>
      </c>
    </row>
    <row r="386" spans="1:9">
      <c r="A386" s="818"/>
      <c r="B386" s="435">
        <v>2</v>
      </c>
      <c r="C386" s="829">
        <v>4.9000000000000004</v>
      </c>
      <c r="D386" s="832"/>
      <c r="E386" s="833" t="s">
        <v>1020</v>
      </c>
      <c r="F386" s="435"/>
      <c r="G386" s="829"/>
      <c r="H386" s="832">
        <f>G385*F385</f>
        <v>2.8</v>
      </c>
      <c r="I386" s="833"/>
    </row>
    <row r="387" spans="1:9">
      <c r="A387" s="818"/>
      <c r="B387" s="435"/>
      <c r="C387" s="829"/>
      <c r="D387" s="832">
        <f>B386*C386</f>
        <v>9.8000000000000007</v>
      </c>
      <c r="E387" s="833" t="s">
        <v>1057</v>
      </c>
      <c r="F387" s="435"/>
      <c r="G387" s="435"/>
      <c r="H387" s="435"/>
      <c r="I387" s="435"/>
    </row>
    <row r="388" spans="1:9">
      <c r="A388" s="818"/>
      <c r="B388" s="435"/>
      <c r="C388" s="829"/>
      <c r="D388" s="832"/>
      <c r="E388" s="833"/>
      <c r="F388" s="435">
        <v>1</v>
      </c>
      <c r="G388" s="829">
        <v>2.5</v>
      </c>
      <c r="H388" s="832"/>
      <c r="I388" s="833"/>
    </row>
    <row r="389" spans="1:9">
      <c r="A389" s="818"/>
      <c r="B389" s="435">
        <v>1</v>
      </c>
      <c r="C389" s="829">
        <v>5.4</v>
      </c>
      <c r="D389" s="832"/>
      <c r="E389" s="833" t="s">
        <v>1022</v>
      </c>
      <c r="F389" s="435"/>
      <c r="G389" s="829"/>
      <c r="H389" s="832">
        <f>G388*F388</f>
        <v>2.5</v>
      </c>
      <c r="I389" s="833"/>
    </row>
    <row r="390" spans="1:9">
      <c r="A390" s="818"/>
      <c r="B390" s="435"/>
      <c r="C390" s="829"/>
      <c r="D390" s="832">
        <f>B389*C389</f>
        <v>5.4</v>
      </c>
      <c r="E390" s="833" t="s">
        <v>1059</v>
      </c>
      <c r="F390" s="435"/>
      <c r="G390" s="829"/>
      <c r="H390" s="832"/>
      <c r="I390" s="833"/>
    </row>
    <row r="391" spans="1:9">
      <c r="A391" s="818"/>
      <c r="B391" s="435"/>
      <c r="C391" s="829"/>
      <c r="D391" s="832"/>
      <c r="E391" s="833"/>
      <c r="F391" s="839"/>
      <c r="G391" s="839"/>
      <c r="H391" s="838">
        <f>H389+H386</f>
        <v>5.3</v>
      </c>
      <c r="I391" s="845" t="s">
        <v>2444</v>
      </c>
    </row>
    <row r="392" spans="1:9">
      <c r="A392" s="818"/>
      <c r="B392" s="839"/>
      <c r="C392" s="839"/>
      <c r="D392" s="838">
        <f>SUM(D362:D391)+SUM(H350:H359)</f>
        <v>212.76999999999998</v>
      </c>
      <c r="E392" s="845" t="s">
        <v>2422</v>
      </c>
      <c r="F392" s="435"/>
      <c r="G392" s="829"/>
      <c r="H392" s="832"/>
      <c r="I392" s="833"/>
    </row>
    <row r="393" spans="1:9">
      <c r="A393" s="818"/>
      <c r="B393" s="435"/>
      <c r="C393" s="829"/>
      <c r="D393" s="832"/>
      <c r="E393" s="833"/>
      <c r="F393" s="839"/>
      <c r="G393" s="839"/>
      <c r="H393" s="838">
        <f>H382-H391</f>
        <v>74.100000000000009</v>
      </c>
      <c r="I393" s="845" t="s">
        <v>2445</v>
      </c>
    </row>
    <row r="394" spans="1:9">
      <c r="A394" s="818"/>
      <c r="B394" s="435"/>
      <c r="C394" s="829"/>
      <c r="D394" s="832"/>
      <c r="E394" s="833" t="s">
        <v>266</v>
      </c>
      <c r="F394" s="943"/>
      <c r="G394" s="848"/>
      <c r="H394" s="843"/>
      <c r="I394" s="435"/>
    </row>
    <row r="395" spans="1:9">
      <c r="A395" s="818"/>
      <c r="B395" s="435"/>
      <c r="C395" s="435"/>
      <c r="D395" s="435"/>
      <c r="E395" s="833" t="s">
        <v>267</v>
      </c>
      <c r="F395" s="435"/>
      <c r="G395" s="435"/>
      <c r="H395" s="832"/>
      <c r="I395" s="943" t="s">
        <v>2474</v>
      </c>
    </row>
    <row r="396" spans="1:9">
      <c r="A396" s="818"/>
      <c r="B396" s="435">
        <v>7</v>
      </c>
      <c r="C396" s="829">
        <v>1.55</v>
      </c>
      <c r="D396" s="832"/>
      <c r="E396" s="833" t="s">
        <v>354</v>
      </c>
      <c r="F396" s="831"/>
      <c r="G396" s="829"/>
      <c r="H396" s="832"/>
      <c r="I396" s="844" t="s">
        <v>2329</v>
      </c>
    </row>
    <row r="397" spans="1:9">
      <c r="A397" s="818"/>
      <c r="B397" s="435"/>
      <c r="C397" s="829"/>
      <c r="D397" s="832">
        <f>B396*C396</f>
        <v>10.85</v>
      </c>
      <c r="E397" s="833"/>
      <c r="F397" s="831"/>
      <c r="G397" s="829"/>
      <c r="H397" s="832"/>
      <c r="I397" s="844"/>
    </row>
    <row r="398" spans="1:9">
      <c r="A398" s="818"/>
      <c r="B398" s="435"/>
      <c r="C398" s="435"/>
      <c r="D398" s="435"/>
      <c r="E398" s="435"/>
      <c r="F398" s="839"/>
      <c r="G398" s="839"/>
      <c r="H398" s="838">
        <f>D309</f>
        <v>850.06479999999988</v>
      </c>
      <c r="I398" s="845" t="s">
        <v>2156</v>
      </c>
    </row>
    <row r="399" spans="1:9">
      <c r="A399" s="818"/>
      <c r="B399" s="435">
        <v>1</v>
      </c>
      <c r="C399" s="829">
        <v>1.1000000000000001</v>
      </c>
      <c r="D399" s="832"/>
      <c r="E399" s="833" t="s">
        <v>969</v>
      </c>
      <c r="F399" s="943"/>
      <c r="G399" s="848"/>
      <c r="H399" s="843"/>
      <c r="I399" s="435"/>
    </row>
    <row r="400" spans="1:9">
      <c r="A400" s="818"/>
      <c r="B400" s="435"/>
      <c r="C400" s="829"/>
      <c r="D400" s="832">
        <f>B399*C399</f>
        <v>1.1000000000000001</v>
      </c>
      <c r="E400" s="833"/>
      <c r="F400" s="831"/>
      <c r="G400" s="829"/>
      <c r="H400" s="832"/>
      <c r="I400" s="844" t="s">
        <v>273</v>
      </c>
    </row>
    <row r="401" spans="1:9">
      <c r="A401" s="818"/>
      <c r="B401" s="435"/>
      <c r="C401" s="435"/>
      <c r="D401" s="435"/>
      <c r="E401" s="435"/>
      <c r="F401" s="839"/>
      <c r="G401" s="839"/>
      <c r="H401" s="838">
        <f>D217</f>
        <v>164.38350000000003</v>
      </c>
      <c r="I401" s="845" t="s">
        <v>2158</v>
      </c>
    </row>
    <row r="402" spans="1:9">
      <c r="A402" s="818"/>
      <c r="B402" s="435">
        <v>1</v>
      </c>
      <c r="C402" s="829">
        <v>1.1000000000000001</v>
      </c>
      <c r="D402" s="832"/>
      <c r="E402" s="833" t="s">
        <v>619</v>
      </c>
      <c r="F402" s="435"/>
      <c r="G402" s="829"/>
      <c r="H402" s="832"/>
      <c r="I402" s="833"/>
    </row>
    <row r="403" spans="1:9">
      <c r="A403" s="818"/>
      <c r="B403" s="435"/>
      <c r="C403" s="829"/>
      <c r="D403" s="832">
        <f>B402*C402</f>
        <v>1.1000000000000001</v>
      </c>
      <c r="E403" s="833"/>
      <c r="F403" s="435"/>
      <c r="G403" s="829"/>
      <c r="H403" s="832"/>
      <c r="I403" s="844" t="s">
        <v>9</v>
      </c>
    </row>
    <row r="404" spans="1:9">
      <c r="A404" s="818"/>
      <c r="B404" s="435"/>
      <c r="C404" s="435"/>
      <c r="D404" s="435"/>
      <c r="E404" s="435"/>
      <c r="F404" s="435"/>
      <c r="G404" s="829"/>
      <c r="H404" s="832"/>
      <c r="I404" s="844" t="s">
        <v>278</v>
      </c>
    </row>
    <row r="405" spans="1:9">
      <c r="A405" s="818"/>
      <c r="B405" s="435">
        <v>4</v>
      </c>
      <c r="C405" s="829">
        <v>1.25</v>
      </c>
      <c r="D405" s="832"/>
      <c r="E405" s="833" t="s">
        <v>1060</v>
      </c>
      <c r="F405" s="435"/>
      <c r="G405" s="435"/>
      <c r="H405" s="435"/>
      <c r="I405" s="833" t="s">
        <v>2446</v>
      </c>
    </row>
    <row r="406" spans="1:9">
      <c r="A406" s="818"/>
      <c r="B406" s="435"/>
      <c r="C406" s="829"/>
      <c r="D406" s="832">
        <f>B405*C405</f>
        <v>5</v>
      </c>
      <c r="E406" s="833"/>
      <c r="F406" s="435">
        <v>1</v>
      </c>
      <c r="G406" s="829">
        <v>24.59</v>
      </c>
      <c r="H406" s="832"/>
      <c r="I406" s="833"/>
    </row>
    <row r="407" spans="1:9">
      <c r="A407" s="818"/>
      <c r="B407" s="435"/>
      <c r="C407" s="435"/>
      <c r="D407" s="435"/>
      <c r="E407" s="435"/>
      <c r="F407" s="839"/>
      <c r="G407" s="839"/>
      <c r="H407" s="838">
        <f>F406*G406</f>
        <v>24.59</v>
      </c>
      <c r="I407" s="845" t="s">
        <v>2447</v>
      </c>
    </row>
    <row r="408" spans="1:9">
      <c r="A408" s="818"/>
      <c r="B408" s="435">
        <v>1</v>
      </c>
      <c r="C408" s="829">
        <v>4.2</v>
      </c>
      <c r="D408" s="832"/>
      <c r="E408" s="833" t="s">
        <v>1005</v>
      </c>
      <c r="F408" s="435"/>
      <c r="G408" s="435"/>
      <c r="H408" s="435"/>
      <c r="I408" s="435"/>
    </row>
    <row r="409" spans="1:9">
      <c r="A409" s="818"/>
      <c r="B409" s="435"/>
      <c r="C409" s="829"/>
      <c r="D409" s="832">
        <f>B408*C408</f>
        <v>4.2</v>
      </c>
      <c r="E409" s="833"/>
      <c r="F409" s="435"/>
      <c r="G409" s="435"/>
      <c r="H409" s="435"/>
      <c r="I409" s="833" t="s">
        <v>2287</v>
      </c>
    </row>
    <row r="410" spans="1:9">
      <c r="A410" s="818"/>
      <c r="B410" s="435"/>
      <c r="C410" s="435"/>
      <c r="D410" s="435"/>
      <c r="E410" s="435"/>
      <c r="F410" s="435">
        <v>1</v>
      </c>
      <c r="G410" s="829">
        <v>22.58</v>
      </c>
      <c r="H410" s="832"/>
      <c r="I410" s="435"/>
    </row>
    <row r="411" spans="1:9">
      <c r="A411" s="818"/>
      <c r="B411" s="435">
        <v>1</v>
      </c>
      <c r="C411" s="829">
        <v>0.85</v>
      </c>
      <c r="D411" s="832"/>
      <c r="E411" s="833"/>
      <c r="F411" s="839"/>
      <c r="G411" s="839"/>
      <c r="H411" s="838">
        <f>F410*G410</f>
        <v>22.58</v>
      </c>
      <c r="I411" s="845" t="s">
        <v>2380</v>
      </c>
    </row>
    <row r="412" spans="1:9">
      <c r="A412" s="818"/>
      <c r="B412" s="435"/>
      <c r="C412" s="829"/>
      <c r="D412" s="832">
        <f>C411*B411</f>
        <v>0.85</v>
      </c>
      <c r="E412" s="833"/>
      <c r="F412" s="435"/>
      <c r="G412" s="435"/>
      <c r="H412" s="435"/>
      <c r="I412" s="435"/>
    </row>
    <row r="413" spans="1:9">
      <c r="A413" s="818"/>
      <c r="B413" s="435"/>
      <c r="C413" s="829"/>
      <c r="D413" s="832"/>
      <c r="E413" s="833"/>
      <c r="F413" s="435"/>
      <c r="G413" s="829"/>
      <c r="H413" s="832"/>
      <c r="I413" s="435"/>
    </row>
    <row r="414" spans="1:9">
      <c r="A414" s="818"/>
      <c r="B414" s="839"/>
      <c r="C414" s="839"/>
      <c r="D414" s="838">
        <f>SUM(D397:D413)</f>
        <v>23.099999999999998</v>
      </c>
      <c r="E414" s="845" t="s">
        <v>2421</v>
      </c>
      <c r="F414" s="435"/>
      <c r="G414" s="435"/>
      <c r="H414" s="435"/>
      <c r="I414" s="833" t="s">
        <v>10</v>
      </c>
    </row>
    <row r="415" spans="1:9">
      <c r="A415" s="818"/>
      <c r="B415" s="435"/>
      <c r="C415" s="829"/>
      <c r="D415" s="832"/>
      <c r="E415" s="833"/>
      <c r="F415" s="435">
        <v>1</v>
      </c>
      <c r="G415" s="829">
        <v>25.43</v>
      </c>
      <c r="H415" s="832"/>
      <c r="I415" s="435"/>
    </row>
    <row r="416" spans="1:9">
      <c r="A416" s="818"/>
      <c r="B416" s="435"/>
      <c r="C416" s="829"/>
      <c r="D416" s="832"/>
      <c r="E416" s="833"/>
      <c r="F416" s="839"/>
      <c r="G416" s="839"/>
      <c r="H416" s="838">
        <f>F415*G415</f>
        <v>25.43</v>
      </c>
      <c r="I416" s="845" t="s">
        <v>2381</v>
      </c>
    </row>
    <row r="417" spans="1:9">
      <c r="A417" s="818"/>
      <c r="B417" s="435"/>
      <c r="C417" s="829"/>
      <c r="D417" s="832"/>
      <c r="E417" s="833"/>
      <c r="F417" s="435"/>
      <c r="G417" s="435"/>
      <c r="H417" s="435"/>
      <c r="I417" s="442"/>
    </row>
    <row r="418" spans="1:9">
      <c r="A418" s="818"/>
      <c r="B418" s="435"/>
      <c r="C418" s="829"/>
      <c r="D418" s="832"/>
      <c r="E418" s="833"/>
      <c r="F418" s="435"/>
      <c r="G418" s="829"/>
      <c r="H418" s="843"/>
      <c r="I418" s="442"/>
    </row>
    <row r="419" spans="1:9">
      <c r="A419" s="818"/>
      <c r="B419" s="109"/>
      <c r="C419" s="850"/>
      <c r="D419" s="928"/>
      <c r="E419" s="109"/>
      <c r="F419" s="109"/>
      <c r="G419" s="850"/>
      <c r="H419" s="928"/>
      <c r="I419" s="934"/>
    </row>
    <row r="420" spans="1:9">
      <c r="B420" s="853" t="s">
        <v>1884</v>
      </c>
      <c r="C420" s="854" t="s">
        <v>526</v>
      </c>
      <c r="D420" s="855" t="s">
        <v>1885</v>
      </c>
      <c r="E420" s="854" t="s">
        <v>1886</v>
      </c>
      <c r="F420" s="853" t="s">
        <v>1884</v>
      </c>
      <c r="G420" s="854" t="s">
        <v>526</v>
      </c>
      <c r="H420" s="855" t="s">
        <v>1885</v>
      </c>
      <c r="I420" s="854" t="s">
        <v>1886</v>
      </c>
    </row>
    <row r="421" spans="1:9">
      <c r="B421" s="435"/>
      <c r="C421" s="829"/>
      <c r="D421" s="832"/>
      <c r="E421" s="844" t="s">
        <v>374</v>
      </c>
      <c r="F421" s="435"/>
      <c r="G421" s="829"/>
      <c r="H421" s="832"/>
      <c r="I421" s="844" t="s">
        <v>375</v>
      </c>
    </row>
    <row r="422" spans="1:9">
      <c r="B422" s="435">
        <v>1</v>
      </c>
      <c r="C422" s="829">
        <v>3</v>
      </c>
      <c r="D422" s="832"/>
      <c r="E422" s="844" t="s">
        <v>373</v>
      </c>
      <c r="F422" s="435">
        <v>9</v>
      </c>
      <c r="G422" s="829">
        <v>1</v>
      </c>
      <c r="H422" s="832"/>
      <c r="I422" s="844" t="s">
        <v>376</v>
      </c>
    </row>
    <row r="423" spans="1:9">
      <c r="B423" s="435"/>
      <c r="C423" s="829"/>
      <c r="D423" s="832">
        <f>B422*C422</f>
        <v>3</v>
      </c>
      <c r="E423" s="833"/>
      <c r="F423" s="839"/>
      <c r="G423" s="839"/>
      <c r="H423" s="838">
        <f>G422*F422</f>
        <v>9</v>
      </c>
      <c r="I423" s="845" t="s">
        <v>2454</v>
      </c>
    </row>
    <row r="424" spans="1:9">
      <c r="B424" s="435"/>
      <c r="C424" s="829"/>
      <c r="D424" s="832"/>
      <c r="E424" s="833"/>
      <c r="F424" s="435"/>
      <c r="G424" s="829"/>
      <c r="H424" s="832"/>
      <c r="I424" s="833"/>
    </row>
    <row r="425" spans="1:9">
      <c r="B425" s="435"/>
      <c r="C425" s="829"/>
      <c r="D425" s="832"/>
      <c r="E425" s="844" t="s">
        <v>279</v>
      </c>
      <c r="F425" s="435"/>
      <c r="G425" s="829"/>
      <c r="H425" s="832"/>
      <c r="I425" s="833" t="s">
        <v>8</v>
      </c>
    </row>
    <row r="426" spans="1:9">
      <c r="B426" s="435"/>
      <c r="C426" s="829"/>
      <c r="D426" s="832"/>
      <c r="E426" s="844" t="s">
        <v>11</v>
      </c>
      <c r="F426" s="435"/>
      <c r="G426" s="829"/>
      <c r="H426" s="832"/>
      <c r="I426" s="833" t="s">
        <v>1063</v>
      </c>
    </row>
    <row r="427" spans="1:9">
      <c r="B427" s="435"/>
      <c r="C427" s="847"/>
      <c r="D427" s="847"/>
      <c r="E427" s="833" t="s">
        <v>2448</v>
      </c>
      <c r="F427" s="435">
        <v>9</v>
      </c>
      <c r="G427" s="829">
        <v>1</v>
      </c>
      <c r="H427" s="832"/>
      <c r="I427" s="833"/>
    </row>
    <row r="428" spans="1:9">
      <c r="B428" s="435">
        <v>1</v>
      </c>
      <c r="C428" s="829">
        <v>32.479999999999997</v>
      </c>
      <c r="D428" s="832"/>
      <c r="E428" s="833"/>
      <c r="F428" s="839"/>
      <c r="G428" s="839"/>
      <c r="H428" s="838">
        <f>G427*F427</f>
        <v>9</v>
      </c>
      <c r="I428" s="845" t="s">
        <v>2174</v>
      </c>
    </row>
    <row r="429" spans="1:9">
      <c r="B429" s="435"/>
      <c r="C429" s="829"/>
      <c r="D429" s="832">
        <f>B428*C428</f>
        <v>32.479999999999997</v>
      </c>
      <c r="E429" s="845" t="s">
        <v>2385</v>
      </c>
      <c r="F429" s="435"/>
      <c r="G429" s="829"/>
      <c r="H429" s="832"/>
      <c r="I429" s="833"/>
    </row>
    <row r="430" spans="1:9">
      <c r="B430" s="435"/>
      <c r="C430" s="829"/>
      <c r="D430" s="832"/>
      <c r="E430" s="833"/>
      <c r="F430" s="435"/>
      <c r="G430" s="829"/>
      <c r="H430" s="832"/>
      <c r="I430" s="833" t="s">
        <v>1064</v>
      </c>
    </row>
    <row r="431" spans="1:9">
      <c r="B431" s="435"/>
      <c r="C431" s="829"/>
      <c r="D431" s="832"/>
      <c r="E431" s="833" t="s">
        <v>1062</v>
      </c>
      <c r="F431" s="435">
        <v>14</v>
      </c>
      <c r="G431" s="829">
        <v>1</v>
      </c>
      <c r="H431" s="832"/>
      <c r="I431" s="833"/>
    </row>
    <row r="432" spans="1:9">
      <c r="B432" s="435">
        <v>1</v>
      </c>
      <c r="C432" s="829">
        <v>7.83</v>
      </c>
      <c r="D432" s="832"/>
      <c r="E432" s="833"/>
      <c r="F432" s="839"/>
      <c r="G432" s="839"/>
      <c r="H432" s="838">
        <f>G431*F431</f>
        <v>14</v>
      </c>
      <c r="I432" s="845" t="s">
        <v>2173</v>
      </c>
    </row>
    <row r="433" spans="2:9">
      <c r="B433" s="435"/>
      <c r="C433" s="829"/>
      <c r="D433" s="832">
        <f>B432*C432</f>
        <v>7.83</v>
      </c>
      <c r="E433" s="845" t="s">
        <v>2386</v>
      </c>
      <c r="F433" s="435"/>
      <c r="G433" s="829"/>
      <c r="H433" s="832"/>
      <c r="I433" s="833"/>
    </row>
    <row r="434" spans="2:9">
      <c r="B434" s="435"/>
      <c r="C434" s="829"/>
      <c r="D434" s="832"/>
      <c r="E434" s="833"/>
      <c r="F434" s="435"/>
      <c r="G434" s="829"/>
      <c r="H434" s="832"/>
      <c r="I434" s="833" t="s">
        <v>383</v>
      </c>
    </row>
    <row r="435" spans="2:9">
      <c r="B435" s="435"/>
      <c r="C435" s="829"/>
      <c r="D435" s="832"/>
      <c r="E435" s="833" t="s">
        <v>2449</v>
      </c>
      <c r="F435" s="435">
        <v>13</v>
      </c>
      <c r="G435" s="829">
        <v>1</v>
      </c>
      <c r="H435" s="832"/>
      <c r="I435" s="833"/>
    </row>
    <row r="436" spans="2:9">
      <c r="B436" s="435">
        <v>1</v>
      </c>
      <c r="C436" s="829">
        <v>16.93</v>
      </c>
      <c r="D436" s="832"/>
      <c r="E436" s="833"/>
      <c r="F436" s="839"/>
      <c r="G436" s="839"/>
      <c r="H436" s="838">
        <f>G435*F435</f>
        <v>13</v>
      </c>
      <c r="I436" s="845" t="s">
        <v>2177</v>
      </c>
    </row>
    <row r="437" spans="2:9">
      <c r="B437" s="839"/>
      <c r="C437" s="839"/>
      <c r="D437" s="838">
        <f>B436*C436</f>
        <v>16.93</v>
      </c>
      <c r="E437" s="845" t="s">
        <v>2387</v>
      </c>
      <c r="F437" s="435"/>
      <c r="G437" s="829"/>
      <c r="H437" s="832"/>
      <c r="I437" s="833"/>
    </row>
    <row r="438" spans="2:9">
      <c r="B438" s="435"/>
      <c r="C438" s="829"/>
      <c r="D438" s="832"/>
      <c r="E438" s="833"/>
      <c r="F438" s="435"/>
      <c r="G438" s="829"/>
      <c r="H438" s="832"/>
      <c r="I438" s="833" t="s">
        <v>385</v>
      </c>
    </row>
    <row r="439" spans="2:9">
      <c r="B439" s="435"/>
      <c r="C439" s="433"/>
      <c r="D439" s="433"/>
      <c r="E439" s="847" t="s">
        <v>449</v>
      </c>
      <c r="F439" s="435">
        <v>6</v>
      </c>
      <c r="G439" s="829">
        <v>1</v>
      </c>
      <c r="H439" s="832"/>
      <c r="I439" s="833"/>
    </row>
    <row r="440" spans="2:9">
      <c r="B440" s="435"/>
      <c r="C440" s="847"/>
      <c r="D440" s="847"/>
      <c r="E440" s="847" t="s">
        <v>15</v>
      </c>
      <c r="F440" s="839"/>
      <c r="G440" s="839"/>
      <c r="H440" s="838">
        <f>G439*F439</f>
        <v>6</v>
      </c>
      <c r="I440" s="845" t="s">
        <v>2178</v>
      </c>
    </row>
    <row r="441" spans="2:9">
      <c r="B441" s="435">
        <v>7</v>
      </c>
      <c r="C441" s="433">
        <v>1</v>
      </c>
      <c r="D441" s="433"/>
      <c r="E441" s="441"/>
      <c r="F441" s="435"/>
      <c r="G441" s="829"/>
      <c r="H441" s="832"/>
      <c r="I441" s="833"/>
    </row>
    <row r="442" spans="2:9">
      <c r="B442" s="839"/>
      <c r="C442" s="839"/>
      <c r="D442" s="838">
        <f>B441*C441</f>
        <v>7</v>
      </c>
      <c r="E442" s="845" t="s">
        <v>2165</v>
      </c>
      <c r="F442" s="435"/>
      <c r="G442" s="829"/>
      <c r="H442" s="832"/>
      <c r="I442" s="833" t="s">
        <v>733</v>
      </c>
    </row>
    <row r="443" spans="2:9">
      <c r="B443" s="435"/>
      <c r="C443" s="829"/>
      <c r="D443" s="832"/>
      <c r="E443" s="833"/>
      <c r="F443" s="435">
        <v>1</v>
      </c>
      <c r="G443" s="829">
        <v>1</v>
      </c>
      <c r="H443" s="832"/>
      <c r="I443" s="833"/>
    </row>
    <row r="444" spans="2:9">
      <c r="B444" s="435"/>
      <c r="C444" s="829"/>
      <c r="D444" s="832"/>
      <c r="E444" s="1017" t="s">
        <v>5</v>
      </c>
      <c r="F444" s="839"/>
      <c r="G444" s="839"/>
      <c r="H444" s="838">
        <f>G443*F443</f>
        <v>1</v>
      </c>
      <c r="I444" s="845" t="s">
        <v>2455</v>
      </c>
    </row>
    <row r="445" spans="2:9">
      <c r="B445" s="435"/>
      <c r="C445" s="829"/>
      <c r="D445" s="832"/>
      <c r="E445" s="844" t="s">
        <v>377</v>
      </c>
      <c r="F445" s="435"/>
      <c r="G445" s="829"/>
      <c r="H445" s="832"/>
      <c r="I445" s="833"/>
    </row>
    <row r="446" spans="2:9">
      <c r="B446" s="435"/>
      <c r="C446" s="829"/>
      <c r="D446" s="832"/>
      <c r="E446" s="844" t="s">
        <v>283</v>
      </c>
      <c r="F446" s="435"/>
      <c r="G446" s="829"/>
      <c r="H446" s="832"/>
      <c r="I446" s="844" t="s">
        <v>387</v>
      </c>
    </row>
    <row r="447" spans="2:9">
      <c r="B447" s="435">
        <v>43</v>
      </c>
      <c r="C447" s="829">
        <v>1</v>
      </c>
      <c r="D447" s="832"/>
      <c r="E447" s="833"/>
      <c r="F447" s="435"/>
      <c r="G447" s="829"/>
      <c r="H447" s="832"/>
      <c r="I447" s="844" t="s">
        <v>388</v>
      </c>
    </row>
    <row r="448" spans="2:9">
      <c r="B448" s="839"/>
      <c r="C448" s="839"/>
      <c r="D448" s="838">
        <f>B447*C447</f>
        <v>43</v>
      </c>
      <c r="E448" s="845" t="s">
        <v>2450</v>
      </c>
      <c r="F448" s="435"/>
      <c r="G448" s="829"/>
      <c r="H448" s="832"/>
      <c r="I448" s="844" t="s">
        <v>389</v>
      </c>
    </row>
    <row r="449" spans="2:9">
      <c r="B449" s="435"/>
      <c r="C449" s="829"/>
      <c r="D449" s="832"/>
      <c r="E449" s="833"/>
      <c r="F449" s="435">
        <v>1</v>
      </c>
      <c r="G449" s="829">
        <v>1</v>
      </c>
      <c r="H449" s="832"/>
      <c r="I449" s="833"/>
    </row>
    <row r="450" spans="2:9">
      <c r="B450" s="435"/>
      <c r="C450" s="829"/>
      <c r="D450" s="832"/>
      <c r="E450" s="844" t="s">
        <v>381</v>
      </c>
      <c r="F450" s="839"/>
      <c r="G450" s="839"/>
      <c r="H450" s="838">
        <f>G449*F449</f>
        <v>1</v>
      </c>
      <c r="I450" s="845" t="s">
        <v>2180</v>
      </c>
    </row>
    <row r="451" spans="2:9">
      <c r="B451" s="435"/>
      <c r="C451" s="829"/>
      <c r="D451" s="832"/>
      <c r="E451" s="844" t="s">
        <v>382</v>
      </c>
      <c r="F451" s="435"/>
      <c r="G451" s="829"/>
      <c r="H451" s="832"/>
      <c r="I451" s="833"/>
    </row>
    <row r="452" spans="2:9">
      <c r="B452" s="435">
        <v>19</v>
      </c>
      <c r="C452" s="829">
        <v>1</v>
      </c>
      <c r="D452" s="832"/>
      <c r="E452" s="833"/>
      <c r="F452" s="435"/>
      <c r="G452" s="829"/>
      <c r="H452" s="832"/>
      <c r="I452" s="844" t="s">
        <v>2451</v>
      </c>
    </row>
    <row r="453" spans="2:9">
      <c r="B453" s="839"/>
      <c r="C453" s="839"/>
      <c r="D453" s="838">
        <f>B452*C452</f>
        <v>19</v>
      </c>
      <c r="E453" s="845" t="s">
        <v>2166</v>
      </c>
      <c r="F453" s="435"/>
      <c r="G453" s="829"/>
      <c r="H453" s="832"/>
      <c r="I453" s="844" t="s">
        <v>2452</v>
      </c>
    </row>
    <row r="454" spans="2:9">
      <c r="B454" s="435"/>
      <c r="C454" s="829"/>
      <c r="D454" s="832"/>
      <c r="E454" s="833"/>
      <c r="F454" s="435">
        <v>1</v>
      </c>
      <c r="G454" s="829">
        <v>12.6</v>
      </c>
      <c r="H454" s="832"/>
      <c r="I454" s="833"/>
    </row>
    <row r="455" spans="2:9">
      <c r="B455" s="435"/>
      <c r="C455" s="829"/>
      <c r="D455" s="832"/>
      <c r="E455" s="844" t="s">
        <v>384</v>
      </c>
      <c r="F455" s="839"/>
      <c r="G455" s="839"/>
      <c r="H455" s="838">
        <f>G454*F454</f>
        <v>12.6</v>
      </c>
      <c r="I455" s="845" t="s">
        <v>2453</v>
      </c>
    </row>
    <row r="456" spans="2:9">
      <c r="B456" s="435">
        <v>7</v>
      </c>
      <c r="C456" s="829">
        <v>1</v>
      </c>
      <c r="D456" s="832"/>
      <c r="E456" s="833"/>
      <c r="F456" s="847"/>
      <c r="G456" s="848"/>
      <c r="H456" s="843"/>
      <c r="I456" s="435"/>
    </row>
    <row r="457" spans="2:9">
      <c r="B457" s="839"/>
      <c r="C457" s="839"/>
      <c r="D457" s="838">
        <f>B456*C456</f>
        <v>7</v>
      </c>
      <c r="E457" s="845" t="s">
        <v>2167</v>
      </c>
      <c r="F457" s="435"/>
      <c r="G457" s="829"/>
      <c r="H457" s="832"/>
      <c r="I457" s="833"/>
    </row>
    <row r="458" spans="2:9">
      <c r="B458" s="435"/>
      <c r="C458" s="829"/>
      <c r="D458" s="832"/>
      <c r="E458" s="833"/>
      <c r="F458" s="435"/>
      <c r="G458" s="829"/>
      <c r="H458" s="832"/>
      <c r="I458" s="833"/>
    </row>
    <row r="459" spans="2:9">
      <c r="B459" s="435"/>
      <c r="C459" s="829"/>
      <c r="D459" s="832"/>
      <c r="E459" s="844" t="s">
        <v>386</v>
      </c>
      <c r="F459" s="435"/>
      <c r="G459" s="829"/>
      <c r="H459" s="832"/>
      <c r="I459" s="833"/>
    </row>
    <row r="460" spans="2:9">
      <c r="B460" s="435">
        <v>4</v>
      </c>
      <c r="C460" s="829">
        <v>1</v>
      </c>
      <c r="D460" s="832"/>
      <c r="E460" s="833"/>
      <c r="F460" s="435"/>
      <c r="G460" s="829"/>
      <c r="H460" s="832"/>
      <c r="I460" s="833"/>
    </row>
    <row r="461" spans="2:9">
      <c r="B461" s="839"/>
      <c r="C461" s="839"/>
      <c r="D461" s="838">
        <f>C460*B460</f>
        <v>4</v>
      </c>
      <c r="E461" s="845" t="s">
        <v>2168</v>
      </c>
      <c r="F461" s="435"/>
      <c r="G461" s="829"/>
      <c r="H461" s="832"/>
      <c r="I461" s="833"/>
    </row>
    <row r="462" spans="2:9">
      <c r="B462" s="435"/>
      <c r="C462" s="829"/>
      <c r="D462" s="832"/>
      <c r="E462" s="833"/>
      <c r="F462" s="435"/>
      <c r="G462" s="829"/>
      <c r="H462" s="832"/>
      <c r="I462" s="833"/>
    </row>
    <row r="463" spans="2:9">
      <c r="B463" s="435"/>
      <c r="C463" s="829"/>
      <c r="D463" s="832"/>
      <c r="E463" s="844" t="s">
        <v>287</v>
      </c>
      <c r="F463" s="435"/>
      <c r="G463" s="829"/>
      <c r="H463" s="832"/>
      <c r="I463" s="833"/>
    </row>
    <row r="464" spans="2:9">
      <c r="B464" s="435"/>
      <c r="C464" s="829"/>
      <c r="D464" s="832"/>
      <c r="E464" s="844" t="s">
        <v>288</v>
      </c>
      <c r="F464" s="435"/>
      <c r="G464" s="829"/>
      <c r="H464" s="832"/>
      <c r="I464" s="833"/>
    </row>
    <row r="465" spans="2:9">
      <c r="B465" s="435">
        <v>29</v>
      </c>
      <c r="C465" s="829">
        <v>1</v>
      </c>
      <c r="D465" s="832"/>
      <c r="E465" s="833"/>
      <c r="F465" s="435"/>
      <c r="G465" s="829"/>
      <c r="H465" s="832"/>
      <c r="I465" s="833"/>
    </row>
    <row r="466" spans="2:9">
      <c r="B466" s="839"/>
      <c r="C466" s="839"/>
      <c r="D466" s="838">
        <f>C465*B465</f>
        <v>29</v>
      </c>
      <c r="E466" s="845" t="s">
        <v>2169</v>
      </c>
      <c r="F466" s="435"/>
      <c r="G466" s="829"/>
      <c r="H466" s="832"/>
      <c r="I466" s="833"/>
    </row>
    <row r="467" spans="2:9">
      <c r="B467" s="435"/>
      <c r="C467" s="829"/>
      <c r="D467" s="832"/>
      <c r="E467" s="833"/>
      <c r="F467" s="435"/>
      <c r="G467" s="829"/>
      <c r="H467" s="832"/>
      <c r="I467" s="833"/>
    </row>
    <row r="468" spans="2:9">
      <c r="B468" s="435"/>
      <c r="C468" s="829"/>
      <c r="D468" s="832"/>
      <c r="E468" s="833" t="s">
        <v>390</v>
      </c>
      <c r="F468" s="435"/>
      <c r="G468" s="829"/>
      <c r="H468" s="832"/>
      <c r="I468" s="833"/>
    </row>
    <row r="469" spans="2:9">
      <c r="B469" s="435"/>
      <c r="C469" s="829"/>
      <c r="D469" s="832"/>
      <c r="E469" s="833" t="s">
        <v>391</v>
      </c>
      <c r="F469" s="435"/>
      <c r="G469" s="829"/>
      <c r="H469" s="832"/>
      <c r="I469" s="833"/>
    </row>
    <row r="470" spans="2:9">
      <c r="B470" s="435">
        <v>29</v>
      </c>
      <c r="C470" s="829">
        <v>1</v>
      </c>
      <c r="D470" s="832"/>
      <c r="E470" s="833"/>
      <c r="F470" s="435"/>
      <c r="G470" s="829"/>
      <c r="H470" s="832"/>
      <c r="I470" s="833"/>
    </row>
    <row r="471" spans="2:9">
      <c r="B471" s="839"/>
      <c r="C471" s="839"/>
      <c r="D471" s="838">
        <f>C470*B470</f>
        <v>29</v>
      </c>
      <c r="E471" s="845" t="s">
        <v>2170</v>
      </c>
      <c r="F471" s="435"/>
      <c r="G471" s="829"/>
      <c r="H471" s="832"/>
      <c r="I471" s="833"/>
    </row>
    <row r="472" spans="2:9">
      <c r="B472" s="435"/>
      <c r="C472" s="829"/>
      <c r="D472" s="832"/>
      <c r="E472" s="833"/>
      <c r="F472" s="435"/>
      <c r="G472" s="829"/>
      <c r="H472" s="832"/>
      <c r="I472" s="833"/>
    </row>
    <row r="473" spans="2:9">
      <c r="B473" s="435"/>
      <c r="C473" s="829"/>
      <c r="D473" s="832"/>
      <c r="E473" s="844" t="s">
        <v>392</v>
      </c>
      <c r="F473" s="435"/>
      <c r="G473" s="829"/>
      <c r="H473" s="832"/>
      <c r="I473" s="833"/>
    </row>
    <row r="474" spans="2:9">
      <c r="B474" s="435"/>
      <c r="C474" s="829"/>
      <c r="D474" s="832"/>
      <c r="E474" s="844" t="s">
        <v>393</v>
      </c>
      <c r="F474" s="435"/>
      <c r="G474" s="829"/>
      <c r="H474" s="832"/>
      <c r="I474" s="833"/>
    </row>
    <row r="475" spans="2:9">
      <c r="B475" s="435">
        <v>9</v>
      </c>
      <c r="C475" s="829">
        <v>1</v>
      </c>
      <c r="D475" s="832"/>
      <c r="E475" s="844" t="s">
        <v>394</v>
      </c>
      <c r="F475" s="435"/>
      <c r="G475" s="829"/>
      <c r="H475" s="832"/>
      <c r="I475" s="833"/>
    </row>
    <row r="476" spans="2:9">
      <c r="B476" s="839"/>
      <c r="C476" s="839"/>
      <c r="D476" s="838">
        <f>C475*B475</f>
        <v>9</v>
      </c>
      <c r="E476" s="845" t="s">
        <v>2171</v>
      </c>
      <c r="F476" s="435"/>
      <c r="G476" s="829"/>
      <c r="H476" s="832"/>
      <c r="I476" s="833"/>
    </row>
    <row r="477" spans="2:9">
      <c r="B477" s="109"/>
      <c r="C477" s="850"/>
      <c r="D477" s="851"/>
      <c r="E477" s="852"/>
      <c r="F477" s="109"/>
      <c r="G477" s="850"/>
      <c r="H477" s="851"/>
      <c r="I477" s="852"/>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7" manualBreakCount="7">
    <brk id="64" max="9" man="1"/>
    <brk id="123" max="16383" man="1"/>
    <brk id="183" max="16383" man="1"/>
    <brk id="242" max="16383" man="1"/>
    <brk id="301" max="16383" man="1"/>
    <brk id="360" max="9" man="1"/>
    <brk id="419" max="9"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1:N124"/>
  <sheetViews>
    <sheetView view="pageBreakPreview" zoomScaleSheetLayoutView="100" workbookViewId="0">
      <selection sqref="A1:XFD1048576"/>
    </sheetView>
  </sheetViews>
  <sheetFormatPr defaultRowHeight="15.75"/>
  <cols>
    <col min="1" max="1" width="4.7109375" style="104" customWidth="1"/>
    <col min="2" max="2" width="8" style="104" customWidth="1"/>
    <col min="3" max="3" width="28.5703125" style="104" customWidth="1"/>
    <col min="4" max="4" width="17.7109375" style="104" customWidth="1"/>
    <col min="5" max="5" width="6.7109375" style="104" customWidth="1"/>
    <col min="6" max="6" width="9.28515625" style="104" customWidth="1"/>
    <col min="7" max="7" width="7.42578125" style="104" customWidth="1"/>
    <col min="8" max="8" width="8.140625" style="104" customWidth="1"/>
    <col min="9" max="9" width="9.7109375" style="104" customWidth="1"/>
    <col min="10" max="10" width="9" style="104" customWidth="1"/>
    <col min="11" max="11" width="11.5703125" style="104" customWidth="1"/>
    <col min="12" max="12" width="10.28515625" style="104" customWidth="1"/>
    <col min="13" max="13" width="12.28515625" style="104" customWidth="1"/>
    <col min="14" max="14" width="15.42578125" style="104" customWidth="1"/>
    <col min="15" max="15" width="4" style="104" customWidth="1"/>
    <col min="16" max="16384" width="9.140625" style="104"/>
  </cols>
  <sheetData>
    <row r="1" spans="2:14">
      <c r="B1" s="2234" t="s">
        <v>1257</v>
      </c>
      <c r="C1" s="2234"/>
      <c r="D1" s="2234"/>
      <c r="E1" s="2234"/>
      <c r="F1" s="2234"/>
      <c r="G1" s="2234"/>
      <c r="L1" s="2221" t="s">
        <v>1206</v>
      </c>
      <c r="M1" s="2221"/>
      <c r="N1" s="2221"/>
    </row>
    <row r="2" spans="2:14">
      <c r="B2" s="105" t="s">
        <v>1208</v>
      </c>
      <c r="C2" s="105"/>
      <c r="D2" s="105"/>
      <c r="E2" s="105"/>
      <c r="F2" s="105"/>
      <c r="G2" s="105"/>
      <c r="L2" s="2221" t="s">
        <v>1265</v>
      </c>
      <c r="M2" s="2221"/>
      <c r="N2" s="2221"/>
    </row>
    <row r="3" spans="2:14">
      <c r="B3" s="105" t="s">
        <v>1258</v>
      </c>
      <c r="C3" s="105"/>
      <c r="D3" s="105"/>
      <c r="E3" s="105"/>
      <c r="F3" s="105"/>
      <c r="G3" s="105"/>
      <c r="L3" s="2235" t="s">
        <v>1790</v>
      </c>
      <c r="M3" s="2235"/>
      <c r="N3" s="2235"/>
    </row>
    <row r="4" spans="2:14" ht="16.5" thickBot="1">
      <c r="B4" s="105" t="s">
        <v>1209</v>
      </c>
      <c r="C4" s="105"/>
      <c r="D4" s="105"/>
      <c r="E4" s="105"/>
      <c r="F4" s="105"/>
      <c r="G4" s="105"/>
      <c r="J4" s="121"/>
      <c r="K4" s="121"/>
      <c r="L4" s="121"/>
      <c r="M4" s="121"/>
      <c r="N4" s="573"/>
    </row>
    <row r="5" spans="2:14" ht="17.25" thickTop="1" thickBot="1">
      <c r="B5" s="2240" t="s">
        <v>292</v>
      </c>
      <c r="C5" s="2241"/>
      <c r="D5" s="2241"/>
      <c r="E5" s="2241"/>
      <c r="F5" s="2241"/>
      <c r="G5" s="2241"/>
      <c r="H5" s="2241"/>
      <c r="I5" s="2241"/>
      <c r="J5" s="2241"/>
      <c r="K5" s="2241"/>
      <c r="L5" s="2241"/>
      <c r="M5" s="2241"/>
      <c r="N5" s="2242"/>
    </row>
    <row r="6" spans="2:14" ht="16.5" thickTop="1">
      <c r="B6" s="2243" t="s">
        <v>4</v>
      </c>
      <c r="C6" s="2245" t="s">
        <v>293</v>
      </c>
      <c r="D6" s="2245" t="s">
        <v>309</v>
      </c>
      <c r="E6" s="2236" t="s">
        <v>294</v>
      </c>
      <c r="F6" s="2236" t="s">
        <v>295</v>
      </c>
      <c r="G6" s="2254" t="s">
        <v>296</v>
      </c>
      <c r="H6" s="2254" t="s">
        <v>1911</v>
      </c>
      <c r="I6" s="2254" t="s">
        <v>1912</v>
      </c>
      <c r="J6" s="2256" t="s">
        <v>1820</v>
      </c>
      <c r="K6" s="2257"/>
      <c r="L6" s="2257"/>
      <c r="M6" s="2257"/>
      <c r="N6" s="2258"/>
    </row>
    <row r="7" spans="2:14" ht="16.5" thickBot="1">
      <c r="B7" s="2244"/>
      <c r="C7" s="2246"/>
      <c r="D7" s="2246"/>
      <c r="E7" s="2237"/>
      <c r="F7" s="2237" t="s">
        <v>295</v>
      </c>
      <c r="G7" s="2255" t="s">
        <v>1066</v>
      </c>
      <c r="H7" s="2255"/>
      <c r="I7" s="2255"/>
      <c r="J7" s="1666">
        <v>6</v>
      </c>
      <c r="K7" s="1666">
        <v>8</v>
      </c>
      <c r="L7" s="1666">
        <v>10</v>
      </c>
      <c r="M7" s="1666">
        <v>12</v>
      </c>
      <c r="N7" s="774">
        <v>14</v>
      </c>
    </row>
    <row r="8" spans="2:14" ht="16.5" thickTop="1">
      <c r="B8" s="137"/>
      <c r="C8" s="445" t="s">
        <v>1</v>
      </c>
      <c r="D8" s="110" t="s">
        <v>1067</v>
      </c>
      <c r="E8" s="110">
        <v>14</v>
      </c>
      <c r="F8" s="111">
        <v>11.75</v>
      </c>
      <c r="G8" s="110">
        <v>3</v>
      </c>
      <c r="H8" s="775">
        <v>3</v>
      </c>
      <c r="I8" s="113">
        <f>H11*G8</f>
        <v>9</v>
      </c>
      <c r="J8" s="113" t="str">
        <f t="shared" ref="J8:J16" si="0">IF(E8=6,F8*I8,"-")</f>
        <v>-</v>
      </c>
      <c r="K8" s="113" t="str">
        <f t="shared" ref="K8:K16" si="1">IF(E8=8,I8*F8,"-")</f>
        <v>-</v>
      </c>
      <c r="L8" s="113" t="str">
        <f t="shared" ref="L8:L16" si="2">IF(E8=10,F8*I8,"-")</f>
        <v>-</v>
      </c>
      <c r="M8" s="113" t="str">
        <f t="shared" ref="M8:M16" si="3">IF(E8=12,F8*I8,"-")</f>
        <v>-</v>
      </c>
      <c r="N8" s="370">
        <f>IF(E8=14,F8*I8,"-")</f>
        <v>105.75</v>
      </c>
    </row>
    <row r="9" spans="2:14">
      <c r="B9" s="137"/>
      <c r="C9" s="446"/>
      <c r="D9" s="110"/>
      <c r="E9" s="110">
        <v>14</v>
      </c>
      <c r="F9" s="111">
        <v>11.55</v>
      </c>
      <c r="G9" s="110">
        <v>3</v>
      </c>
      <c r="H9" s="110">
        <v>3</v>
      </c>
      <c r="I9" s="113">
        <f t="shared" ref="I9:I16" si="4">H9*G9</f>
        <v>9</v>
      </c>
      <c r="J9" s="113" t="str">
        <f t="shared" si="0"/>
        <v>-</v>
      </c>
      <c r="K9" s="113" t="str">
        <f t="shared" si="1"/>
        <v>-</v>
      </c>
      <c r="L9" s="113" t="str">
        <f t="shared" si="2"/>
        <v>-</v>
      </c>
      <c r="M9" s="113" t="str">
        <f t="shared" si="3"/>
        <v>-</v>
      </c>
      <c r="N9" s="370">
        <f t="shared" ref="N9:N16" si="5">IF(E9=14,F9*I9,"-")</f>
        <v>103.95</v>
      </c>
    </row>
    <row r="10" spans="2:14">
      <c r="B10" s="137"/>
      <c r="C10" s="446"/>
      <c r="D10" s="110"/>
      <c r="E10" s="110">
        <v>14</v>
      </c>
      <c r="F10" s="111">
        <v>11.65</v>
      </c>
      <c r="G10" s="110">
        <v>3</v>
      </c>
      <c r="H10" s="110">
        <v>3</v>
      </c>
      <c r="I10" s="113">
        <f t="shared" si="4"/>
        <v>9</v>
      </c>
      <c r="J10" s="113" t="str">
        <f t="shared" si="0"/>
        <v>-</v>
      </c>
      <c r="K10" s="113" t="str">
        <f t="shared" si="1"/>
        <v>-</v>
      </c>
      <c r="L10" s="113" t="str">
        <f t="shared" si="2"/>
        <v>-</v>
      </c>
      <c r="M10" s="113" t="str">
        <f t="shared" si="3"/>
        <v>-</v>
      </c>
      <c r="N10" s="370">
        <f t="shared" si="5"/>
        <v>104.85000000000001</v>
      </c>
    </row>
    <row r="11" spans="2:14">
      <c r="B11" s="137"/>
      <c r="C11" s="446"/>
      <c r="D11" s="110"/>
      <c r="E11" s="110">
        <v>14</v>
      </c>
      <c r="F11" s="111">
        <v>11.2</v>
      </c>
      <c r="G11" s="110">
        <v>3</v>
      </c>
      <c r="H11" s="110">
        <v>3</v>
      </c>
      <c r="I11" s="113">
        <f t="shared" si="4"/>
        <v>9</v>
      </c>
      <c r="J11" s="113" t="str">
        <f t="shared" si="0"/>
        <v>-</v>
      </c>
      <c r="K11" s="113" t="str">
        <f t="shared" si="1"/>
        <v>-</v>
      </c>
      <c r="L11" s="113" t="str">
        <f t="shared" si="2"/>
        <v>-</v>
      </c>
      <c r="M11" s="113" t="str">
        <f t="shared" si="3"/>
        <v>-</v>
      </c>
      <c r="N11" s="370">
        <f t="shared" si="5"/>
        <v>100.8</v>
      </c>
    </row>
    <row r="12" spans="2:14">
      <c r="B12" s="137"/>
      <c r="C12" s="446"/>
      <c r="D12" s="110" t="s">
        <v>395</v>
      </c>
      <c r="E12" s="110">
        <v>8</v>
      </c>
      <c r="F12" s="111">
        <v>1.2</v>
      </c>
      <c r="G12" s="110">
        <v>111</v>
      </c>
      <c r="H12" s="110">
        <v>3</v>
      </c>
      <c r="I12" s="113">
        <f t="shared" si="4"/>
        <v>333</v>
      </c>
      <c r="J12" s="113" t="str">
        <f t="shared" si="0"/>
        <v>-</v>
      </c>
      <c r="K12" s="113">
        <f t="shared" si="1"/>
        <v>399.59999999999997</v>
      </c>
      <c r="L12" s="113" t="str">
        <f t="shared" si="2"/>
        <v>-</v>
      </c>
      <c r="M12" s="113" t="str">
        <f t="shared" si="3"/>
        <v>-</v>
      </c>
      <c r="N12" s="370" t="str">
        <f t="shared" si="5"/>
        <v>-</v>
      </c>
    </row>
    <row r="13" spans="2:14">
      <c r="B13" s="137"/>
      <c r="C13" s="446"/>
      <c r="D13" s="110" t="s">
        <v>1068</v>
      </c>
      <c r="E13" s="110">
        <v>14</v>
      </c>
      <c r="F13" s="111">
        <v>6.78</v>
      </c>
      <c r="G13" s="110">
        <v>6</v>
      </c>
      <c r="H13" s="110">
        <v>3</v>
      </c>
      <c r="I13" s="113">
        <f t="shared" si="4"/>
        <v>18</v>
      </c>
      <c r="J13" s="113" t="str">
        <f t="shared" si="0"/>
        <v>-</v>
      </c>
      <c r="K13" s="113" t="str">
        <f t="shared" si="1"/>
        <v>-</v>
      </c>
      <c r="L13" s="113" t="str">
        <f t="shared" si="2"/>
        <v>-</v>
      </c>
      <c r="M13" s="113" t="str">
        <f t="shared" si="3"/>
        <v>-</v>
      </c>
      <c r="N13" s="370">
        <f t="shared" si="5"/>
        <v>122.04</v>
      </c>
    </row>
    <row r="14" spans="2:14">
      <c r="B14" s="137"/>
      <c r="C14" s="446"/>
      <c r="D14" s="110"/>
      <c r="E14" s="110">
        <v>14</v>
      </c>
      <c r="F14" s="111">
        <v>7.05</v>
      </c>
      <c r="G14" s="110">
        <v>6</v>
      </c>
      <c r="H14" s="110">
        <v>3</v>
      </c>
      <c r="I14" s="113">
        <f t="shared" si="4"/>
        <v>18</v>
      </c>
      <c r="J14" s="113" t="str">
        <f t="shared" si="0"/>
        <v>-</v>
      </c>
      <c r="K14" s="113" t="str">
        <f t="shared" si="1"/>
        <v>-</v>
      </c>
      <c r="L14" s="113" t="str">
        <f t="shared" si="2"/>
        <v>-</v>
      </c>
      <c r="M14" s="113" t="str">
        <f t="shared" si="3"/>
        <v>-</v>
      </c>
      <c r="N14" s="370">
        <f t="shared" si="5"/>
        <v>126.89999999999999</v>
      </c>
    </row>
    <row r="15" spans="2:14">
      <c r="B15" s="137"/>
      <c r="C15" s="446"/>
      <c r="D15" s="110"/>
      <c r="E15" s="110">
        <v>14</v>
      </c>
      <c r="F15" s="111">
        <v>11.5</v>
      </c>
      <c r="G15" s="110">
        <v>6</v>
      </c>
      <c r="H15" s="110">
        <v>3</v>
      </c>
      <c r="I15" s="113">
        <f t="shared" si="4"/>
        <v>18</v>
      </c>
      <c r="J15" s="113" t="str">
        <f t="shared" si="0"/>
        <v>-</v>
      </c>
      <c r="K15" s="113" t="str">
        <f t="shared" si="1"/>
        <v>-</v>
      </c>
      <c r="L15" s="113" t="str">
        <f t="shared" si="2"/>
        <v>-</v>
      </c>
      <c r="M15" s="113" t="str">
        <f t="shared" si="3"/>
        <v>-</v>
      </c>
      <c r="N15" s="370">
        <f t="shared" si="5"/>
        <v>207</v>
      </c>
    </row>
    <row r="16" spans="2:14">
      <c r="B16" s="137"/>
      <c r="C16" s="446"/>
      <c r="D16" s="110" t="s">
        <v>395</v>
      </c>
      <c r="E16" s="110">
        <v>8</v>
      </c>
      <c r="F16" s="111">
        <v>1.2</v>
      </c>
      <c r="G16" s="110">
        <v>63</v>
      </c>
      <c r="H16" s="110">
        <v>6</v>
      </c>
      <c r="I16" s="113">
        <f t="shared" si="4"/>
        <v>378</v>
      </c>
      <c r="J16" s="113" t="str">
        <f t="shared" si="0"/>
        <v>-</v>
      </c>
      <c r="K16" s="113">
        <f t="shared" si="1"/>
        <v>453.59999999999997</v>
      </c>
      <c r="L16" s="113" t="str">
        <f t="shared" si="2"/>
        <v>-</v>
      </c>
      <c r="M16" s="113" t="str">
        <f t="shared" si="3"/>
        <v>-</v>
      </c>
      <c r="N16" s="370" t="str">
        <f t="shared" si="5"/>
        <v>-</v>
      </c>
    </row>
    <row r="17" spans="2:14">
      <c r="B17" s="137"/>
      <c r="C17" s="447"/>
      <c r="D17" s="110"/>
      <c r="E17" s="110"/>
      <c r="F17" s="111"/>
      <c r="G17" s="110"/>
      <c r="H17" s="110"/>
      <c r="I17" s="113"/>
      <c r="J17" s="113"/>
      <c r="K17" s="113"/>
      <c r="L17" s="113"/>
      <c r="M17" s="113"/>
      <c r="N17" s="370"/>
    </row>
    <row r="18" spans="2:14">
      <c r="B18" s="137"/>
      <c r="C18" s="446"/>
      <c r="D18" s="110"/>
      <c r="E18" s="110"/>
      <c r="F18" s="111"/>
      <c r="G18" s="110"/>
      <c r="H18" s="110"/>
      <c r="I18" s="113"/>
      <c r="J18" s="113"/>
      <c r="K18" s="113"/>
      <c r="L18" s="113"/>
      <c r="M18" s="113"/>
      <c r="N18" s="370"/>
    </row>
    <row r="19" spans="2:14">
      <c r="B19" s="137"/>
      <c r="C19" s="446"/>
      <c r="D19" s="110"/>
      <c r="E19" s="110"/>
      <c r="F19" s="111"/>
      <c r="G19" s="110"/>
      <c r="H19" s="110"/>
      <c r="I19" s="113"/>
      <c r="J19" s="113"/>
      <c r="K19" s="113"/>
      <c r="L19" s="113"/>
      <c r="M19" s="113"/>
      <c r="N19" s="370"/>
    </row>
    <row r="20" spans="2:14">
      <c r="B20" s="137"/>
      <c r="C20" s="446"/>
      <c r="D20" s="110"/>
      <c r="E20" s="110"/>
      <c r="F20" s="111"/>
      <c r="G20" s="110"/>
      <c r="H20" s="110"/>
      <c r="I20" s="113"/>
      <c r="J20" s="113"/>
      <c r="K20" s="113"/>
      <c r="L20" s="113"/>
      <c r="M20" s="113"/>
      <c r="N20" s="370"/>
    </row>
    <row r="21" spans="2:14">
      <c r="B21" s="137"/>
      <c r="C21" s="446"/>
      <c r="D21" s="110"/>
      <c r="E21" s="110"/>
      <c r="F21" s="111"/>
      <c r="G21" s="110"/>
      <c r="H21" s="110"/>
      <c r="I21" s="113"/>
      <c r="J21" s="113"/>
      <c r="K21" s="113"/>
      <c r="L21" s="113"/>
      <c r="M21" s="113"/>
      <c r="N21" s="370"/>
    </row>
    <row r="22" spans="2:14">
      <c r="B22" s="137"/>
      <c r="C22" s="446"/>
      <c r="D22" s="110"/>
      <c r="E22" s="110"/>
      <c r="F22" s="111"/>
      <c r="G22" s="110"/>
      <c r="H22" s="110"/>
      <c r="I22" s="113"/>
      <c r="J22" s="113"/>
      <c r="K22" s="113"/>
      <c r="L22" s="113"/>
      <c r="M22" s="113"/>
      <c r="N22" s="370"/>
    </row>
    <row r="23" spans="2:14">
      <c r="B23" s="137"/>
      <c r="C23" s="776"/>
      <c r="D23" s="776"/>
      <c r="E23" s="776"/>
      <c r="F23" s="776"/>
      <c r="G23" s="777"/>
      <c r="H23" s="110"/>
      <c r="I23" s="110"/>
      <c r="J23" s="113"/>
      <c r="K23" s="113"/>
      <c r="L23" s="113"/>
      <c r="M23" s="113"/>
      <c r="N23" s="370"/>
    </row>
    <row r="24" spans="2:14">
      <c r="B24" s="137"/>
      <c r="C24" s="448"/>
      <c r="D24" s="1655"/>
      <c r="E24" s="1655"/>
      <c r="F24" s="119"/>
      <c r="G24" s="1655"/>
      <c r="H24" s="1655"/>
      <c r="I24" s="119"/>
      <c r="J24" s="113"/>
      <c r="K24" s="113"/>
      <c r="L24" s="113"/>
      <c r="M24" s="113"/>
      <c r="N24" s="370"/>
    </row>
    <row r="25" spans="2:14">
      <c r="B25" s="137"/>
      <c r="C25" s="448"/>
      <c r="D25" s="1655"/>
      <c r="E25" s="1655"/>
      <c r="F25" s="119"/>
      <c r="G25" s="1655"/>
      <c r="H25" s="1655"/>
      <c r="I25" s="119"/>
      <c r="J25" s="113"/>
      <c r="K25" s="113"/>
      <c r="L25" s="113"/>
      <c r="M25" s="113"/>
      <c r="N25" s="370"/>
    </row>
    <row r="26" spans="2:14">
      <c r="B26" s="137"/>
      <c r="C26" s="448"/>
      <c r="D26" s="1655"/>
      <c r="E26" s="1655"/>
      <c r="F26" s="119"/>
      <c r="G26" s="1655"/>
      <c r="H26" s="1655"/>
      <c r="I26" s="119"/>
      <c r="J26" s="113"/>
      <c r="K26" s="113"/>
      <c r="L26" s="113"/>
      <c r="M26" s="113"/>
      <c r="N26" s="370"/>
    </row>
    <row r="27" spans="2:14" ht="16.5" thickBot="1">
      <c r="B27" s="138"/>
      <c r="C27" s="449"/>
      <c r="D27" s="145"/>
      <c r="E27" s="145"/>
      <c r="F27" s="356"/>
      <c r="G27" s="145"/>
      <c r="H27" s="145"/>
      <c r="I27" s="356"/>
      <c r="J27" s="356"/>
      <c r="K27" s="356"/>
      <c r="L27" s="356"/>
      <c r="M27" s="356"/>
      <c r="N27" s="357"/>
    </row>
    <row r="28" spans="2:14" ht="16.5" thickTop="1">
      <c r="B28" s="778"/>
      <c r="C28" s="779"/>
      <c r="D28" s="779"/>
      <c r="E28" s="779"/>
      <c r="F28" s="2252" t="s">
        <v>301</v>
      </c>
      <c r="G28" s="2252"/>
      <c r="H28" s="2252"/>
      <c r="I28" s="2253"/>
      <c r="J28" s="780">
        <f>SUM(J8:J27)</f>
        <v>0</v>
      </c>
      <c r="K28" s="350">
        <f>SUM(K8:K27)</f>
        <v>853.19999999999993</v>
      </c>
      <c r="L28" s="350">
        <f>SUM(L8:L27)</f>
        <v>0</v>
      </c>
      <c r="M28" s="350">
        <f>SUM(M8:M27)</f>
        <v>0</v>
      </c>
      <c r="N28" s="351">
        <f>SUM(N8:N27)</f>
        <v>871.29</v>
      </c>
    </row>
    <row r="29" spans="2:14">
      <c r="B29" s="781"/>
      <c r="C29" s="155"/>
      <c r="D29" s="149"/>
      <c r="E29" s="149"/>
      <c r="F29" s="149" t="s">
        <v>302</v>
      </c>
      <c r="G29" s="149"/>
      <c r="H29" s="149"/>
      <c r="I29" s="782"/>
      <c r="J29" s="140">
        <v>0.222</v>
      </c>
      <c r="K29" s="783">
        <v>0.39500000000000002</v>
      </c>
      <c r="L29" s="1655">
        <v>0.61699999999999999</v>
      </c>
      <c r="M29" s="783">
        <v>0.88800000000000001</v>
      </c>
      <c r="N29" s="372">
        <v>1.21</v>
      </c>
    </row>
    <row r="30" spans="2:14" ht="16.5" thickBot="1">
      <c r="B30" s="784"/>
      <c r="C30" s="156"/>
      <c r="D30" s="151"/>
      <c r="E30" s="151"/>
      <c r="F30" s="151" t="s">
        <v>307</v>
      </c>
      <c r="G30" s="151"/>
      <c r="H30" s="151"/>
      <c r="I30" s="785"/>
      <c r="J30" s="786">
        <f>J28*J29</f>
        <v>0</v>
      </c>
      <c r="K30" s="787">
        <f>K28*K29</f>
        <v>337.01400000000001</v>
      </c>
      <c r="L30" s="787">
        <f>L28*L29</f>
        <v>0</v>
      </c>
      <c r="M30" s="787">
        <f>M28*M29</f>
        <v>0</v>
      </c>
      <c r="N30" s="788">
        <f>N28*N29</f>
        <v>1054.2609</v>
      </c>
    </row>
    <row r="31" spans="2:14" ht="16.5" thickTop="1">
      <c r="B31" s="2243" t="s">
        <v>4</v>
      </c>
      <c r="C31" s="2245" t="s">
        <v>293</v>
      </c>
      <c r="D31" s="2245" t="s">
        <v>309</v>
      </c>
      <c r="E31" s="2236" t="s">
        <v>294</v>
      </c>
      <c r="F31" s="2236" t="s">
        <v>295</v>
      </c>
      <c r="G31" s="2236" t="s">
        <v>296</v>
      </c>
      <c r="H31" s="2236" t="s">
        <v>297</v>
      </c>
      <c r="I31" s="2236" t="s">
        <v>298</v>
      </c>
      <c r="J31" s="2238" t="s">
        <v>1065</v>
      </c>
      <c r="K31" s="2238"/>
      <c r="L31" s="2238"/>
      <c r="M31" s="2238"/>
      <c r="N31" s="2239"/>
    </row>
    <row r="32" spans="2:14" ht="16.5" thickBot="1">
      <c r="B32" s="2244"/>
      <c r="C32" s="2246"/>
      <c r="D32" s="2246"/>
      <c r="E32" s="2237"/>
      <c r="F32" s="2237" t="s">
        <v>295</v>
      </c>
      <c r="G32" s="2237" t="s">
        <v>1066</v>
      </c>
      <c r="H32" s="2237"/>
      <c r="I32" s="2237"/>
      <c r="J32" s="1666">
        <v>6</v>
      </c>
      <c r="K32" s="1666">
        <v>8</v>
      </c>
      <c r="L32" s="1666">
        <v>10</v>
      </c>
      <c r="M32" s="1666">
        <v>12</v>
      </c>
      <c r="N32" s="774">
        <v>14</v>
      </c>
    </row>
    <row r="33" spans="2:14" ht="16.5" thickTop="1">
      <c r="B33" s="130"/>
      <c r="C33" s="450" t="s">
        <v>945</v>
      </c>
      <c r="D33" s="375"/>
      <c r="E33" s="131"/>
      <c r="F33" s="132"/>
      <c r="G33" s="131"/>
      <c r="H33" s="349"/>
      <c r="I33" s="131"/>
      <c r="J33" s="350"/>
      <c r="K33" s="350"/>
      <c r="L33" s="350" t="str">
        <f>IF(E33=10,I33*#REF!,"-")</f>
        <v>-</v>
      </c>
      <c r="M33" s="350" t="str">
        <f>IF(E33=12,I33*#REF!,"-")</f>
        <v>-</v>
      </c>
      <c r="N33" s="351" t="str">
        <f>IF(E33=14,I33*#REF!,"-")</f>
        <v>-</v>
      </c>
    </row>
    <row r="34" spans="2:14">
      <c r="B34" s="133">
        <v>1</v>
      </c>
      <c r="C34" s="451" t="s">
        <v>322</v>
      </c>
      <c r="D34" s="142"/>
      <c r="E34" s="1655">
        <v>8</v>
      </c>
      <c r="F34" s="135">
        <v>4.0199999999999996</v>
      </c>
      <c r="G34" s="1655">
        <v>1</v>
      </c>
      <c r="H34" s="353">
        <v>29</v>
      </c>
      <c r="I34" s="1655">
        <f>H34*G34</f>
        <v>29</v>
      </c>
      <c r="J34" s="119" t="str">
        <f>IF(E34=6,I34*#REF!,"-")</f>
        <v>-</v>
      </c>
      <c r="K34" s="119">
        <f t="shared" ref="K34:K53" si="6">IF(E34=8,I34*F34,"-")</f>
        <v>116.57999999999998</v>
      </c>
      <c r="L34" s="119" t="str">
        <f t="shared" ref="L34:L39" si="7">IF(E43=10,I43*F43,"-")</f>
        <v>-</v>
      </c>
      <c r="M34" s="119" t="str">
        <f t="shared" ref="M34:M39" si="8">IF(E43=12,I43*F43,"-")</f>
        <v>-</v>
      </c>
      <c r="N34" s="354" t="str">
        <f t="shared" ref="N34:N43" si="9">IF(E43=14,I43*F43,"-")</f>
        <v>-</v>
      </c>
    </row>
    <row r="35" spans="2:14">
      <c r="B35" s="133"/>
      <c r="C35" s="451"/>
      <c r="D35" s="114"/>
      <c r="E35" s="1655">
        <v>8</v>
      </c>
      <c r="F35" s="135">
        <v>5.67</v>
      </c>
      <c r="G35" s="135">
        <v>1</v>
      </c>
      <c r="H35" s="135">
        <v>21</v>
      </c>
      <c r="I35" s="135">
        <f t="shared" ref="I35:I53" si="10">H35*G35</f>
        <v>21</v>
      </c>
      <c r="J35" s="136"/>
      <c r="K35" s="119">
        <f t="shared" si="6"/>
        <v>119.07</v>
      </c>
      <c r="L35" s="119" t="str">
        <f t="shared" si="7"/>
        <v>-</v>
      </c>
      <c r="M35" s="119" t="str">
        <f t="shared" si="8"/>
        <v>-</v>
      </c>
      <c r="N35" s="354" t="str">
        <f t="shared" si="9"/>
        <v>-</v>
      </c>
    </row>
    <row r="36" spans="2:14">
      <c r="B36" s="133"/>
      <c r="C36" s="451" t="s">
        <v>323</v>
      </c>
      <c r="D36" s="114"/>
      <c r="E36" s="1655">
        <v>8</v>
      </c>
      <c r="F36" s="135">
        <v>4.0199999999999996</v>
      </c>
      <c r="G36" s="135">
        <v>1</v>
      </c>
      <c r="H36" s="135">
        <v>29</v>
      </c>
      <c r="I36" s="135">
        <f t="shared" si="10"/>
        <v>29</v>
      </c>
      <c r="J36" s="136"/>
      <c r="K36" s="119">
        <f t="shared" si="6"/>
        <v>116.57999999999998</v>
      </c>
      <c r="L36" s="119" t="str">
        <f t="shared" si="7"/>
        <v>-</v>
      </c>
      <c r="M36" s="119" t="str">
        <f t="shared" si="8"/>
        <v>-</v>
      </c>
      <c r="N36" s="354" t="str">
        <f t="shared" si="9"/>
        <v>-</v>
      </c>
    </row>
    <row r="37" spans="2:14">
      <c r="B37" s="133"/>
      <c r="C37" s="451"/>
      <c r="D37" s="114"/>
      <c r="E37" s="1655">
        <v>8</v>
      </c>
      <c r="F37" s="135">
        <v>5.67</v>
      </c>
      <c r="G37" s="135">
        <v>1</v>
      </c>
      <c r="H37" s="135">
        <v>21</v>
      </c>
      <c r="I37" s="135">
        <f t="shared" si="10"/>
        <v>21</v>
      </c>
      <c r="J37" s="136"/>
      <c r="K37" s="119">
        <f t="shared" si="6"/>
        <v>119.07</v>
      </c>
      <c r="L37" s="119" t="str">
        <f t="shared" si="7"/>
        <v>-</v>
      </c>
      <c r="M37" s="119" t="str">
        <f t="shared" si="8"/>
        <v>-</v>
      </c>
      <c r="N37" s="354" t="str">
        <f t="shared" si="9"/>
        <v>-</v>
      </c>
    </row>
    <row r="38" spans="2:14">
      <c r="B38" s="133"/>
      <c r="C38" s="451" t="s">
        <v>324</v>
      </c>
      <c r="D38" s="114"/>
      <c r="E38" s="1655">
        <v>8</v>
      </c>
      <c r="F38" s="135">
        <v>2.37</v>
      </c>
      <c r="G38" s="135">
        <v>1</v>
      </c>
      <c r="H38" s="135">
        <v>29</v>
      </c>
      <c r="I38" s="135">
        <f t="shared" si="10"/>
        <v>29</v>
      </c>
      <c r="J38" s="136"/>
      <c r="K38" s="119">
        <f t="shared" si="6"/>
        <v>68.73</v>
      </c>
      <c r="L38" s="119" t="str">
        <f t="shared" si="7"/>
        <v>-</v>
      </c>
      <c r="M38" s="119" t="str">
        <f t="shared" si="8"/>
        <v>-</v>
      </c>
      <c r="N38" s="354" t="str">
        <f t="shared" si="9"/>
        <v>-</v>
      </c>
    </row>
    <row r="39" spans="2:14">
      <c r="B39" s="133"/>
      <c r="C39" s="451"/>
      <c r="D39" s="114"/>
      <c r="E39" s="1655">
        <v>8</v>
      </c>
      <c r="F39" s="135">
        <v>5.67</v>
      </c>
      <c r="G39" s="135">
        <v>1</v>
      </c>
      <c r="H39" s="135">
        <v>13</v>
      </c>
      <c r="I39" s="135">
        <f t="shared" si="10"/>
        <v>13</v>
      </c>
      <c r="J39" s="136"/>
      <c r="K39" s="119">
        <f t="shared" si="6"/>
        <v>73.709999999999994</v>
      </c>
      <c r="L39" s="119" t="str">
        <f t="shared" si="7"/>
        <v>-</v>
      </c>
      <c r="M39" s="119" t="str">
        <f t="shared" si="8"/>
        <v>-</v>
      </c>
      <c r="N39" s="354" t="str">
        <f t="shared" si="9"/>
        <v>-</v>
      </c>
    </row>
    <row r="40" spans="2:14">
      <c r="B40" s="133"/>
      <c r="C40" s="451" t="s">
        <v>325</v>
      </c>
      <c r="D40" s="114"/>
      <c r="E40" s="1655">
        <v>8</v>
      </c>
      <c r="F40" s="135">
        <v>4.0199999999999996</v>
      </c>
      <c r="G40" s="135">
        <v>1</v>
      </c>
      <c r="H40" s="135">
        <v>29</v>
      </c>
      <c r="I40" s="135">
        <f t="shared" si="10"/>
        <v>29</v>
      </c>
      <c r="J40" s="136"/>
      <c r="K40" s="119">
        <f t="shared" si="6"/>
        <v>116.57999999999998</v>
      </c>
      <c r="L40" s="119"/>
      <c r="M40" s="119"/>
      <c r="N40" s="354" t="str">
        <f t="shared" si="9"/>
        <v>-</v>
      </c>
    </row>
    <row r="41" spans="2:14">
      <c r="B41" s="133"/>
      <c r="C41" s="451"/>
      <c r="D41" s="114"/>
      <c r="E41" s="1655">
        <v>8</v>
      </c>
      <c r="F41" s="135">
        <v>5.67</v>
      </c>
      <c r="G41" s="135">
        <v>1</v>
      </c>
      <c r="H41" s="135">
        <v>21</v>
      </c>
      <c r="I41" s="135">
        <f t="shared" si="10"/>
        <v>21</v>
      </c>
      <c r="J41" s="136"/>
      <c r="K41" s="119">
        <f t="shared" si="6"/>
        <v>119.07</v>
      </c>
      <c r="L41" s="119"/>
      <c r="M41" s="119"/>
      <c r="N41" s="354" t="str">
        <f t="shared" si="9"/>
        <v>-</v>
      </c>
    </row>
    <row r="42" spans="2:14">
      <c r="B42" s="137"/>
      <c r="C42" s="451" t="s">
        <v>326</v>
      </c>
      <c r="D42" s="114"/>
      <c r="E42" s="1655">
        <v>8</v>
      </c>
      <c r="F42" s="135">
        <v>5.67</v>
      </c>
      <c r="G42" s="135">
        <v>1</v>
      </c>
      <c r="H42" s="135">
        <v>29</v>
      </c>
      <c r="I42" s="135">
        <f t="shared" si="10"/>
        <v>29</v>
      </c>
      <c r="J42" s="136"/>
      <c r="K42" s="119">
        <f t="shared" si="6"/>
        <v>164.43</v>
      </c>
      <c r="L42" s="119"/>
      <c r="M42" s="119"/>
      <c r="N42" s="354" t="str">
        <f t="shared" si="9"/>
        <v>-</v>
      </c>
    </row>
    <row r="43" spans="2:14">
      <c r="B43" s="137"/>
      <c r="C43" s="114"/>
      <c r="D43" s="114"/>
      <c r="E43" s="1655">
        <v>8</v>
      </c>
      <c r="F43" s="135">
        <v>5.67</v>
      </c>
      <c r="G43" s="135">
        <v>1</v>
      </c>
      <c r="H43" s="135">
        <v>29</v>
      </c>
      <c r="I43" s="135">
        <f t="shared" si="10"/>
        <v>29</v>
      </c>
      <c r="J43" s="136"/>
      <c r="K43" s="119">
        <f t="shared" si="6"/>
        <v>164.43</v>
      </c>
      <c r="L43" s="119"/>
      <c r="M43" s="119"/>
      <c r="N43" s="354" t="str">
        <f t="shared" si="9"/>
        <v>-</v>
      </c>
    </row>
    <row r="44" spans="2:14">
      <c r="B44" s="137">
        <v>2</v>
      </c>
      <c r="C44" s="451" t="s">
        <v>327</v>
      </c>
      <c r="D44" s="1655"/>
      <c r="E44" s="1655">
        <v>8</v>
      </c>
      <c r="F44" s="352">
        <v>4.0199999999999996</v>
      </c>
      <c r="G44" s="135">
        <v>1</v>
      </c>
      <c r="H44" s="135">
        <v>29</v>
      </c>
      <c r="I44" s="1655">
        <f t="shared" si="10"/>
        <v>29</v>
      </c>
      <c r="J44" s="119" t="str">
        <f t="shared" ref="J44:J49" si="11">IF(E44=6,I44*F44,"-")</f>
        <v>-</v>
      </c>
      <c r="K44" s="119">
        <f t="shared" si="6"/>
        <v>116.57999999999998</v>
      </c>
      <c r="L44" s="119"/>
      <c r="M44" s="119"/>
      <c r="N44" s="354"/>
    </row>
    <row r="45" spans="2:14">
      <c r="B45" s="137"/>
      <c r="C45" s="451"/>
      <c r="D45" s="1655"/>
      <c r="E45" s="1655">
        <v>8</v>
      </c>
      <c r="F45" s="352">
        <v>5.82</v>
      </c>
      <c r="G45" s="135">
        <v>1</v>
      </c>
      <c r="H45" s="353">
        <v>21</v>
      </c>
      <c r="I45" s="1655">
        <f t="shared" si="10"/>
        <v>21</v>
      </c>
      <c r="J45" s="119" t="str">
        <f t="shared" si="11"/>
        <v>-</v>
      </c>
      <c r="K45" s="119">
        <f t="shared" si="6"/>
        <v>122.22</v>
      </c>
      <c r="L45" s="119"/>
      <c r="M45" s="119"/>
      <c r="N45" s="354"/>
    </row>
    <row r="46" spans="2:14">
      <c r="B46" s="137"/>
      <c r="C46" s="451" t="s">
        <v>328</v>
      </c>
      <c r="D46" s="1655"/>
      <c r="E46" s="1655">
        <v>8</v>
      </c>
      <c r="F46" s="352">
        <v>4.0199999999999996</v>
      </c>
      <c r="G46" s="135">
        <v>1</v>
      </c>
      <c r="H46" s="353">
        <v>30</v>
      </c>
      <c r="I46" s="1655">
        <f t="shared" si="10"/>
        <v>30</v>
      </c>
      <c r="J46" s="119" t="str">
        <f t="shared" si="11"/>
        <v>-</v>
      </c>
      <c r="K46" s="119">
        <f t="shared" si="6"/>
        <v>120.6</v>
      </c>
      <c r="L46" s="119"/>
      <c r="M46" s="119"/>
      <c r="N46" s="354"/>
    </row>
    <row r="47" spans="2:14">
      <c r="B47" s="137"/>
      <c r="C47" s="451"/>
      <c r="D47" s="142"/>
      <c r="E47" s="1655">
        <v>8</v>
      </c>
      <c r="F47" s="352">
        <v>5.82</v>
      </c>
      <c r="G47" s="135">
        <v>1</v>
      </c>
      <c r="H47" s="353">
        <v>21</v>
      </c>
      <c r="I47" s="1655">
        <f t="shared" si="10"/>
        <v>21</v>
      </c>
      <c r="J47" s="119" t="str">
        <f t="shared" si="11"/>
        <v>-</v>
      </c>
      <c r="K47" s="119">
        <f t="shared" si="6"/>
        <v>122.22</v>
      </c>
      <c r="L47" s="119"/>
      <c r="M47" s="119"/>
      <c r="N47" s="354"/>
    </row>
    <row r="48" spans="2:14">
      <c r="B48" s="137"/>
      <c r="C48" s="451" t="s">
        <v>329</v>
      </c>
      <c r="D48" s="142"/>
      <c r="E48" s="1655">
        <v>8</v>
      </c>
      <c r="F48" s="352">
        <v>2.37</v>
      </c>
      <c r="G48" s="135">
        <v>1</v>
      </c>
      <c r="H48" s="353">
        <v>30</v>
      </c>
      <c r="I48" s="1655">
        <f t="shared" si="10"/>
        <v>30</v>
      </c>
      <c r="J48" s="119" t="str">
        <f t="shared" si="11"/>
        <v>-</v>
      </c>
      <c r="K48" s="119">
        <f t="shared" si="6"/>
        <v>71.100000000000009</v>
      </c>
      <c r="L48" s="119"/>
      <c r="M48" s="119"/>
      <c r="N48" s="354"/>
    </row>
    <row r="49" spans="2:14">
      <c r="B49" s="137"/>
      <c r="C49" s="451"/>
      <c r="D49" s="142"/>
      <c r="E49" s="1655">
        <v>8</v>
      </c>
      <c r="F49" s="352">
        <v>5.82</v>
      </c>
      <c r="G49" s="135">
        <v>1</v>
      </c>
      <c r="H49" s="353">
        <v>13</v>
      </c>
      <c r="I49" s="1655">
        <f t="shared" si="10"/>
        <v>13</v>
      </c>
      <c r="J49" s="119" t="str">
        <f t="shared" si="11"/>
        <v>-</v>
      </c>
      <c r="K49" s="119">
        <f t="shared" si="6"/>
        <v>75.66</v>
      </c>
      <c r="L49" s="119"/>
      <c r="M49" s="119"/>
      <c r="N49" s="354"/>
    </row>
    <row r="50" spans="2:14">
      <c r="B50" s="137"/>
      <c r="C50" s="451" t="s">
        <v>330</v>
      </c>
      <c r="D50" s="142"/>
      <c r="E50" s="1655">
        <v>8</v>
      </c>
      <c r="F50" s="352">
        <v>2.37</v>
      </c>
      <c r="G50" s="135">
        <v>1</v>
      </c>
      <c r="H50" s="353">
        <v>30</v>
      </c>
      <c r="I50" s="1655">
        <f t="shared" si="10"/>
        <v>30</v>
      </c>
      <c r="J50" s="119"/>
      <c r="K50" s="119">
        <f t="shared" si="6"/>
        <v>71.100000000000009</v>
      </c>
      <c r="L50" s="119"/>
      <c r="M50" s="119"/>
      <c r="N50" s="354"/>
    </row>
    <row r="51" spans="2:14">
      <c r="B51" s="137"/>
      <c r="C51" s="451"/>
      <c r="D51" s="142"/>
      <c r="E51" s="1655">
        <v>8</v>
      </c>
      <c r="F51" s="352">
        <v>5.82</v>
      </c>
      <c r="G51" s="135">
        <v>1</v>
      </c>
      <c r="H51" s="353">
        <v>21</v>
      </c>
      <c r="I51" s="1655">
        <f t="shared" si="10"/>
        <v>21</v>
      </c>
      <c r="J51" s="119"/>
      <c r="K51" s="119">
        <f t="shared" si="6"/>
        <v>122.22</v>
      </c>
      <c r="L51" s="119"/>
      <c r="M51" s="119"/>
      <c r="N51" s="354"/>
    </row>
    <row r="52" spans="2:14">
      <c r="B52" s="137"/>
      <c r="C52" s="451" t="s">
        <v>331</v>
      </c>
      <c r="D52" s="142"/>
      <c r="E52" s="1655">
        <v>8</v>
      </c>
      <c r="F52" s="352">
        <v>5.67</v>
      </c>
      <c r="G52" s="135">
        <v>1</v>
      </c>
      <c r="H52" s="353">
        <v>30</v>
      </c>
      <c r="I52" s="1655">
        <f t="shared" si="10"/>
        <v>30</v>
      </c>
      <c r="J52" s="119"/>
      <c r="K52" s="119">
        <f t="shared" si="6"/>
        <v>170.1</v>
      </c>
      <c r="L52" s="119"/>
      <c r="M52" s="119"/>
      <c r="N52" s="354"/>
    </row>
    <row r="53" spans="2:14">
      <c r="B53" s="137"/>
      <c r="C53" s="790"/>
      <c r="D53" s="142"/>
      <c r="E53" s="1655">
        <v>8</v>
      </c>
      <c r="F53" s="352">
        <v>5.82</v>
      </c>
      <c r="G53" s="135">
        <v>1</v>
      </c>
      <c r="H53" s="353">
        <v>29</v>
      </c>
      <c r="I53" s="1655">
        <f t="shared" si="10"/>
        <v>29</v>
      </c>
      <c r="J53" s="119"/>
      <c r="K53" s="119">
        <f t="shared" si="6"/>
        <v>168.78</v>
      </c>
      <c r="L53" s="119" t="str">
        <f>IF(E53=10,I53*F53,"-")</f>
        <v>-</v>
      </c>
      <c r="M53" s="119" t="str">
        <f>IF(E53=12,I53*F53,"-")</f>
        <v>-</v>
      </c>
      <c r="N53" s="354" t="str">
        <f>IF(E53=14,I53*F53,"-")</f>
        <v>-</v>
      </c>
    </row>
    <row r="54" spans="2:14">
      <c r="B54" s="137"/>
      <c r="C54" s="452"/>
      <c r="D54" s="142"/>
      <c r="E54" s="142"/>
      <c r="F54" s="791"/>
      <c r="G54" s="142"/>
      <c r="H54" s="792"/>
      <c r="I54" s="142"/>
      <c r="J54" s="425" t="str">
        <f t="shared" ref="J54:K56" si="12">IF(D54=8,H54*E54,"-")</f>
        <v>-</v>
      </c>
      <c r="K54" s="425" t="str">
        <f t="shared" si="12"/>
        <v>-</v>
      </c>
      <c r="L54" s="425" t="str">
        <f>IF(E54=10,I54*F54,"-")</f>
        <v>-</v>
      </c>
      <c r="M54" s="425" t="str">
        <f>IF(E54=12,I54*F54,"-")</f>
        <v>-</v>
      </c>
      <c r="N54" s="427" t="str">
        <f>IF(E54=14,I54*F54,"-")</f>
        <v>-</v>
      </c>
    </row>
    <row r="55" spans="2:14">
      <c r="B55" s="137"/>
      <c r="C55" s="452"/>
      <c r="D55" s="142"/>
      <c r="E55" s="142"/>
      <c r="F55" s="791"/>
      <c r="G55" s="142"/>
      <c r="H55" s="792"/>
      <c r="I55" s="142"/>
      <c r="J55" s="425" t="str">
        <f t="shared" si="12"/>
        <v>-</v>
      </c>
      <c r="K55" s="425" t="str">
        <f t="shared" si="12"/>
        <v>-</v>
      </c>
      <c r="L55" s="425" t="str">
        <f>IF(E55=10,I55*F55,"-")</f>
        <v>-</v>
      </c>
      <c r="M55" s="425" t="str">
        <f>IF(E55=12,I55*F55,"-")</f>
        <v>-</v>
      </c>
      <c r="N55" s="427" t="str">
        <f>IF(E55=14,I55*F55,"-")</f>
        <v>-</v>
      </c>
    </row>
    <row r="56" spans="2:14">
      <c r="B56" s="137"/>
      <c r="C56" s="452"/>
      <c r="D56" s="142"/>
      <c r="E56" s="142"/>
      <c r="F56" s="791"/>
      <c r="G56" s="142"/>
      <c r="H56" s="792"/>
      <c r="I56" s="142"/>
      <c r="J56" s="425" t="str">
        <f t="shared" si="12"/>
        <v>-</v>
      </c>
      <c r="K56" s="425" t="str">
        <f t="shared" si="12"/>
        <v>-</v>
      </c>
      <c r="L56" s="425" t="str">
        <f>IF(E56=10,I56*F56,"-")</f>
        <v>-</v>
      </c>
      <c r="M56" s="425" t="str">
        <f>IF(E56=12,I56*F56,"-")</f>
        <v>-</v>
      </c>
      <c r="N56" s="427" t="str">
        <f>IF(E56=14,I56*F56,"-")</f>
        <v>-</v>
      </c>
    </row>
    <row r="57" spans="2:14" ht="16.5" thickBot="1">
      <c r="B57" s="138"/>
      <c r="C57" s="453"/>
      <c r="D57" s="145"/>
      <c r="E57" s="145"/>
      <c r="F57" s="793"/>
      <c r="G57" s="145"/>
      <c r="H57" s="490"/>
      <c r="I57" s="145"/>
      <c r="J57" s="356" t="str">
        <f>IF(D57=8,H57*E57,"-")</f>
        <v>-</v>
      </c>
      <c r="K57" s="356" t="str">
        <f>IF(E57=8,I57*F57,"-")</f>
        <v>-</v>
      </c>
      <c r="L57" s="356" t="str">
        <f>IF(E57=10,I57*F57,"-")</f>
        <v>-</v>
      </c>
      <c r="M57" s="356"/>
      <c r="N57" s="357" t="str">
        <f>IF(E57=14,I57*F57,"-")</f>
        <v>-</v>
      </c>
    </row>
    <row r="58" spans="2:14" ht="16.5" thickTop="1">
      <c r="B58" s="778"/>
      <c r="C58" s="794"/>
      <c r="D58" s="794"/>
      <c r="E58" s="794"/>
      <c r="F58" s="2252" t="s">
        <v>301</v>
      </c>
      <c r="G58" s="2252"/>
      <c r="H58" s="2252"/>
      <c r="I58" s="2253"/>
      <c r="J58" s="795">
        <f>SUM(J33:J56)</f>
        <v>0</v>
      </c>
      <c r="K58" s="796">
        <f>SUM(K33:K57)</f>
        <v>2338.83</v>
      </c>
      <c r="L58" s="796">
        <f>SUM(L33:L56)</f>
        <v>0</v>
      </c>
      <c r="M58" s="796">
        <f>SUM(M33:M56)</f>
        <v>0</v>
      </c>
      <c r="N58" s="797">
        <f>SUM(N33:N57)</f>
        <v>0</v>
      </c>
    </row>
    <row r="59" spans="2:14">
      <c r="B59" s="781"/>
      <c r="C59" s="155"/>
      <c r="D59" s="149"/>
      <c r="E59" s="149"/>
      <c r="F59" s="149" t="s">
        <v>302</v>
      </c>
      <c r="G59" s="149"/>
      <c r="H59" s="149"/>
      <c r="I59" s="782"/>
      <c r="J59" s="798">
        <v>0.222</v>
      </c>
      <c r="K59" s="799">
        <v>0.39500000000000002</v>
      </c>
      <c r="L59" s="142">
        <v>0.61699999999999999</v>
      </c>
      <c r="M59" s="799">
        <v>0.88800000000000001</v>
      </c>
      <c r="N59" s="800">
        <v>1.21</v>
      </c>
    </row>
    <row r="60" spans="2:14" ht="16.5" thickBot="1">
      <c r="B60" s="784"/>
      <c r="C60" s="156"/>
      <c r="D60" s="151"/>
      <c r="E60" s="151"/>
      <c r="F60" s="151" t="s">
        <v>307</v>
      </c>
      <c r="G60" s="151"/>
      <c r="H60" s="151"/>
      <c r="I60" s="785"/>
      <c r="J60" s="786">
        <f>J58*J59</f>
        <v>0</v>
      </c>
      <c r="K60" s="787">
        <f>K59*K58</f>
        <v>923.83785</v>
      </c>
      <c r="L60" s="787">
        <f>L58*L59</f>
        <v>0</v>
      </c>
      <c r="M60" s="787">
        <f>M58*M59</f>
        <v>0</v>
      </c>
      <c r="N60" s="788">
        <f>N58*N59</f>
        <v>0</v>
      </c>
    </row>
    <row r="61" spans="2:14" ht="16.5" thickTop="1">
      <c r="B61" s="2247" t="s">
        <v>4</v>
      </c>
      <c r="C61" s="2245" t="s">
        <v>293</v>
      </c>
      <c r="D61" s="2245" t="s">
        <v>309</v>
      </c>
      <c r="E61" s="2245" t="s">
        <v>310</v>
      </c>
      <c r="F61" s="123" t="s">
        <v>295</v>
      </c>
      <c r="G61" s="2249" t="s">
        <v>311</v>
      </c>
      <c r="H61" s="2250"/>
      <c r="I61" s="2251"/>
      <c r="J61" s="1668"/>
      <c r="K61" s="139" t="s">
        <v>312</v>
      </c>
      <c r="L61" s="139"/>
      <c r="M61" s="139"/>
      <c r="N61" s="801"/>
    </row>
    <row r="62" spans="2:14" ht="16.5" thickBot="1">
      <c r="B62" s="2248"/>
      <c r="C62" s="2246"/>
      <c r="D62" s="2246"/>
      <c r="E62" s="2246"/>
      <c r="F62" s="124" t="s">
        <v>313</v>
      </c>
      <c r="G62" s="125" t="s">
        <v>314</v>
      </c>
      <c r="H62" s="125" t="s">
        <v>315</v>
      </c>
      <c r="I62" s="126" t="s">
        <v>316</v>
      </c>
      <c r="J62" s="127" t="s">
        <v>317</v>
      </c>
      <c r="K62" s="128" t="s">
        <v>318</v>
      </c>
      <c r="L62" s="126" t="s">
        <v>319</v>
      </c>
      <c r="M62" s="126" t="s">
        <v>320</v>
      </c>
      <c r="N62" s="802" t="s">
        <v>321</v>
      </c>
    </row>
    <row r="63" spans="2:14" ht="16.5" thickTop="1">
      <c r="B63" s="1667">
        <v>1</v>
      </c>
      <c r="C63" s="131" t="s">
        <v>337</v>
      </c>
      <c r="D63" s="131"/>
      <c r="E63" s="131">
        <v>12</v>
      </c>
      <c r="F63" s="350">
        <v>3.63</v>
      </c>
      <c r="G63" s="131">
        <v>16</v>
      </c>
      <c r="H63" s="131">
        <v>4</v>
      </c>
      <c r="I63" s="118">
        <f>G63*H63</f>
        <v>64</v>
      </c>
      <c r="J63" s="118"/>
      <c r="K63" s="350" t="str">
        <f>IF(E63=8,F63*I63, "-")</f>
        <v>-</v>
      </c>
      <c r="L63" s="350" t="str">
        <f>IF(E63=10,F63*I63, "-")</f>
        <v>-</v>
      </c>
      <c r="M63" s="350">
        <f>I63*F63</f>
        <v>232.32</v>
      </c>
      <c r="N63" s="803"/>
    </row>
    <row r="64" spans="2:14">
      <c r="B64" s="140"/>
      <c r="C64" s="1655"/>
      <c r="D64" s="1655"/>
      <c r="E64" s="1655">
        <v>8</v>
      </c>
      <c r="F64" s="119">
        <v>0.7</v>
      </c>
      <c r="G64" s="1655">
        <v>16</v>
      </c>
      <c r="H64" s="1655">
        <v>14</v>
      </c>
      <c r="I64" s="43">
        <f t="shared" ref="I64:I89" si="13">G64*H64</f>
        <v>224</v>
      </c>
      <c r="J64" s="43"/>
      <c r="K64" s="119">
        <f t="shared" ref="K64:K89" si="14">IF(E64=8,F64*I64, "-")</f>
        <v>156.79999999999998</v>
      </c>
      <c r="L64" s="119" t="str">
        <f t="shared" ref="L64:L89" si="15">IF(E64=10,F64*I64, "-")</f>
        <v>-</v>
      </c>
      <c r="M64" s="119"/>
      <c r="N64" s="804"/>
    </row>
    <row r="65" spans="2:14">
      <c r="B65" s="137"/>
      <c r="C65" s="114"/>
      <c r="D65" s="114"/>
      <c r="E65" s="1655">
        <v>14</v>
      </c>
      <c r="F65" s="119">
        <v>3.63</v>
      </c>
      <c r="G65" s="1655">
        <v>2</v>
      </c>
      <c r="H65" s="1655">
        <v>4</v>
      </c>
      <c r="I65" s="43">
        <f t="shared" si="13"/>
        <v>8</v>
      </c>
      <c r="J65" s="43"/>
      <c r="K65" s="119" t="str">
        <f t="shared" si="14"/>
        <v>-</v>
      </c>
      <c r="L65" s="119" t="str">
        <f t="shared" si="15"/>
        <v>-</v>
      </c>
      <c r="M65" s="119"/>
      <c r="N65" s="804">
        <f>F65*I65</f>
        <v>29.04</v>
      </c>
    </row>
    <row r="66" spans="2:14">
      <c r="B66" s="137"/>
      <c r="C66" s="114"/>
      <c r="D66" s="114"/>
      <c r="E66" s="1655">
        <v>8</v>
      </c>
      <c r="F66" s="119">
        <v>0.7</v>
      </c>
      <c r="G66" s="1655">
        <v>2</v>
      </c>
      <c r="H66" s="1655">
        <v>14</v>
      </c>
      <c r="I66" s="43">
        <f t="shared" si="13"/>
        <v>28</v>
      </c>
      <c r="J66" s="43"/>
      <c r="K66" s="119">
        <f t="shared" si="14"/>
        <v>19.599999999999998</v>
      </c>
      <c r="L66" s="119" t="str">
        <f t="shared" si="15"/>
        <v>-</v>
      </c>
      <c r="M66" s="119"/>
      <c r="N66" s="804"/>
    </row>
    <row r="67" spans="2:14">
      <c r="B67" s="140">
        <v>2</v>
      </c>
      <c r="C67" s="152" t="s">
        <v>338</v>
      </c>
      <c r="D67" s="1655"/>
      <c r="E67" s="1655"/>
      <c r="F67" s="119"/>
      <c r="G67" s="1655"/>
      <c r="H67" s="1655"/>
      <c r="I67" s="43">
        <f t="shared" si="13"/>
        <v>0</v>
      </c>
      <c r="J67" s="43"/>
      <c r="K67" s="119" t="str">
        <f t="shared" si="14"/>
        <v>-</v>
      </c>
      <c r="L67" s="119" t="str">
        <f t="shared" si="15"/>
        <v>-</v>
      </c>
      <c r="M67" s="119"/>
      <c r="N67" s="354"/>
    </row>
    <row r="68" spans="2:14">
      <c r="B68" s="140"/>
      <c r="C68" s="790" t="s">
        <v>339</v>
      </c>
      <c r="D68" s="1655"/>
      <c r="E68" s="1655">
        <v>12</v>
      </c>
      <c r="F68" s="119">
        <v>11.65</v>
      </c>
      <c r="G68" s="1655">
        <v>2</v>
      </c>
      <c r="H68" s="1655">
        <v>3</v>
      </c>
      <c r="I68" s="43">
        <f t="shared" si="13"/>
        <v>6</v>
      </c>
      <c r="J68" s="43"/>
      <c r="K68" s="119" t="str">
        <f t="shared" si="14"/>
        <v>-</v>
      </c>
      <c r="L68" s="119" t="str">
        <f t="shared" si="15"/>
        <v>-</v>
      </c>
      <c r="M68" s="119">
        <f>F68*I68</f>
        <v>69.900000000000006</v>
      </c>
      <c r="N68" s="804"/>
    </row>
    <row r="69" spans="2:14">
      <c r="B69" s="140"/>
      <c r="C69" s="152"/>
      <c r="D69" s="1655"/>
      <c r="E69" s="1655">
        <v>12</v>
      </c>
      <c r="F69" s="119">
        <v>11.45</v>
      </c>
      <c r="G69" s="1655">
        <v>2</v>
      </c>
      <c r="H69" s="1655">
        <v>3</v>
      </c>
      <c r="I69" s="43">
        <f t="shared" si="13"/>
        <v>6</v>
      </c>
      <c r="J69" s="43"/>
      <c r="K69" s="119" t="str">
        <f t="shared" si="14"/>
        <v>-</v>
      </c>
      <c r="L69" s="119" t="str">
        <f t="shared" si="15"/>
        <v>-</v>
      </c>
      <c r="M69" s="119">
        <f>F69*I69</f>
        <v>68.699999999999989</v>
      </c>
      <c r="N69" s="804"/>
    </row>
    <row r="70" spans="2:14">
      <c r="B70" s="133"/>
      <c r="C70" s="1888"/>
      <c r="D70" s="144"/>
      <c r="E70" s="1655">
        <v>12</v>
      </c>
      <c r="F70" s="119">
        <v>11.65</v>
      </c>
      <c r="G70" s="1655">
        <v>2</v>
      </c>
      <c r="H70" s="1655">
        <v>3</v>
      </c>
      <c r="I70" s="43">
        <f t="shared" si="13"/>
        <v>6</v>
      </c>
      <c r="J70" s="805"/>
      <c r="K70" s="119" t="str">
        <f t="shared" si="14"/>
        <v>-</v>
      </c>
      <c r="L70" s="119" t="str">
        <f t="shared" si="15"/>
        <v>-</v>
      </c>
      <c r="M70" s="119">
        <f>F70*I70</f>
        <v>69.900000000000006</v>
      </c>
      <c r="N70" s="804"/>
    </row>
    <row r="71" spans="2:14">
      <c r="B71" s="133"/>
      <c r="C71" s="152"/>
      <c r="D71" s="144"/>
      <c r="E71" s="1655">
        <v>12</v>
      </c>
      <c r="F71" s="119">
        <v>11.2</v>
      </c>
      <c r="G71" s="1655">
        <v>2</v>
      </c>
      <c r="H71" s="1655">
        <v>3</v>
      </c>
      <c r="I71" s="43">
        <f t="shared" si="13"/>
        <v>6</v>
      </c>
      <c r="J71" s="805"/>
      <c r="K71" s="119" t="str">
        <f t="shared" si="14"/>
        <v>-</v>
      </c>
      <c r="L71" s="119" t="str">
        <f t="shared" si="15"/>
        <v>-</v>
      </c>
      <c r="M71" s="119">
        <f>F71*I71</f>
        <v>67.199999999999989</v>
      </c>
      <c r="N71" s="806"/>
    </row>
    <row r="72" spans="2:14">
      <c r="B72" s="133"/>
      <c r="C72" s="152"/>
      <c r="D72" s="144"/>
      <c r="E72" s="1655">
        <v>8</v>
      </c>
      <c r="F72" s="119">
        <v>0.9</v>
      </c>
      <c r="G72" s="1655">
        <v>2</v>
      </c>
      <c r="H72" s="1655">
        <v>110</v>
      </c>
      <c r="I72" s="43">
        <f t="shared" si="13"/>
        <v>220</v>
      </c>
      <c r="J72" s="805"/>
      <c r="K72" s="119">
        <f t="shared" si="14"/>
        <v>198</v>
      </c>
      <c r="L72" s="119" t="str">
        <f t="shared" si="15"/>
        <v>-</v>
      </c>
      <c r="M72" s="119"/>
      <c r="N72" s="806"/>
    </row>
    <row r="73" spans="2:14">
      <c r="B73" s="133"/>
      <c r="C73" s="152"/>
      <c r="D73" s="144"/>
      <c r="E73" s="1655"/>
      <c r="F73" s="119"/>
      <c r="G73" s="1655"/>
      <c r="H73" s="1655"/>
      <c r="I73" s="43">
        <f t="shared" si="13"/>
        <v>0</v>
      </c>
      <c r="J73" s="805"/>
      <c r="K73" s="119" t="str">
        <f t="shared" si="14"/>
        <v>-</v>
      </c>
      <c r="L73" s="119" t="str">
        <f t="shared" si="15"/>
        <v>-</v>
      </c>
      <c r="M73" s="119"/>
      <c r="N73" s="806"/>
    </row>
    <row r="74" spans="2:14">
      <c r="B74" s="133"/>
      <c r="C74" s="790" t="s">
        <v>340</v>
      </c>
      <c r="D74" s="144"/>
      <c r="E74" s="1655">
        <v>12</v>
      </c>
      <c r="F74" s="119">
        <v>11.65</v>
      </c>
      <c r="G74" s="1655">
        <v>1</v>
      </c>
      <c r="H74" s="1655">
        <v>3</v>
      </c>
      <c r="I74" s="43">
        <f t="shared" si="13"/>
        <v>3</v>
      </c>
      <c r="J74" s="43"/>
      <c r="K74" s="119" t="str">
        <f t="shared" si="14"/>
        <v>-</v>
      </c>
      <c r="L74" s="119" t="str">
        <f t="shared" si="15"/>
        <v>-</v>
      </c>
      <c r="M74" s="119">
        <f>F74*I74</f>
        <v>34.950000000000003</v>
      </c>
      <c r="N74" s="806"/>
    </row>
    <row r="75" spans="2:14">
      <c r="B75" s="133"/>
      <c r="C75" s="152"/>
      <c r="D75" s="144"/>
      <c r="E75" s="1655">
        <v>12</v>
      </c>
      <c r="F75" s="119">
        <v>11.45</v>
      </c>
      <c r="G75" s="1655">
        <v>1</v>
      </c>
      <c r="H75" s="1655">
        <v>3</v>
      </c>
      <c r="I75" s="43">
        <f t="shared" si="13"/>
        <v>3</v>
      </c>
      <c r="J75" s="43"/>
      <c r="K75" s="119" t="str">
        <f t="shared" si="14"/>
        <v>-</v>
      </c>
      <c r="L75" s="119" t="str">
        <f t="shared" si="15"/>
        <v>-</v>
      </c>
      <c r="M75" s="119">
        <f>F75*I75</f>
        <v>34.349999999999994</v>
      </c>
      <c r="N75" s="354"/>
    </row>
    <row r="76" spans="2:14">
      <c r="B76" s="133"/>
      <c r="C76" s="152"/>
      <c r="D76" s="144"/>
      <c r="E76" s="1655">
        <v>12</v>
      </c>
      <c r="F76" s="119">
        <v>11.65</v>
      </c>
      <c r="G76" s="1655">
        <v>1</v>
      </c>
      <c r="H76" s="1655">
        <v>3</v>
      </c>
      <c r="I76" s="43">
        <f t="shared" si="13"/>
        <v>3</v>
      </c>
      <c r="J76" s="805"/>
      <c r="K76" s="119" t="str">
        <f t="shared" si="14"/>
        <v>-</v>
      </c>
      <c r="L76" s="119" t="str">
        <f t="shared" si="15"/>
        <v>-</v>
      </c>
      <c r="M76" s="119">
        <f>F76*I76</f>
        <v>34.950000000000003</v>
      </c>
      <c r="N76" s="354"/>
    </row>
    <row r="77" spans="2:14">
      <c r="B77" s="133"/>
      <c r="C77" s="152"/>
      <c r="D77" s="144"/>
      <c r="E77" s="1655">
        <v>12</v>
      </c>
      <c r="F77" s="119">
        <v>11.2</v>
      </c>
      <c r="G77" s="1655">
        <v>1</v>
      </c>
      <c r="H77" s="1655">
        <v>3</v>
      </c>
      <c r="I77" s="43">
        <f t="shared" si="13"/>
        <v>3</v>
      </c>
      <c r="J77" s="805"/>
      <c r="K77" s="119" t="str">
        <f t="shared" si="14"/>
        <v>-</v>
      </c>
      <c r="L77" s="119" t="str">
        <f t="shared" si="15"/>
        <v>-</v>
      </c>
      <c r="M77" s="119">
        <f>F77*I77</f>
        <v>33.599999999999994</v>
      </c>
      <c r="N77" s="354"/>
    </row>
    <row r="78" spans="2:14">
      <c r="B78" s="133"/>
      <c r="C78" s="152"/>
      <c r="D78" s="144"/>
      <c r="E78" s="1655">
        <v>8</v>
      </c>
      <c r="F78" s="119">
        <v>0.9</v>
      </c>
      <c r="G78" s="1655">
        <v>1</v>
      </c>
      <c r="H78" s="1655">
        <v>110</v>
      </c>
      <c r="I78" s="43">
        <f t="shared" si="13"/>
        <v>110</v>
      </c>
      <c r="J78" s="805"/>
      <c r="K78" s="119">
        <f t="shared" si="14"/>
        <v>99</v>
      </c>
      <c r="L78" s="119" t="str">
        <f t="shared" si="15"/>
        <v>-</v>
      </c>
      <c r="M78" s="119"/>
      <c r="N78" s="354"/>
    </row>
    <row r="79" spans="2:14">
      <c r="B79" s="133"/>
      <c r="C79" s="152" t="s">
        <v>341</v>
      </c>
      <c r="D79" s="144"/>
      <c r="E79" s="1655">
        <v>12</v>
      </c>
      <c r="F79" s="119">
        <v>6.68</v>
      </c>
      <c r="G79" s="1655">
        <v>2</v>
      </c>
      <c r="H79" s="1655">
        <v>4</v>
      </c>
      <c r="I79" s="43"/>
      <c r="J79" s="805"/>
      <c r="K79" s="119"/>
      <c r="L79" s="119"/>
      <c r="M79" s="119"/>
      <c r="N79" s="354"/>
    </row>
    <row r="80" spans="2:14">
      <c r="B80" s="133"/>
      <c r="C80" s="152"/>
      <c r="D80" s="144"/>
      <c r="E80" s="1655">
        <v>12</v>
      </c>
      <c r="F80" s="119">
        <v>6.95</v>
      </c>
      <c r="G80" s="1655">
        <v>2</v>
      </c>
      <c r="H80" s="1655">
        <v>4</v>
      </c>
      <c r="I80" s="43">
        <f t="shared" si="13"/>
        <v>8</v>
      </c>
      <c r="J80" s="805"/>
      <c r="K80" s="119" t="str">
        <f t="shared" si="14"/>
        <v>-</v>
      </c>
      <c r="L80" s="119" t="str">
        <f t="shared" si="15"/>
        <v>-</v>
      </c>
      <c r="M80" s="119"/>
      <c r="N80" s="354"/>
    </row>
    <row r="81" spans="2:14">
      <c r="B81" s="133"/>
      <c r="C81" s="152"/>
      <c r="D81" s="144"/>
      <c r="E81" s="1655">
        <v>12</v>
      </c>
      <c r="F81" s="119">
        <v>11.5</v>
      </c>
      <c r="G81" s="1655">
        <v>2</v>
      </c>
      <c r="H81" s="1655">
        <v>3</v>
      </c>
      <c r="I81" s="43">
        <f t="shared" si="13"/>
        <v>6</v>
      </c>
      <c r="J81" s="805"/>
      <c r="K81" s="119" t="str">
        <f t="shared" si="14"/>
        <v>-</v>
      </c>
      <c r="L81" s="119" t="str">
        <f t="shared" si="15"/>
        <v>-</v>
      </c>
      <c r="M81" s="119"/>
      <c r="N81" s="354"/>
    </row>
    <row r="82" spans="2:14">
      <c r="B82" s="133"/>
      <c r="C82" s="790"/>
      <c r="D82" s="144"/>
      <c r="E82" s="1655">
        <v>8</v>
      </c>
      <c r="F82" s="119">
        <v>0.9</v>
      </c>
      <c r="G82" s="1655">
        <v>2</v>
      </c>
      <c r="H82" s="1655">
        <v>61</v>
      </c>
      <c r="I82" s="43">
        <f t="shared" si="13"/>
        <v>122</v>
      </c>
      <c r="J82" s="805"/>
      <c r="K82" s="119">
        <f t="shared" si="14"/>
        <v>109.8</v>
      </c>
      <c r="L82" s="119" t="str">
        <f t="shared" si="15"/>
        <v>-</v>
      </c>
      <c r="M82" s="119">
        <f>F82*I82</f>
        <v>109.8</v>
      </c>
      <c r="N82" s="354"/>
    </row>
    <row r="83" spans="2:14">
      <c r="B83" s="133"/>
      <c r="C83" s="807"/>
      <c r="D83" s="114"/>
      <c r="E83" s="135"/>
      <c r="F83" s="366"/>
      <c r="G83" s="135"/>
      <c r="H83" s="135"/>
      <c r="I83" s="43">
        <f t="shared" si="13"/>
        <v>0</v>
      </c>
      <c r="J83" s="136"/>
      <c r="K83" s="119" t="str">
        <f t="shared" si="14"/>
        <v>-</v>
      </c>
      <c r="L83" s="119" t="str">
        <f t="shared" si="15"/>
        <v>-</v>
      </c>
      <c r="M83" s="119">
        <f>F83*I83</f>
        <v>0</v>
      </c>
      <c r="N83" s="354"/>
    </row>
    <row r="84" spans="2:14">
      <c r="B84" s="133"/>
      <c r="C84" s="152"/>
      <c r="D84" s="144"/>
      <c r="E84" s="1655"/>
      <c r="F84" s="119"/>
      <c r="G84" s="1655"/>
      <c r="H84" s="1655"/>
      <c r="I84" s="43">
        <f t="shared" si="13"/>
        <v>0</v>
      </c>
      <c r="J84" s="805"/>
      <c r="K84" s="119" t="str">
        <f t="shared" si="14"/>
        <v>-</v>
      </c>
      <c r="L84" s="119" t="str">
        <f t="shared" si="15"/>
        <v>-</v>
      </c>
      <c r="M84" s="119">
        <f>F84*I84</f>
        <v>0</v>
      </c>
      <c r="N84" s="804"/>
    </row>
    <row r="85" spans="2:14">
      <c r="B85" s="133"/>
      <c r="C85" s="152"/>
      <c r="D85" s="144"/>
      <c r="E85" s="1655"/>
      <c r="F85" s="119"/>
      <c r="G85" s="1655"/>
      <c r="H85" s="1655"/>
      <c r="I85" s="43">
        <f t="shared" si="13"/>
        <v>0</v>
      </c>
      <c r="J85" s="43"/>
      <c r="K85" s="119" t="str">
        <f t="shared" si="14"/>
        <v>-</v>
      </c>
      <c r="L85" s="119" t="str">
        <f t="shared" si="15"/>
        <v>-</v>
      </c>
      <c r="M85" s="119"/>
      <c r="N85" s="804"/>
    </row>
    <row r="86" spans="2:14">
      <c r="B86" s="133"/>
      <c r="C86" s="790" t="s">
        <v>342</v>
      </c>
      <c r="D86" s="144"/>
      <c r="E86" s="1655">
        <v>12</v>
      </c>
      <c r="F86" s="119">
        <v>6.68</v>
      </c>
      <c r="G86" s="1655">
        <v>4</v>
      </c>
      <c r="H86" s="1655">
        <v>4</v>
      </c>
      <c r="I86" s="43">
        <f t="shared" si="13"/>
        <v>16</v>
      </c>
      <c r="J86" s="805"/>
      <c r="K86" s="119" t="str">
        <f t="shared" si="14"/>
        <v>-</v>
      </c>
      <c r="L86" s="119" t="str">
        <f t="shared" si="15"/>
        <v>-</v>
      </c>
      <c r="M86" s="119">
        <f>F86*I86</f>
        <v>106.88</v>
      </c>
      <c r="N86" s="804"/>
    </row>
    <row r="87" spans="2:14">
      <c r="B87" s="133"/>
      <c r="C87" s="790"/>
      <c r="D87" s="144"/>
      <c r="E87" s="1655">
        <v>12</v>
      </c>
      <c r="F87" s="366">
        <v>6.95</v>
      </c>
      <c r="G87" s="1655">
        <v>4</v>
      </c>
      <c r="H87" s="1655">
        <v>4</v>
      </c>
      <c r="I87" s="43">
        <f t="shared" si="13"/>
        <v>16</v>
      </c>
      <c r="J87" s="805"/>
      <c r="K87" s="119" t="str">
        <f t="shared" si="14"/>
        <v>-</v>
      </c>
      <c r="L87" s="119" t="str">
        <f t="shared" si="15"/>
        <v>-</v>
      </c>
      <c r="M87" s="119">
        <f>F87*I87</f>
        <v>111.2</v>
      </c>
      <c r="N87" s="804"/>
    </row>
    <row r="88" spans="2:14">
      <c r="B88" s="133"/>
      <c r="C88" s="152"/>
      <c r="D88" s="144"/>
      <c r="E88" s="1655">
        <v>12</v>
      </c>
      <c r="F88" s="119">
        <v>11.5</v>
      </c>
      <c r="G88" s="1655">
        <v>4</v>
      </c>
      <c r="H88" s="1655">
        <v>3</v>
      </c>
      <c r="I88" s="43">
        <f t="shared" si="13"/>
        <v>12</v>
      </c>
      <c r="J88" s="43"/>
      <c r="K88" s="119" t="str">
        <f t="shared" si="14"/>
        <v>-</v>
      </c>
      <c r="L88" s="119" t="str">
        <f t="shared" si="15"/>
        <v>-</v>
      </c>
      <c r="M88" s="119">
        <f>F88*I88</f>
        <v>138</v>
      </c>
      <c r="N88" s="804"/>
    </row>
    <row r="89" spans="2:14" ht="16.5" thickBot="1">
      <c r="B89" s="808"/>
      <c r="C89" s="809"/>
      <c r="D89" s="126"/>
      <c r="E89" s="145">
        <v>8</v>
      </c>
      <c r="F89" s="146">
        <v>0.9</v>
      </c>
      <c r="G89" s="145">
        <v>4</v>
      </c>
      <c r="H89" s="145">
        <v>61</v>
      </c>
      <c r="I89" s="810">
        <f t="shared" si="13"/>
        <v>244</v>
      </c>
      <c r="J89" s="810"/>
      <c r="K89" s="356">
        <f t="shared" si="14"/>
        <v>219.6</v>
      </c>
      <c r="L89" s="356" t="str">
        <f t="shared" si="15"/>
        <v>-</v>
      </c>
      <c r="M89" s="356"/>
      <c r="N89" s="811"/>
    </row>
    <row r="90" spans="2:14" ht="16.5" thickTop="1">
      <c r="B90" s="147"/>
      <c r="C90" s="139"/>
      <c r="D90" s="139"/>
      <c r="E90" s="139"/>
      <c r="F90" s="2252" t="s">
        <v>301</v>
      </c>
      <c r="G90" s="2252"/>
      <c r="H90" s="2252"/>
      <c r="I90" s="2253"/>
      <c r="J90" s="812"/>
      <c r="K90" s="118">
        <f>SUM(K63:K89)</f>
        <v>802.8</v>
      </c>
      <c r="L90" s="118">
        <f>SUM(L63:L89)</f>
        <v>0</v>
      </c>
      <c r="M90" s="118">
        <f>SUM(M63:M89)</f>
        <v>1111.75</v>
      </c>
      <c r="N90" s="803">
        <f>SUM(N63:N89)</f>
        <v>29.04</v>
      </c>
    </row>
    <row r="91" spans="2:14">
      <c r="B91" s="148"/>
      <c r="C91" s="149"/>
      <c r="D91" s="149"/>
      <c r="E91" s="149"/>
      <c r="F91" s="149" t="s">
        <v>302</v>
      </c>
      <c r="G91" s="149"/>
      <c r="H91" s="149"/>
      <c r="I91" s="782"/>
      <c r="J91" s="813"/>
      <c r="K91" s="425" t="s">
        <v>303</v>
      </c>
      <c r="L91" s="814" t="s">
        <v>304</v>
      </c>
      <c r="M91" s="425" t="s">
        <v>305</v>
      </c>
      <c r="N91" s="427" t="s">
        <v>306</v>
      </c>
    </row>
    <row r="92" spans="2:14" ht="16.5" thickBot="1">
      <c r="B92" s="150"/>
      <c r="C92" s="151"/>
      <c r="D92" s="151"/>
      <c r="E92" s="151"/>
      <c r="F92" s="151" t="s">
        <v>307</v>
      </c>
      <c r="G92" s="151"/>
      <c r="H92" s="151"/>
      <c r="I92" s="785"/>
      <c r="J92" s="815"/>
      <c r="K92" s="120">
        <f>K90*K91</f>
        <v>317.10599999999999</v>
      </c>
      <c r="L92" s="120">
        <f>L90*L91</f>
        <v>0</v>
      </c>
      <c r="M92" s="120">
        <f>M90*M91</f>
        <v>987.23400000000004</v>
      </c>
      <c r="N92" s="364">
        <f>N90*N91</f>
        <v>35.138399999999997</v>
      </c>
    </row>
    <row r="93" spans="2:14" ht="16.5" thickTop="1">
      <c r="B93" s="2247" t="s">
        <v>4</v>
      </c>
      <c r="C93" s="2245" t="s">
        <v>293</v>
      </c>
      <c r="D93" s="2245" t="s">
        <v>309</v>
      </c>
      <c r="E93" s="2245" t="s">
        <v>310</v>
      </c>
      <c r="F93" s="123" t="s">
        <v>295</v>
      </c>
      <c r="G93" s="2249" t="s">
        <v>311</v>
      </c>
      <c r="H93" s="2250"/>
      <c r="I93" s="2251"/>
      <c r="J93" s="1668"/>
      <c r="K93" s="139" t="s">
        <v>312</v>
      </c>
      <c r="L93" s="139"/>
      <c r="M93" s="139"/>
      <c r="N93" s="801"/>
    </row>
    <row r="94" spans="2:14" ht="16.5" thickBot="1">
      <c r="B94" s="2248"/>
      <c r="C94" s="2246"/>
      <c r="D94" s="2246"/>
      <c r="E94" s="2246"/>
      <c r="F94" s="124" t="s">
        <v>313</v>
      </c>
      <c r="G94" s="125" t="s">
        <v>314</v>
      </c>
      <c r="H94" s="125" t="s">
        <v>315</v>
      </c>
      <c r="I94" s="126" t="s">
        <v>316</v>
      </c>
      <c r="J94" s="127" t="s">
        <v>317</v>
      </c>
      <c r="K94" s="128" t="s">
        <v>318</v>
      </c>
      <c r="L94" s="126" t="s">
        <v>319</v>
      </c>
      <c r="M94" s="126" t="s">
        <v>320</v>
      </c>
      <c r="N94" s="802" t="s">
        <v>321</v>
      </c>
    </row>
    <row r="95" spans="2:14" ht="16.5" thickTop="1">
      <c r="B95" s="140"/>
      <c r="C95" s="152" t="s">
        <v>343</v>
      </c>
      <c r="D95" s="1655"/>
      <c r="E95" s="1655"/>
      <c r="F95" s="141"/>
      <c r="G95" s="1655"/>
      <c r="H95" s="1655"/>
      <c r="I95" s="1655"/>
      <c r="J95" s="144"/>
      <c r="K95" s="153"/>
      <c r="L95" s="43"/>
      <c r="M95" s="43"/>
      <c r="N95" s="816"/>
    </row>
    <row r="96" spans="2:14">
      <c r="B96" s="140"/>
      <c r="C96" s="152"/>
      <c r="D96" s="1655"/>
      <c r="E96" s="1655"/>
      <c r="F96" s="141"/>
      <c r="G96" s="1655"/>
      <c r="H96" s="1655"/>
      <c r="I96" s="1655"/>
      <c r="J96" s="144"/>
      <c r="K96" s="153"/>
      <c r="L96" s="144"/>
      <c r="M96" s="43"/>
      <c r="N96" s="354"/>
    </row>
    <row r="97" spans="2:14">
      <c r="B97" s="133"/>
      <c r="C97" s="1888"/>
      <c r="D97" s="144"/>
      <c r="E97" s="1655"/>
      <c r="F97" s="141"/>
      <c r="G97" s="1655"/>
      <c r="H97" s="1655"/>
      <c r="I97" s="1655"/>
      <c r="J97" s="152"/>
      <c r="K97" s="153"/>
      <c r="L97" s="43"/>
      <c r="M97" s="43"/>
      <c r="N97" s="354"/>
    </row>
    <row r="98" spans="2:14">
      <c r="B98" s="133"/>
      <c r="C98" s="152" t="s">
        <v>250</v>
      </c>
      <c r="D98" s="144"/>
      <c r="E98" s="1655">
        <v>12</v>
      </c>
      <c r="F98" s="141">
        <v>1.45</v>
      </c>
      <c r="G98" s="1655">
        <v>5</v>
      </c>
      <c r="H98" s="1655">
        <v>2</v>
      </c>
      <c r="I98" s="1655">
        <f t="shared" ref="I98:I114" si="16">G98*H98</f>
        <v>10</v>
      </c>
      <c r="J98" s="152"/>
      <c r="K98" s="153"/>
      <c r="L98" s="119"/>
      <c r="M98" s="119">
        <f>F98*I98</f>
        <v>14.5</v>
      </c>
      <c r="N98" s="354"/>
    </row>
    <row r="99" spans="2:14">
      <c r="B99" s="133"/>
      <c r="C99" s="152"/>
      <c r="D99" s="144"/>
      <c r="E99" s="1655">
        <v>12</v>
      </c>
      <c r="F99" s="141">
        <v>1.1499999999999999</v>
      </c>
      <c r="G99" s="1655">
        <v>5</v>
      </c>
      <c r="H99" s="1655">
        <v>2</v>
      </c>
      <c r="I99" s="1655">
        <f t="shared" si="16"/>
        <v>10</v>
      </c>
      <c r="J99" s="152"/>
      <c r="K99" s="153"/>
      <c r="L99" s="119"/>
      <c r="M99" s="119">
        <f t="shared" ref="M99:M117" si="17">F99*I99</f>
        <v>11.5</v>
      </c>
      <c r="N99" s="804"/>
    </row>
    <row r="100" spans="2:14">
      <c r="B100" s="133"/>
      <c r="C100" s="152"/>
      <c r="D100" s="144"/>
      <c r="E100" s="1655">
        <v>8</v>
      </c>
      <c r="F100" s="141">
        <v>0.6</v>
      </c>
      <c r="G100" s="1655">
        <v>5</v>
      </c>
      <c r="H100" s="1655">
        <v>7</v>
      </c>
      <c r="I100" s="1655">
        <f t="shared" si="16"/>
        <v>35</v>
      </c>
      <c r="J100" s="152"/>
      <c r="K100" s="153">
        <f>I100*F100</f>
        <v>21</v>
      </c>
      <c r="L100" s="119"/>
      <c r="M100" s="119"/>
      <c r="N100" s="804"/>
    </row>
    <row r="101" spans="2:14">
      <c r="B101" s="133"/>
      <c r="C101" s="152" t="s">
        <v>190</v>
      </c>
      <c r="D101" s="144"/>
      <c r="E101" s="1655">
        <v>12</v>
      </c>
      <c r="F101" s="141">
        <v>1.35</v>
      </c>
      <c r="G101" s="1655">
        <v>4</v>
      </c>
      <c r="H101" s="1655">
        <v>2</v>
      </c>
      <c r="I101" s="1655">
        <f t="shared" si="16"/>
        <v>8</v>
      </c>
      <c r="J101" s="152"/>
      <c r="K101" s="153"/>
      <c r="L101" s="119"/>
      <c r="M101" s="119">
        <f t="shared" si="17"/>
        <v>10.8</v>
      </c>
      <c r="N101" s="804"/>
    </row>
    <row r="102" spans="2:14">
      <c r="B102" s="133"/>
      <c r="C102" s="152"/>
      <c r="D102" s="144"/>
      <c r="E102" s="1655">
        <v>12</v>
      </c>
      <c r="F102" s="141">
        <v>1.05</v>
      </c>
      <c r="G102" s="1655">
        <v>4</v>
      </c>
      <c r="H102" s="1655">
        <v>2</v>
      </c>
      <c r="I102" s="1655">
        <f t="shared" si="16"/>
        <v>8</v>
      </c>
      <c r="J102" s="152"/>
      <c r="K102" s="153"/>
      <c r="L102" s="119"/>
      <c r="M102" s="119">
        <f t="shared" si="17"/>
        <v>8.4</v>
      </c>
      <c r="N102" s="806"/>
    </row>
    <row r="103" spans="2:14">
      <c r="B103" s="133"/>
      <c r="C103" s="152"/>
      <c r="D103" s="144"/>
      <c r="E103" s="1655">
        <v>8</v>
      </c>
      <c r="F103" s="141">
        <v>0.6</v>
      </c>
      <c r="G103" s="1655">
        <v>4</v>
      </c>
      <c r="H103" s="1655">
        <v>6</v>
      </c>
      <c r="I103" s="1655">
        <f t="shared" si="16"/>
        <v>24</v>
      </c>
      <c r="J103" s="152"/>
      <c r="K103" s="153">
        <f>I103*F103</f>
        <v>14.399999999999999</v>
      </c>
      <c r="L103" s="119"/>
      <c r="M103" s="119"/>
      <c r="N103" s="806"/>
    </row>
    <row r="104" spans="2:14">
      <c r="B104" s="133"/>
      <c r="C104" s="152" t="s">
        <v>1069</v>
      </c>
      <c r="D104" s="144"/>
      <c r="E104" s="1655">
        <v>12</v>
      </c>
      <c r="F104" s="141">
        <v>1.75</v>
      </c>
      <c r="G104" s="1655">
        <v>1</v>
      </c>
      <c r="H104" s="1655">
        <v>2</v>
      </c>
      <c r="I104" s="1655">
        <f t="shared" si="16"/>
        <v>2</v>
      </c>
      <c r="J104" s="144"/>
      <c r="K104" s="153"/>
      <c r="L104" s="119"/>
      <c r="M104" s="119">
        <f t="shared" si="17"/>
        <v>3.5</v>
      </c>
      <c r="N104" s="806"/>
    </row>
    <row r="105" spans="2:14">
      <c r="B105" s="133"/>
      <c r="C105" s="152"/>
      <c r="D105" s="144"/>
      <c r="E105" s="1655">
        <v>12</v>
      </c>
      <c r="F105" s="141">
        <v>1.45</v>
      </c>
      <c r="G105" s="1655">
        <v>1</v>
      </c>
      <c r="H105" s="1655">
        <v>2</v>
      </c>
      <c r="I105" s="1655">
        <f t="shared" si="16"/>
        <v>2</v>
      </c>
      <c r="J105" s="144"/>
      <c r="K105" s="153"/>
      <c r="L105" s="119"/>
      <c r="M105" s="119">
        <f t="shared" si="17"/>
        <v>2.9</v>
      </c>
      <c r="N105" s="354"/>
    </row>
    <row r="106" spans="2:14">
      <c r="B106" s="133"/>
      <c r="C106" s="152"/>
      <c r="D106" s="144"/>
      <c r="E106" s="1655">
        <v>8</v>
      </c>
      <c r="F106" s="141">
        <v>1</v>
      </c>
      <c r="G106" s="1655">
        <v>1</v>
      </c>
      <c r="H106" s="1655">
        <v>8</v>
      </c>
      <c r="I106" s="1655">
        <f t="shared" si="16"/>
        <v>8</v>
      </c>
      <c r="J106" s="152"/>
      <c r="K106" s="153">
        <f>I106*F106</f>
        <v>8</v>
      </c>
      <c r="L106" s="119"/>
      <c r="M106" s="119"/>
      <c r="N106" s="354"/>
    </row>
    <row r="107" spans="2:14">
      <c r="B107" s="133"/>
      <c r="C107" s="152" t="s">
        <v>190</v>
      </c>
      <c r="D107" s="144"/>
      <c r="E107" s="1655">
        <v>12</v>
      </c>
      <c r="F107" s="141">
        <v>2.2000000000000002</v>
      </c>
      <c r="G107" s="1655">
        <v>4</v>
      </c>
      <c r="H107" s="1655">
        <v>2</v>
      </c>
      <c r="I107" s="1655">
        <f t="shared" si="16"/>
        <v>8</v>
      </c>
      <c r="J107" s="152"/>
      <c r="K107" s="153"/>
      <c r="L107" s="119"/>
      <c r="M107" s="119">
        <f>F107*I107</f>
        <v>17.600000000000001</v>
      </c>
      <c r="N107" s="354"/>
    </row>
    <row r="108" spans="2:14">
      <c r="B108" s="133"/>
      <c r="C108" s="152"/>
      <c r="D108" s="144"/>
      <c r="E108" s="1655">
        <v>12</v>
      </c>
      <c r="F108" s="141">
        <v>1.9</v>
      </c>
      <c r="G108" s="1655">
        <v>4</v>
      </c>
      <c r="H108" s="1655">
        <v>2</v>
      </c>
      <c r="I108" s="1655">
        <f t="shared" si="16"/>
        <v>8</v>
      </c>
      <c r="J108" s="152"/>
      <c r="K108" s="153"/>
      <c r="L108" s="119"/>
      <c r="M108" s="119">
        <f>F108*I108</f>
        <v>15.2</v>
      </c>
      <c r="N108" s="354"/>
    </row>
    <row r="109" spans="2:14">
      <c r="B109" s="133"/>
      <c r="C109" s="152"/>
      <c r="D109" s="144"/>
      <c r="E109" s="1655">
        <v>8</v>
      </c>
      <c r="F109" s="141">
        <v>0.6</v>
      </c>
      <c r="G109" s="1655">
        <v>4</v>
      </c>
      <c r="H109" s="1655">
        <v>11</v>
      </c>
      <c r="I109" s="1655">
        <f t="shared" si="16"/>
        <v>44</v>
      </c>
      <c r="J109" s="152"/>
      <c r="K109" s="153">
        <f>I109*F109</f>
        <v>26.4</v>
      </c>
      <c r="L109" s="119"/>
      <c r="M109" s="119"/>
      <c r="N109" s="354"/>
    </row>
    <row r="110" spans="2:14">
      <c r="B110" s="133"/>
      <c r="C110" s="807" t="s">
        <v>1070</v>
      </c>
      <c r="D110" s="114"/>
      <c r="E110" s="1655">
        <v>12</v>
      </c>
      <c r="F110" s="817">
        <v>1.45</v>
      </c>
      <c r="G110" s="1655">
        <v>1</v>
      </c>
      <c r="H110" s="1655">
        <v>2</v>
      </c>
      <c r="I110" s="1655">
        <f t="shared" si="16"/>
        <v>2</v>
      </c>
      <c r="J110" s="152"/>
      <c r="K110" s="153"/>
      <c r="L110" s="119"/>
      <c r="M110" s="119">
        <f t="shared" si="17"/>
        <v>2.9</v>
      </c>
      <c r="N110" s="354"/>
    </row>
    <row r="111" spans="2:14">
      <c r="B111" s="133"/>
      <c r="C111" s="152"/>
      <c r="D111" s="144"/>
      <c r="E111" s="1655">
        <v>12</v>
      </c>
      <c r="F111" s="141">
        <v>1.05</v>
      </c>
      <c r="G111" s="1655">
        <v>1</v>
      </c>
      <c r="H111" s="1655">
        <v>2</v>
      </c>
      <c r="I111" s="1655">
        <f t="shared" si="16"/>
        <v>2</v>
      </c>
      <c r="J111" s="152"/>
      <c r="K111" s="153"/>
      <c r="L111" s="119"/>
      <c r="M111" s="119">
        <f t="shared" si="17"/>
        <v>2.1</v>
      </c>
      <c r="N111" s="354"/>
    </row>
    <row r="112" spans="2:14">
      <c r="B112" s="133"/>
      <c r="C112" s="152"/>
      <c r="D112" s="144"/>
      <c r="E112" s="1655">
        <v>8</v>
      </c>
      <c r="F112" s="141">
        <v>1.1000000000000001</v>
      </c>
      <c r="G112" s="1655">
        <v>1</v>
      </c>
      <c r="H112" s="1655">
        <v>6</v>
      </c>
      <c r="I112" s="1655">
        <f t="shared" si="16"/>
        <v>6</v>
      </c>
      <c r="J112" s="152"/>
      <c r="K112" s="153">
        <f>I112*F112</f>
        <v>6.6000000000000005</v>
      </c>
      <c r="L112" s="119"/>
      <c r="M112" s="119"/>
      <c r="N112" s="354"/>
    </row>
    <row r="113" spans="2:14">
      <c r="B113" s="133"/>
      <c r="C113" s="152" t="s">
        <v>362</v>
      </c>
      <c r="D113" s="144"/>
      <c r="E113" s="1655">
        <v>12</v>
      </c>
      <c r="F113" s="817">
        <v>1.85</v>
      </c>
      <c r="G113" s="1655">
        <v>1</v>
      </c>
      <c r="H113" s="1655">
        <v>2</v>
      </c>
      <c r="I113" s="1655">
        <f t="shared" si="16"/>
        <v>2</v>
      </c>
      <c r="J113" s="152"/>
      <c r="K113" s="153"/>
      <c r="L113" s="119"/>
      <c r="M113" s="119">
        <f t="shared" si="17"/>
        <v>3.7</v>
      </c>
      <c r="N113" s="354"/>
    </row>
    <row r="114" spans="2:14">
      <c r="B114" s="133"/>
      <c r="C114" s="152"/>
      <c r="D114" s="144"/>
      <c r="E114" s="1655">
        <v>12</v>
      </c>
      <c r="F114" s="817">
        <v>1.55</v>
      </c>
      <c r="G114" s="1655">
        <v>1</v>
      </c>
      <c r="H114" s="1655">
        <v>2</v>
      </c>
      <c r="I114" s="1655">
        <f t="shared" si="16"/>
        <v>2</v>
      </c>
      <c r="J114" s="152"/>
      <c r="K114" s="153"/>
      <c r="L114" s="119"/>
      <c r="M114" s="119">
        <f t="shared" si="17"/>
        <v>3.1</v>
      </c>
      <c r="N114" s="804"/>
    </row>
    <row r="115" spans="2:14">
      <c r="B115" s="133"/>
      <c r="C115" s="152"/>
      <c r="D115" s="144"/>
      <c r="E115" s="1655">
        <v>8</v>
      </c>
      <c r="F115" s="817">
        <v>1.1000000000000001</v>
      </c>
      <c r="G115" s="1655">
        <v>1</v>
      </c>
      <c r="H115" s="1655">
        <v>9</v>
      </c>
      <c r="I115" s="1655">
        <f>G115*H115</f>
        <v>9</v>
      </c>
      <c r="J115" s="152"/>
      <c r="K115" s="153">
        <f>I115*F115</f>
        <v>9.9</v>
      </c>
      <c r="L115" s="119"/>
      <c r="M115" s="119"/>
      <c r="N115" s="804"/>
    </row>
    <row r="116" spans="2:14">
      <c r="B116" s="133"/>
      <c r="C116" s="807" t="s">
        <v>1071</v>
      </c>
      <c r="D116" s="114"/>
      <c r="E116" s="1655">
        <v>12</v>
      </c>
      <c r="F116" s="366">
        <v>1.85</v>
      </c>
      <c r="G116" s="135">
        <v>2</v>
      </c>
      <c r="H116" s="135">
        <v>2</v>
      </c>
      <c r="I116" s="136">
        <f>G116*H116</f>
        <v>4</v>
      </c>
      <c r="J116" s="136"/>
      <c r="K116" s="153"/>
      <c r="L116" s="119"/>
      <c r="M116" s="119">
        <f t="shared" si="17"/>
        <v>7.4</v>
      </c>
      <c r="N116" s="354"/>
    </row>
    <row r="117" spans="2:14">
      <c r="B117" s="133"/>
      <c r="C117" s="807"/>
      <c r="D117" s="114"/>
      <c r="E117" s="1655">
        <v>12</v>
      </c>
      <c r="F117" s="366">
        <v>1.55</v>
      </c>
      <c r="G117" s="135">
        <v>2</v>
      </c>
      <c r="H117" s="135">
        <v>2</v>
      </c>
      <c r="I117" s="136">
        <f>G117*H117</f>
        <v>4</v>
      </c>
      <c r="J117" s="136"/>
      <c r="K117" s="153"/>
      <c r="L117" s="119"/>
      <c r="M117" s="119">
        <f t="shared" si="17"/>
        <v>6.2</v>
      </c>
      <c r="N117" s="354"/>
    </row>
    <row r="118" spans="2:14">
      <c r="B118" s="133"/>
      <c r="C118" s="807"/>
      <c r="D118" s="114"/>
      <c r="E118" s="1655">
        <v>8</v>
      </c>
      <c r="F118" s="366">
        <v>0.6</v>
      </c>
      <c r="G118" s="135">
        <v>2</v>
      </c>
      <c r="H118" s="135">
        <v>9</v>
      </c>
      <c r="I118" s="136">
        <f>G118*H118</f>
        <v>18</v>
      </c>
      <c r="J118" s="136"/>
      <c r="K118" s="153">
        <f>I118*F118</f>
        <v>10.799999999999999</v>
      </c>
      <c r="L118" s="136"/>
      <c r="M118" s="136"/>
      <c r="N118" s="804"/>
    </row>
    <row r="119" spans="2:14">
      <c r="B119" s="133"/>
      <c r="C119" s="152"/>
      <c r="D119" s="144"/>
      <c r="E119" s="1655"/>
      <c r="F119" s="141"/>
      <c r="G119" s="1655"/>
      <c r="H119" s="1655"/>
      <c r="I119" s="43"/>
      <c r="J119" s="43"/>
      <c r="K119" s="43"/>
      <c r="L119" s="43"/>
      <c r="M119" s="43"/>
      <c r="N119" s="804"/>
    </row>
    <row r="120" spans="2:14" ht="16.5" thickBot="1">
      <c r="B120" s="808"/>
      <c r="C120" s="809"/>
      <c r="D120" s="126"/>
      <c r="E120" s="145"/>
      <c r="F120" s="146"/>
      <c r="G120" s="145"/>
      <c r="H120" s="145"/>
      <c r="I120" s="810"/>
      <c r="J120" s="810"/>
      <c r="K120" s="810"/>
      <c r="L120" s="810"/>
      <c r="M120" s="810"/>
      <c r="N120" s="811"/>
    </row>
    <row r="121" spans="2:14" ht="16.5" thickTop="1">
      <c r="B121" s="147"/>
      <c r="C121" s="139"/>
      <c r="D121" s="139"/>
      <c r="E121" s="139"/>
      <c r="F121" s="2252" t="s">
        <v>301</v>
      </c>
      <c r="G121" s="2252"/>
      <c r="H121" s="2252"/>
      <c r="I121" s="2253"/>
      <c r="J121" s="812"/>
      <c r="K121" s="118">
        <f>SUM(K95:K120)</f>
        <v>97.1</v>
      </c>
      <c r="L121" s="118">
        <f>SUM(L95:L120)</f>
        <v>0</v>
      </c>
      <c r="M121" s="118">
        <f>SUM(M95:M120)</f>
        <v>109.8</v>
      </c>
      <c r="N121" s="803">
        <f>SUM(N95:N118)</f>
        <v>0</v>
      </c>
    </row>
    <row r="122" spans="2:14">
      <c r="B122" s="148"/>
      <c r="C122" s="149"/>
      <c r="D122" s="149"/>
      <c r="E122" s="149"/>
      <c r="F122" s="149" t="s">
        <v>302</v>
      </c>
      <c r="G122" s="149"/>
      <c r="H122" s="149"/>
      <c r="I122" s="782"/>
      <c r="J122" s="813"/>
      <c r="K122" s="425" t="s">
        <v>303</v>
      </c>
      <c r="L122" s="814" t="s">
        <v>304</v>
      </c>
      <c r="M122" s="425" t="s">
        <v>305</v>
      </c>
      <c r="N122" s="427" t="s">
        <v>306</v>
      </c>
    </row>
    <row r="123" spans="2:14" ht="16.5" thickBot="1">
      <c r="B123" s="150"/>
      <c r="C123" s="151"/>
      <c r="D123" s="151"/>
      <c r="E123" s="151"/>
      <c r="F123" s="151" t="s">
        <v>307</v>
      </c>
      <c r="G123" s="151"/>
      <c r="H123" s="151"/>
      <c r="I123" s="785"/>
      <c r="J123" s="815"/>
      <c r="K123" s="120">
        <f>K121*K122</f>
        <v>38.354500000000002</v>
      </c>
      <c r="L123" s="120">
        <f>L121*L122</f>
        <v>0</v>
      </c>
      <c r="M123" s="120">
        <f>M121*M122</f>
        <v>97.502399999999994</v>
      </c>
      <c r="N123" s="364">
        <f>N121*N122</f>
        <v>0</v>
      </c>
    </row>
    <row r="124" spans="2:14" ht="16.5" thickTop="1"/>
  </sheetData>
  <mergeCells count="37">
    <mergeCell ref="D31:D32"/>
    <mergeCell ref="E31:E32"/>
    <mergeCell ref="F31:F32"/>
    <mergeCell ref="F90:I90"/>
    <mergeCell ref="B61:B62"/>
    <mergeCell ref="C61:C62"/>
    <mergeCell ref="D61:D62"/>
    <mergeCell ref="E61:E62"/>
    <mergeCell ref="G61:I61"/>
    <mergeCell ref="F121:I121"/>
    <mergeCell ref="G6:G7"/>
    <mergeCell ref="H6:H7"/>
    <mergeCell ref="I6:I7"/>
    <mergeCell ref="J6:N6"/>
    <mergeCell ref="F28:I28"/>
    <mergeCell ref="F58:I58"/>
    <mergeCell ref="B93:B94"/>
    <mergeCell ref="C93:C94"/>
    <mergeCell ref="D93:D94"/>
    <mergeCell ref="E93:E94"/>
    <mergeCell ref="G93:I93"/>
    <mergeCell ref="B1:G1"/>
    <mergeCell ref="L1:N1"/>
    <mergeCell ref="L2:N2"/>
    <mergeCell ref="L3:N3"/>
    <mergeCell ref="G31:G32"/>
    <mergeCell ref="H31:H32"/>
    <mergeCell ref="I31:I32"/>
    <mergeCell ref="J31:N31"/>
    <mergeCell ref="B5:N5"/>
    <mergeCell ref="B6:B7"/>
    <mergeCell ref="C6:C7"/>
    <mergeCell ref="D6:D7"/>
    <mergeCell ref="E6:E7"/>
    <mergeCell ref="F6:F7"/>
    <mergeCell ref="B31:B32"/>
    <mergeCell ref="C31:C32"/>
  </mergeCells>
  <pageMargins left="0.45" right="0.45" top="1" bottom="0.5" header="0.3" footer="0.3"/>
  <pageSetup scale="79" orientation="landscape" r:id="rId1"/>
  <rowBreaks count="3" manualBreakCount="3">
    <brk id="30" max="14" man="1"/>
    <brk id="60" max="14" man="1"/>
    <brk id="92" max="16383"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1:H43"/>
  <sheetViews>
    <sheetView view="pageBreakPreview" zoomScale="93" zoomScaleSheetLayoutView="93" workbookViewId="0">
      <selection sqref="A1:XFD1048576"/>
    </sheetView>
  </sheetViews>
  <sheetFormatPr defaultRowHeight="15"/>
  <cols>
    <col min="1" max="1" width="4" style="386" customWidth="1"/>
    <col min="2" max="2" width="5.5703125" style="386" customWidth="1"/>
    <col min="3" max="3" width="28.85546875" style="386" customWidth="1"/>
    <col min="4" max="4" width="9.140625" style="386" hidden="1" customWidth="1"/>
    <col min="5" max="5" width="14.7109375" style="386" customWidth="1"/>
    <col min="6" max="6" width="15.28515625" style="386" customWidth="1"/>
    <col min="7" max="7" width="16.42578125" style="386" customWidth="1"/>
    <col min="8" max="8" width="18.140625" style="386" customWidth="1"/>
    <col min="9" max="9" width="2.85546875" style="386" customWidth="1"/>
    <col min="10" max="255" width="9.140625" style="386"/>
    <col min="256" max="256" width="5.5703125" style="386" customWidth="1"/>
    <col min="257" max="258" width="9.140625" style="386"/>
    <col min="259" max="259" width="6.85546875" style="386" customWidth="1"/>
    <col min="260" max="260" width="0" style="386" hidden="1" customWidth="1"/>
    <col min="261" max="261" width="13.85546875" style="386" customWidth="1"/>
    <col min="262" max="262" width="14.140625" style="386" customWidth="1"/>
    <col min="263" max="263" width="15.140625" style="386" customWidth="1"/>
    <col min="264" max="264" width="18.140625" style="386" customWidth="1"/>
    <col min="265" max="511" width="9.140625" style="386"/>
    <col min="512" max="512" width="5.5703125" style="386" customWidth="1"/>
    <col min="513" max="514" width="9.140625" style="386"/>
    <col min="515" max="515" width="6.85546875" style="386" customWidth="1"/>
    <col min="516" max="516" width="0" style="386" hidden="1" customWidth="1"/>
    <col min="517" max="517" width="13.85546875" style="386" customWidth="1"/>
    <col min="518" max="518" width="14.140625" style="386" customWidth="1"/>
    <col min="519" max="519" width="15.140625" style="386" customWidth="1"/>
    <col min="520" max="520" width="18.140625" style="386" customWidth="1"/>
    <col min="521" max="767" width="9.140625" style="386"/>
    <col min="768" max="768" width="5.5703125" style="386" customWidth="1"/>
    <col min="769" max="770" width="9.140625" style="386"/>
    <col min="771" max="771" width="6.85546875" style="386" customWidth="1"/>
    <col min="772" max="772" width="0" style="386" hidden="1" customWidth="1"/>
    <col min="773" max="773" width="13.85546875" style="386" customWidth="1"/>
    <col min="774" max="774" width="14.140625" style="386" customWidth="1"/>
    <col min="775" max="775" width="15.140625" style="386" customWidth="1"/>
    <col min="776" max="776" width="18.140625" style="386" customWidth="1"/>
    <col min="777" max="1023" width="9.140625" style="386"/>
    <col min="1024" max="1024" width="5.5703125" style="386" customWidth="1"/>
    <col min="1025" max="1026" width="9.140625" style="386"/>
    <col min="1027" max="1027" width="6.85546875" style="386" customWidth="1"/>
    <col min="1028" max="1028" width="0" style="386" hidden="1" customWidth="1"/>
    <col min="1029" max="1029" width="13.85546875" style="386" customWidth="1"/>
    <col min="1030" max="1030" width="14.140625" style="386" customWidth="1"/>
    <col min="1031" max="1031" width="15.140625" style="386" customWidth="1"/>
    <col min="1032" max="1032" width="18.140625" style="386" customWidth="1"/>
    <col min="1033" max="1279" width="9.140625" style="386"/>
    <col min="1280" max="1280" width="5.5703125" style="386" customWidth="1"/>
    <col min="1281" max="1282" width="9.140625" style="386"/>
    <col min="1283" max="1283" width="6.85546875" style="386" customWidth="1"/>
    <col min="1284" max="1284" width="0" style="386" hidden="1" customWidth="1"/>
    <col min="1285" max="1285" width="13.85546875" style="386" customWidth="1"/>
    <col min="1286" max="1286" width="14.140625" style="386" customWidth="1"/>
    <col min="1287" max="1287" width="15.140625" style="386" customWidth="1"/>
    <col min="1288" max="1288" width="18.140625" style="386" customWidth="1"/>
    <col min="1289" max="1535" width="9.140625" style="386"/>
    <col min="1536" max="1536" width="5.5703125" style="386" customWidth="1"/>
    <col min="1537" max="1538" width="9.140625" style="386"/>
    <col min="1539" max="1539" width="6.85546875" style="386" customWidth="1"/>
    <col min="1540" max="1540" width="0" style="386" hidden="1" customWidth="1"/>
    <col min="1541" max="1541" width="13.85546875" style="386" customWidth="1"/>
    <col min="1542" max="1542" width="14.140625" style="386" customWidth="1"/>
    <col min="1543" max="1543" width="15.140625" style="386" customWidth="1"/>
    <col min="1544" max="1544" width="18.140625" style="386" customWidth="1"/>
    <col min="1545" max="1791" width="9.140625" style="386"/>
    <col min="1792" max="1792" width="5.5703125" style="386" customWidth="1"/>
    <col min="1793" max="1794" width="9.140625" style="386"/>
    <col min="1795" max="1795" width="6.85546875" style="386" customWidth="1"/>
    <col min="1796" max="1796" width="0" style="386" hidden="1" customWidth="1"/>
    <col min="1797" max="1797" width="13.85546875" style="386" customWidth="1"/>
    <col min="1798" max="1798" width="14.140625" style="386" customWidth="1"/>
    <col min="1799" max="1799" width="15.140625" style="386" customWidth="1"/>
    <col min="1800" max="1800" width="18.140625" style="386" customWidth="1"/>
    <col min="1801" max="2047" width="9.140625" style="386"/>
    <col min="2048" max="2048" width="5.5703125" style="386" customWidth="1"/>
    <col min="2049" max="2050" width="9.140625" style="386"/>
    <col min="2051" max="2051" width="6.85546875" style="386" customWidth="1"/>
    <col min="2052" max="2052" width="0" style="386" hidden="1" customWidth="1"/>
    <col min="2053" max="2053" width="13.85546875" style="386" customWidth="1"/>
    <col min="2054" max="2054" width="14.140625" style="386" customWidth="1"/>
    <col min="2055" max="2055" width="15.140625" style="386" customWidth="1"/>
    <col min="2056" max="2056" width="18.140625" style="386" customWidth="1"/>
    <col min="2057" max="2303" width="9.140625" style="386"/>
    <col min="2304" max="2304" width="5.5703125" style="386" customWidth="1"/>
    <col min="2305" max="2306" width="9.140625" style="386"/>
    <col min="2307" max="2307" width="6.85546875" style="386" customWidth="1"/>
    <col min="2308" max="2308" width="0" style="386" hidden="1" customWidth="1"/>
    <col min="2309" max="2309" width="13.85546875" style="386" customWidth="1"/>
    <col min="2310" max="2310" width="14.140625" style="386" customWidth="1"/>
    <col min="2311" max="2311" width="15.140625" style="386" customWidth="1"/>
    <col min="2312" max="2312" width="18.140625" style="386" customWidth="1"/>
    <col min="2313" max="2559" width="9.140625" style="386"/>
    <col min="2560" max="2560" width="5.5703125" style="386" customWidth="1"/>
    <col min="2561" max="2562" width="9.140625" style="386"/>
    <col min="2563" max="2563" width="6.85546875" style="386" customWidth="1"/>
    <col min="2564" max="2564" width="0" style="386" hidden="1" customWidth="1"/>
    <col min="2565" max="2565" width="13.85546875" style="386" customWidth="1"/>
    <col min="2566" max="2566" width="14.140625" style="386" customWidth="1"/>
    <col min="2567" max="2567" width="15.140625" style="386" customWidth="1"/>
    <col min="2568" max="2568" width="18.140625" style="386" customWidth="1"/>
    <col min="2569" max="2815" width="9.140625" style="386"/>
    <col min="2816" max="2816" width="5.5703125" style="386" customWidth="1"/>
    <col min="2817" max="2818" width="9.140625" style="386"/>
    <col min="2819" max="2819" width="6.85546875" style="386" customWidth="1"/>
    <col min="2820" max="2820" width="0" style="386" hidden="1" customWidth="1"/>
    <col min="2821" max="2821" width="13.85546875" style="386" customWidth="1"/>
    <col min="2822" max="2822" width="14.140625" style="386" customWidth="1"/>
    <col min="2823" max="2823" width="15.140625" style="386" customWidth="1"/>
    <col min="2824" max="2824" width="18.140625" style="386" customWidth="1"/>
    <col min="2825" max="3071" width="9.140625" style="386"/>
    <col min="3072" max="3072" width="5.5703125" style="386" customWidth="1"/>
    <col min="3073" max="3074" width="9.140625" style="386"/>
    <col min="3075" max="3075" width="6.85546875" style="386" customWidth="1"/>
    <col min="3076" max="3076" width="0" style="386" hidden="1" customWidth="1"/>
    <col min="3077" max="3077" width="13.85546875" style="386" customWidth="1"/>
    <col min="3078" max="3078" width="14.140625" style="386" customWidth="1"/>
    <col min="3079" max="3079" width="15.140625" style="386" customWidth="1"/>
    <col min="3080" max="3080" width="18.140625" style="386" customWidth="1"/>
    <col min="3081" max="3327" width="9.140625" style="386"/>
    <col min="3328" max="3328" width="5.5703125" style="386" customWidth="1"/>
    <col min="3329" max="3330" width="9.140625" style="386"/>
    <col min="3331" max="3331" width="6.85546875" style="386" customWidth="1"/>
    <col min="3332" max="3332" width="0" style="386" hidden="1" customWidth="1"/>
    <col min="3333" max="3333" width="13.85546875" style="386" customWidth="1"/>
    <col min="3334" max="3334" width="14.140625" style="386" customWidth="1"/>
    <col min="3335" max="3335" width="15.140625" style="386" customWidth="1"/>
    <col min="3336" max="3336" width="18.140625" style="386" customWidth="1"/>
    <col min="3337" max="3583" width="9.140625" style="386"/>
    <col min="3584" max="3584" width="5.5703125" style="386" customWidth="1"/>
    <col min="3585" max="3586" width="9.140625" style="386"/>
    <col min="3587" max="3587" width="6.85546875" style="386" customWidth="1"/>
    <col min="3588" max="3588" width="0" style="386" hidden="1" customWidth="1"/>
    <col min="3589" max="3589" width="13.85546875" style="386" customWidth="1"/>
    <col min="3590" max="3590" width="14.140625" style="386" customWidth="1"/>
    <col min="3591" max="3591" width="15.140625" style="386" customWidth="1"/>
    <col min="3592" max="3592" width="18.140625" style="386" customWidth="1"/>
    <col min="3593" max="3839" width="9.140625" style="386"/>
    <col min="3840" max="3840" width="5.5703125" style="386" customWidth="1"/>
    <col min="3841" max="3842" width="9.140625" style="386"/>
    <col min="3843" max="3843" width="6.85546875" style="386" customWidth="1"/>
    <col min="3844" max="3844" width="0" style="386" hidden="1" customWidth="1"/>
    <col min="3845" max="3845" width="13.85546875" style="386" customWidth="1"/>
    <col min="3846" max="3846" width="14.140625" style="386" customWidth="1"/>
    <col min="3847" max="3847" width="15.140625" style="386" customWidth="1"/>
    <col min="3848" max="3848" width="18.140625" style="386" customWidth="1"/>
    <col min="3849" max="4095" width="9.140625" style="386"/>
    <col min="4096" max="4096" width="5.5703125" style="386" customWidth="1"/>
    <col min="4097" max="4098" width="9.140625" style="386"/>
    <col min="4099" max="4099" width="6.85546875" style="386" customWidth="1"/>
    <col min="4100" max="4100" width="0" style="386" hidden="1" customWidth="1"/>
    <col min="4101" max="4101" width="13.85546875" style="386" customWidth="1"/>
    <col min="4102" max="4102" width="14.140625" style="386" customWidth="1"/>
    <col min="4103" max="4103" width="15.140625" style="386" customWidth="1"/>
    <col min="4104" max="4104" width="18.140625" style="386" customWidth="1"/>
    <col min="4105" max="4351" width="9.140625" style="386"/>
    <col min="4352" max="4352" width="5.5703125" style="386" customWidth="1"/>
    <col min="4353" max="4354" width="9.140625" style="386"/>
    <col min="4355" max="4355" width="6.85546875" style="386" customWidth="1"/>
    <col min="4356" max="4356" width="0" style="386" hidden="1" customWidth="1"/>
    <col min="4357" max="4357" width="13.85546875" style="386" customWidth="1"/>
    <col min="4358" max="4358" width="14.140625" style="386" customWidth="1"/>
    <col min="4359" max="4359" width="15.140625" style="386" customWidth="1"/>
    <col min="4360" max="4360" width="18.140625" style="386" customWidth="1"/>
    <col min="4361" max="4607" width="9.140625" style="386"/>
    <col min="4608" max="4608" width="5.5703125" style="386" customWidth="1"/>
    <col min="4609" max="4610" width="9.140625" style="386"/>
    <col min="4611" max="4611" width="6.85546875" style="386" customWidth="1"/>
    <col min="4612" max="4612" width="0" style="386" hidden="1" customWidth="1"/>
    <col min="4613" max="4613" width="13.85546875" style="386" customWidth="1"/>
    <col min="4614" max="4614" width="14.140625" style="386" customWidth="1"/>
    <col min="4615" max="4615" width="15.140625" style="386" customWidth="1"/>
    <col min="4616" max="4616" width="18.140625" style="386" customWidth="1"/>
    <col min="4617" max="4863" width="9.140625" style="386"/>
    <col min="4864" max="4864" width="5.5703125" style="386" customWidth="1"/>
    <col min="4865" max="4866" width="9.140625" style="386"/>
    <col min="4867" max="4867" width="6.85546875" style="386" customWidth="1"/>
    <col min="4868" max="4868" width="0" style="386" hidden="1" customWidth="1"/>
    <col min="4869" max="4869" width="13.85546875" style="386" customWidth="1"/>
    <col min="4870" max="4870" width="14.140625" style="386" customWidth="1"/>
    <col min="4871" max="4871" width="15.140625" style="386" customWidth="1"/>
    <col min="4872" max="4872" width="18.140625" style="386" customWidth="1"/>
    <col min="4873" max="5119" width="9.140625" style="386"/>
    <col min="5120" max="5120" width="5.5703125" style="386" customWidth="1"/>
    <col min="5121" max="5122" width="9.140625" style="386"/>
    <col min="5123" max="5123" width="6.85546875" style="386" customWidth="1"/>
    <col min="5124" max="5124" width="0" style="386" hidden="1" customWidth="1"/>
    <col min="5125" max="5125" width="13.85546875" style="386" customWidth="1"/>
    <col min="5126" max="5126" width="14.140625" style="386" customWidth="1"/>
    <col min="5127" max="5127" width="15.140625" style="386" customWidth="1"/>
    <col min="5128" max="5128" width="18.140625" style="386" customWidth="1"/>
    <col min="5129" max="5375" width="9.140625" style="386"/>
    <col min="5376" max="5376" width="5.5703125" style="386" customWidth="1"/>
    <col min="5377" max="5378" width="9.140625" style="386"/>
    <col min="5379" max="5379" width="6.85546875" style="386" customWidth="1"/>
    <col min="5380" max="5380" width="0" style="386" hidden="1" customWidth="1"/>
    <col min="5381" max="5381" width="13.85546875" style="386" customWidth="1"/>
    <col min="5382" max="5382" width="14.140625" style="386" customWidth="1"/>
    <col min="5383" max="5383" width="15.140625" style="386" customWidth="1"/>
    <col min="5384" max="5384" width="18.140625" style="386" customWidth="1"/>
    <col min="5385" max="5631" width="9.140625" style="386"/>
    <col min="5632" max="5632" width="5.5703125" style="386" customWidth="1"/>
    <col min="5633" max="5634" width="9.140625" style="386"/>
    <col min="5635" max="5635" width="6.85546875" style="386" customWidth="1"/>
    <col min="5636" max="5636" width="0" style="386" hidden="1" customWidth="1"/>
    <col min="5637" max="5637" width="13.85546875" style="386" customWidth="1"/>
    <col min="5638" max="5638" width="14.140625" style="386" customWidth="1"/>
    <col min="5639" max="5639" width="15.140625" style="386" customWidth="1"/>
    <col min="5640" max="5640" width="18.140625" style="386" customWidth="1"/>
    <col min="5641" max="5887" width="9.140625" style="386"/>
    <col min="5888" max="5888" width="5.5703125" style="386" customWidth="1"/>
    <col min="5889" max="5890" width="9.140625" style="386"/>
    <col min="5891" max="5891" width="6.85546875" style="386" customWidth="1"/>
    <col min="5892" max="5892" width="0" style="386" hidden="1" customWidth="1"/>
    <col min="5893" max="5893" width="13.85546875" style="386" customWidth="1"/>
    <col min="5894" max="5894" width="14.140625" style="386" customWidth="1"/>
    <col min="5895" max="5895" width="15.140625" style="386" customWidth="1"/>
    <col min="5896" max="5896" width="18.140625" style="386" customWidth="1"/>
    <col min="5897" max="6143" width="9.140625" style="386"/>
    <col min="6144" max="6144" width="5.5703125" style="386" customWidth="1"/>
    <col min="6145" max="6146" width="9.140625" style="386"/>
    <col min="6147" max="6147" width="6.85546875" style="386" customWidth="1"/>
    <col min="6148" max="6148" width="0" style="386" hidden="1" customWidth="1"/>
    <col min="6149" max="6149" width="13.85546875" style="386" customWidth="1"/>
    <col min="6150" max="6150" width="14.140625" style="386" customWidth="1"/>
    <col min="6151" max="6151" width="15.140625" style="386" customWidth="1"/>
    <col min="6152" max="6152" width="18.140625" style="386" customWidth="1"/>
    <col min="6153" max="6399" width="9.140625" style="386"/>
    <col min="6400" max="6400" width="5.5703125" style="386" customWidth="1"/>
    <col min="6401" max="6402" width="9.140625" style="386"/>
    <col min="6403" max="6403" width="6.85546875" style="386" customWidth="1"/>
    <col min="6404" max="6404" width="0" style="386" hidden="1" customWidth="1"/>
    <col min="6405" max="6405" width="13.85546875" style="386" customWidth="1"/>
    <col min="6406" max="6406" width="14.140625" style="386" customWidth="1"/>
    <col min="6407" max="6407" width="15.140625" style="386" customWidth="1"/>
    <col min="6408" max="6408" width="18.140625" style="386" customWidth="1"/>
    <col min="6409" max="6655" width="9.140625" style="386"/>
    <col min="6656" max="6656" width="5.5703125" style="386" customWidth="1"/>
    <col min="6657" max="6658" width="9.140625" style="386"/>
    <col min="6659" max="6659" width="6.85546875" style="386" customWidth="1"/>
    <col min="6660" max="6660" width="0" style="386" hidden="1" customWidth="1"/>
    <col min="6661" max="6661" width="13.85546875" style="386" customWidth="1"/>
    <col min="6662" max="6662" width="14.140625" style="386" customWidth="1"/>
    <col min="6663" max="6663" width="15.140625" style="386" customWidth="1"/>
    <col min="6664" max="6664" width="18.140625" style="386" customWidth="1"/>
    <col min="6665" max="6911" width="9.140625" style="386"/>
    <col min="6912" max="6912" width="5.5703125" style="386" customWidth="1"/>
    <col min="6913" max="6914" width="9.140625" style="386"/>
    <col min="6915" max="6915" width="6.85546875" style="386" customWidth="1"/>
    <col min="6916" max="6916" width="0" style="386" hidden="1" customWidth="1"/>
    <col min="6917" max="6917" width="13.85546875" style="386" customWidth="1"/>
    <col min="6918" max="6918" width="14.140625" style="386" customWidth="1"/>
    <col min="6919" max="6919" width="15.140625" style="386" customWidth="1"/>
    <col min="6920" max="6920" width="18.140625" style="386" customWidth="1"/>
    <col min="6921" max="7167" width="9.140625" style="386"/>
    <col min="7168" max="7168" width="5.5703125" style="386" customWidth="1"/>
    <col min="7169" max="7170" width="9.140625" style="386"/>
    <col min="7171" max="7171" width="6.85546875" style="386" customWidth="1"/>
    <col min="7172" max="7172" width="0" style="386" hidden="1" customWidth="1"/>
    <col min="7173" max="7173" width="13.85546875" style="386" customWidth="1"/>
    <col min="7174" max="7174" width="14.140625" style="386" customWidth="1"/>
    <col min="7175" max="7175" width="15.140625" style="386" customWidth="1"/>
    <col min="7176" max="7176" width="18.140625" style="386" customWidth="1"/>
    <col min="7177" max="7423" width="9.140625" style="386"/>
    <col min="7424" max="7424" width="5.5703125" style="386" customWidth="1"/>
    <col min="7425" max="7426" width="9.140625" style="386"/>
    <col min="7427" max="7427" width="6.85546875" style="386" customWidth="1"/>
    <col min="7428" max="7428" width="0" style="386" hidden="1" customWidth="1"/>
    <col min="7429" max="7429" width="13.85546875" style="386" customWidth="1"/>
    <col min="7430" max="7430" width="14.140625" style="386" customWidth="1"/>
    <col min="7431" max="7431" width="15.140625" style="386" customWidth="1"/>
    <col min="7432" max="7432" width="18.140625" style="386" customWidth="1"/>
    <col min="7433" max="7679" width="9.140625" style="386"/>
    <col min="7680" max="7680" width="5.5703125" style="386" customWidth="1"/>
    <col min="7681" max="7682" width="9.140625" style="386"/>
    <col min="7683" max="7683" width="6.85546875" style="386" customWidth="1"/>
    <col min="7684" max="7684" width="0" style="386" hidden="1" customWidth="1"/>
    <col min="7685" max="7685" width="13.85546875" style="386" customWidth="1"/>
    <col min="7686" max="7686" width="14.140625" style="386" customWidth="1"/>
    <col min="7687" max="7687" width="15.140625" style="386" customWidth="1"/>
    <col min="7688" max="7688" width="18.140625" style="386" customWidth="1"/>
    <col min="7689" max="7935" width="9.140625" style="386"/>
    <col min="7936" max="7936" width="5.5703125" style="386" customWidth="1"/>
    <col min="7937" max="7938" width="9.140625" style="386"/>
    <col min="7939" max="7939" width="6.85546875" style="386" customWidth="1"/>
    <col min="7940" max="7940" width="0" style="386" hidden="1" customWidth="1"/>
    <col min="7941" max="7941" width="13.85546875" style="386" customWidth="1"/>
    <col min="7942" max="7942" width="14.140625" style="386" customWidth="1"/>
    <col min="7943" max="7943" width="15.140625" style="386" customWidth="1"/>
    <col min="7944" max="7944" width="18.140625" style="386" customWidth="1"/>
    <col min="7945" max="8191" width="9.140625" style="386"/>
    <col min="8192" max="8192" width="5.5703125" style="386" customWidth="1"/>
    <col min="8193" max="8194" width="9.140625" style="386"/>
    <col min="8195" max="8195" width="6.85546875" style="386" customWidth="1"/>
    <col min="8196" max="8196" width="0" style="386" hidden="1" customWidth="1"/>
    <col min="8197" max="8197" width="13.85546875" style="386" customWidth="1"/>
    <col min="8198" max="8198" width="14.140625" style="386" customWidth="1"/>
    <col min="8199" max="8199" width="15.140625" style="386" customWidth="1"/>
    <col min="8200" max="8200" width="18.140625" style="386" customWidth="1"/>
    <col min="8201" max="8447" width="9.140625" style="386"/>
    <col min="8448" max="8448" width="5.5703125" style="386" customWidth="1"/>
    <col min="8449" max="8450" width="9.140625" style="386"/>
    <col min="8451" max="8451" width="6.85546875" style="386" customWidth="1"/>
    <col min="8452" max="8452" width="0" style="386" hidden="1" customWidth="1"/>
    <col min="8453" max="8453" width="13.85546875" style="386" customWidth="1"/>
    <col min="8454" max="8454" width="14.140625" style="386" customWidth="1"/>
    <col min="8455" max="8455" width="15.140625" style="386" customWidth="1"/>
    <col min="8456" max="8456" width="18.140625" style="386" customWidth="1"/>
    <col min="8457" max="8703" width="9.140625" style="386"/>
    <col min="8704" max="8704" width="5.5703125" style="386" customWidth="1"/>
    <col min="8705" max="8706" width="9.140625" style="386"/>
    <col min="8707" max="8707" width="6.85546875" style="386" customWidth="1"/>
    <col min="8708" max="8708" width="0" style="386" hidden="1" customWidth="1"/>
    <col min="8709" max="8709" width="13.85546875" style="386" customWidth="1"/>
    <col min="8710" max="8710" width="14.140625" style="386" customWidth="1"/>
    <col min="8711" max="8711" width="15.140625" style="386" customWidth="1"/>
    <col min="8712" max="8712" width="18.140625" style="386" customWidth="1"/>
    <col min="8713" max="8959" width="9.140625" style="386"/>
    <col min="8960" max="8960" width="5.5703125" style="386" customWidth="1"/>
    <col min="8961" max="8962" width="9.140625" style="386"/>
    <col min="8963" max="8963" width="6.85546875" style="386" customWidth="1"/>
    <col min="8964" max="8964" width="0" style="386" hidden="1" customWidth="1"/>
    <col min="8965" max="8965" width="13.85546875" style="386" customWidth="1"/>
    <col min="8966" max="8966" width="14.140625" style="386" customWidth="1"/>
    <col min="8967" max="8967" width="15.140625" style="386" customWidth="1"/>
    <col min="8968" max="8968" width="18.140625" style="386" customWidth="1"/>
    <col min="8969" max="9215" width="9.140625" style="386"/>
    <col min="9216" max="9216" width="5.5703125" style="386" customWidth="1"/>
    <col min="9217" max="9218" width="9.140625" style="386"/>
    <col min="9219" max="9219" width="6.85546875" style="386" customWidth="1"/>
    <col min="9220" max="9220" width="0" style="386" hidden="1" customWidth="1"/>
    <col min="9221" max="9221" width="13.85546875" style="386" customWidth="1"/>
    <col min="9222" max="9222" width="14.140625" style="386" customWidth="1"/>
    <col min="9223" max="9223" width="15.140625" style="386" customWidth="1"/>
    <col min="9224" max="9224" width="18.140625" style="386" customWidth="1"/>
    <col min="9225" max="9471" width="9.140625" style="386"/>
    <col min="9472" max="9472" width="5.5703125" style="386" customWidth="1"/>
    <col min="9473" max="9474" width="9.140625" style="386"/>
    <col min="9475" max="9475" width="6.85546875" style="386" customWidth="1"/>
    <col min="9476" max="9476" width="0" style="386" hidden="1" customWidth="1"/>
    <col min="9477" max="9477" width="13.85546875" style="386" customWidth="1"/>
    <col min="9478" max="9478" width="14.140625" style="386" customWidth="1"/>
    <col min="9479" max="9479" width="15.140625" style="386" customWidth="1"/>
    <col min="9480" max="9480" width="18.140625" style="386" customWidth="1"/>
    <col min="9481" max="9727" width="9.140625" style="386"/>
    <col min="9728" max="9728" width="5.5703125" style="386" customWidth="1"/>
    <col min="9729" max="9730" width="9.140625" style="386"/>
    <col min="9731" max="9731" width="6.85546875" style="386" customWidth="1"/>
    <col min="9732" max="9732" width="0" style="386" hidden="1" customWidth="1"/>
    <col min="9733" max="9733" width="13.85546875" style="386" customWidth="1"/>
    <col min="9734" max="9734" width="14.140625" style="386" customWidth="1"/>
    <col min="9735" max="9735" width="15.140625" style="386" customWidth="1"/>
    <col min="9736" max="9736" width="18.140625" style="386" customWidth="1"/>
    <col min="9737" max="9983" width="9.140625" style="386"/>
    <col min="9984" max="9984" width="5.5703125" style="386" customWidth="1"/>
    <col min="9985" max="9986" width="9.140625" style="386"/>
    <col min="9987" max="9987" width="6.85546875" style="386" customWidth="1"/>
    <col min="9988" max="9988" width="0" style="386" hidden="1" customWidth="1"/>
    <col min="9989" max="9989" width="13.85546875" style="386" customWidth="1"/>
    <col min="9990" max="9990" width="14.140625" style="386" customWidth="1"/>
    <col min="9991" max="9991" width="15.140625" style="386" customWidth="1"/>
    <col min="9992" max="9992" width="18.140625" style="386" customWidth="1"/>
    <col min="9993" max="10239" width="9.140625" style="386"/>
    <col min="10240" max="10240" width="5.5703125" style="386" customWidth="1"/>
    <col min="10241" max="10242" width="9.140625" style="386"/>
    <col min="10243" max="10243" width="6.85546875" style="386" customWidth="1"/>
    <col min="10244" max="10244" width="0" style="386" hidden="1" customWidth="1"/>
    <col min="10245" max="10245" width="13.85546875" style="386" customWidth="1"/>
    <col min="10246" max="10246" width="14.140625" style="386" customWidth="1"/>
    <col min="10247" max="10247" width="15.140625" style="386" customWidth="1"/>
    <col min="10248" max="10248" width="18.140625" style="386" customWidth="1"/>
    <col min="10249" max="10495" width="9.140625" style="386"/>
    <col min="10496" max="10496" width="5.5703125" style="386" customWidth="1"/>
    <col min="10497" max="10498" width="9.140625" style="386"/>
    <col min="10499" max="10499" width="6.85546875" style="386" customWidth="1"/>
    <col min="10500" max="10500" width="0" style="386" hidden="1" customWidth="1"/>
    <col min="10501" max="10501" width="13.85546875" style="386" customWidth="1"/>
    <col min="10502" max="10502" width="14.140625" style="386" customWidth="1"/>
    <col min="10503" max="10503" width="15.140625" style="386" customWidth="1"/>
    <col min="10504" max="10504" width="18.140625" style="386" customWidth="1"/>
    <col min="10505" max="10751" width="9.140625" style="386"/>
    <col min="10752" max="10752" width="5.5703125" style="386" customWidth="1"/>
    <col min="10753" max="10754" width="9.140625" style="386"/>
    <col min="10755" max="10755" width="6.85546875" style="386" customWidth="1"/>
    <col min="10756" max="10756" width="0" style="386" hidden="1" customWidth="1"/>
    <col min="10757" max="10757" width="13.85546875" style="386" customWidth="1"/>
    <col min="10758" max="10758" width="14.140625" style="386" customWidth="1"/>
    <col min="10759" max="10759" width="15.140625" style="386" customWidth="1"/>
    <col min="10760" max="10760" width="18.140625" style="386" customWidth="1"/>
    <col min="10761" max="11007" width="9.140625" style="386"/>
    <col min="11008" max="11008" width="5.5703125" style="386" customWidth="1"/>
    <col min="11009" max="11010" width="9.140625" style="386"/>
    <col min="11011" max="11011" width="6.85546875" style="386" customWidth="1"/>
    <col min="11012" max="11012" width="0" style="386" hidden="1" customWidth="1"/>
    <col min="11013" max="11013" width="13.85546875" style="386" customWidth="1"/>
    <col min="11014" max="11014" width="14.140625" style="386" customWidth="1"/>
    <col min="11015" max="11015" width="15.140625" style="386" customWidth="1"/>
    <col min="11016" max="11016" width="18.140625" style="386" customWidth="1"/>
    <col min="11017" max="11263" width="9.140625" style="386"/>
    <col min="11264" max="11264" width="5.5703125" style="386" customWidth="1"/>
    <col min="11265" max="11266" width="9.140625" style="386"/>
    <col min="11267" max="11267" width="6.85546875" style="386" customWidth="1"/>
    <col min="11268" max="11268" width="0" style="386" hidden="1" customWidth="1"/>
    <col min="11269" max="11269" width="13.85546875" style="386" customWidth="1"/>
    <col min="11270" max="11270" width="14.140625" style="386" customWidth="1"/>
    <col min="11271" max="11271" width="15.140625" style="386" customWidth="1"/>
    <col min="11272" max="11272" width="18.140625" style="386" customWidth="1"/>
    <col min="11273" max="11519" width="9.140625" style="386"/>
    <col min="11520" max="11520" width="5.5703125" style="386" customWidth="1"/>
    <col min="11521" max="11522" width="9.140625" style="386"/>
    <col min="11523" max="11523" width="6.85546875" style="386" customWidth="1"/>
    <col min="11524" max="11524" width="0" style="386" hidden="1" customWidth="1"/>
    <col min="11525" max="11525" width="13.85546875" style="386" customWidth="1"/>
    <col min="11526" max="11526" width="14.140625" style="386" customWidth="1"/>
    <col min="11527" max="11527" width="15.140625" style="386" customWidth="1"/>
    <col min="11528" max="11528" width="18.140625" style="386" customWidth="1"/>
    <col min="11529" max="11775" width="9.140625" style="386"/>
    <col min="11776" max="11776" width="5.5703125" style="386" customWidth="1"/>
    <col min="11777" max="11778" width="9.140625" style="386"/>
    <col min="11779" max="11779" width="6.85546875" style="386" customWidth="1"/>
    <col min="11780" max="11780" width="0" style="386" hidden="1" customWidth="1"/>
    <col min="11781" max="11781" width="13.85546875" style="386" customWidth="1"/>
    <col min="11782" max="11782" width="14.140625" style="386" customWidth="1"/>
    <col min="11783" max="11783" width="15.140625" style="386" customWidth="1"/>
    <col min="11784" max="11784" width="18.140625" style="386" customWidth="1"/>
    <col min="11785" max="12031" width="9.140625" style="386"/>
    <col min="12032" max="12032" width="5.5703125" style="386" customWidth="1"/>
    <col min="12033" max="12034" width="9.140625" style="386"/>
    <col min="12035" max="12035" width="6.85546875" style="386" customWidth="1"/>
    <col min="12036" max="12036" width="0" style="386" hidden="1" customWidth="1"/>
    <col min="12037" max="12037" width="13.85546875" style="386" customWidth="1"/>
    <col min="12038" max="12038" width="14.140625" style="386" customWidth="1"/>
    <col min="12039" max="12039" width="15.140625" style="386" customWidth="1"/>
    <col min="12040" max="12040" width="18.140625" style="386" customWidth="1"/>
    <col min="12041" max="12287" width="9.140625" style="386"/>
    <col min="12288" max="12288" width="5.5703125" style="386" customWidth="1"/>
    <col min="12289" max="12290" width="9.140625" style="386"/>
    <col min="12291" max="12291" width="6.85546875" style="386" customWidth="1"/>
    <col min="12292" max="12292" width="0" style="386" hidden="1" customWidth="1"/>
    <col min="12293" max="12293" width="13.85546875" style="386" customWidth="1"/>
    <col min="12294" max="12294" width="14.140625" style="386" customWidth="1"/>
    <col min="12295" max="12295" width="15.140625" style="386" customWidth="1"/>
    <col min="12296" max="12296" width="18.140625" style="386" customWidth="1"/>
    <col min="12297" max="12543" width="9.140625" style="386"/>
    <col min="12544" max="12544" width="5.5703125" style="386" customWidth="1"/>
    <col min="12545" max="12546" width="9.140625" style="386"/>
    <col min="12547" max="12547" width="6.85546875" style="386" customWidth="1"/>
    <col min="12548" max="12548" width="0" style="386" hidden="1" customWidth="1"/>
    <col min="12549" max="12549" width="13.85546875" style="386" customWidth="1"/>
    <col min="12550" max="12550" width="14.140625" style="386" customWidth="1"/>
    <col min="12551" max="12551" width="15.140625" style="386" customWidth="1"/>
    <col min="12552" max="12552" width="18.140625" style="386" customWidth="1"/>
    <col min="12553" max="12799" width="9.140625" style="386"/>
    <col min="12800" max="12800" width="5.5703125" style="386" customWidth="1"/>
    <col min="12801" max="12802" width="9.140625" style="386"/>
    <col min="12803" max="12803" width="6.85546875" style="386" customWidth="1"/>
    <col min="12804" max="12804" width="0" style="386" hidden="1" customWidth="1"/>
    <col min="12805" max="12805" width="13.85546875" style="386" customWidth="1"/>
    <col min="12806" max="12806" width="14.140625" style="386" customWidth="1"/>
    <col min="12807" max="12807" width="15.140625" style="386" customWidth="1"/>
    <col min="12808" max="12808" width="18.140625" style="386" customWidth="1"/>
    <col min="12809" max="13055" width="9.140625" style="386"/>
    <col min="13056" max="13056" width="5.5703125" style="386" customWidth="1"/>
    <col min="13057" max="13058" width="9.140625" style="386"/>
    <col min="13059" max="13059" width="6.85546875" style="386" customWidth="1"/>
    <col min="13060" max="13060" width="0" style="386" hidden="1" customWidth="1"/>
    <col min="13061" max="13061" width="13.85546875" style="386" customWidth="1"/>
    <col min="13062" max="13062" width="14.140625" style="386" customWidth="1"/>
    <col min="13063" max="13063" width="15.140625" style="386" customWidth="1"/>
    <col min="13064" max="13064" width="18.140625" style="386" customWidth="1"/>
    <col min="13065" max="13311" width="9.140625" style="386"/>
    <col min="13312" max="13312" width="5.5703125" style="386" customWidth="1"/>
    <col min="13313" max="13314" width="9.140625" style="386"/>
    <col min="13315" max="13315" width="6.85546875" style="386" customWidth="1"/>
    <col min="13316" max="13316" width="0" style="386" hidden="1" customWidth="1"/>
    <col min="13317" max="13317" width="13.85546875" style="386" customWidth="1"/>
    <col min="13318" max="13318" width="14.140625" style="386" customWidth="1"/>
    <col min="13319" max="13319" width="15.140625" style="386" customWidth="1"/>
    <col min="13320" max="13320" width="18.140625" style="386" customWidth="1"/>
    <col min="13321" max="13567" width="9.140625" style="386"/>
    <col min="13568" max="13568" width="5.5703125" style="386" customWidth="1"/>
    <col min="13569" max="13570" width="9.140625" style="386"/>
    <col min="13571" max="13571" width="6.85546875" style="386" customWidth="1"/>
    <col min="13572" max="13572" width="0" style="386" hidden="1" customWidth="1"/>
    <col min="13573" max="13573" width="13.85546875" style="386" customWidth="1"/>
    <col min="13574" max="13574" width="14.140625" style="386" customWidth="1"/>
    <col min="13575" max="13575" width="15.140625" style="386" customWidth="1"/>
    <col min="13576" max="13576" width="18.140625" style="386" customWidth="1"/>
    <col min="13577" max="13823" width="9.140625" style="386"/>
    <col min="13824" max="13824" width="5.5703125" style="386" customWidth="1"/>
    <col min="13825" max="13826" width="9.140625" style="386"/>
    <col min="13827" max="13827" width="6.85546875" style="386" customWidth="1"/>
    <col min="13828" max="13828" width="0" style="386" hidden="1" customWidth="1"/>
    <col min="13829" max="13829" width="13.85546875" style="386" customWidth="1"/>
    <col min="13830" max="13830" width="14.140625" style="386" customWidth="1"/>
    <col min="13831" max="13831" width="15.140625" style="386" customWidth="1"/>
    <col min="13832" max="13832" width="18.140625" style="386" customWidth="1"/>
    <col min="13833" max="14079" width="9.140625" style="386"/>
    <col min="14080" max="14080" width="5.5703125" style="386" customWidth="1"/>
    <col min="14081" max="14082" width="9.140625" style="386"/>
    <col min="14083" max="14083" width="6.85546875" style="386" customWidth="1"/>
    <col min="14084" max="14084" width="0" style="386" hidden="1" customWidth="1"/>
    <col min="14085" max="14085" width="13.85546875" style="386" customWidth="1"/>
    <col min="14086" max="14086" width="14.140625" style="386" customWidth="1"/>
    <col min="14087" max="14087" width="15.140625" style="386" customWidth="1"/>
    <col min="14088" max="14088" width="18.140625" style="386" customWidth="1"/>
    <col min="14089" max="14335" width="9.140625" style="386"/>
    <col min="14336" max="14336" width="5.5703125" style="386" customWidth="1"/>
    <col min="14337" max="14338" width="9.140625" style="386"/>
    <col min="14339" max="14339" width="6.85546875" style="386" customWidth="1"/>
    <col min="14340" max="14340" width="0" style="386" hidden="1" customWidth="1"/>
    <col min="14341" max="14341" width="13.85546875" style="386" customWidth="1"/>
    <col min="14342" max="14342" width="14.140625" style="386" customWidth="1"/>
    <col min="14343" max="14343" width="15.140625" style="386" customWidth="1"/>
    <col min="14344" max="14344" width="18.140625" style="386" customWidth="1"/>
    <col min="14345" max="14591" width="9.140625" style="386"/>
    <col min="14592" max="14592" width="5.5703125" style="386" customWidth="1"/>
    <col min="14593" max="14594" width="9.140625" style="386"/>
    <col min="14595" max="14595" width="6.85546875" style="386" customWidth="1"/>
    <col min="14596" max="14596" width="0" style="386" hidden="1" customWidth="1"/>
    <col min="14597" max="14597" width="13.85546875" style="386" customWidth="1"/>
    <col min="14598" max="14598" width="14.140625" style="386" customWidth="1"/>
    <col min="14599" max="14599" width="15.140625" style="386" customWidth="1"/>
    <col min="14600" max="14600" width="18.140625" style="386" customWidth="1"/>
    <col min="14601" max="14847" width="9.140625" style="386"/>
    <col min="14848" max="14848" width="5.5703125" style="386" customWidth="1"/>
    <col min="14849" max="14850" width="9.140625" style="386"/>
    <col min="14851" max="14851" width="6.85546875" style="386" customWidth="1"/>
    <col min="14852" max="14852" width="0" style="386" hidden="1" customWidth="1"/>
    <col min="14853" max="14853" width="13.85546875" style="386" customWidth="1"/>
    <col min="14854" max="14854" width="14.140625" style="386" customWidth="1"/>
    <col min="14855" max="14855" width="15.140625" style="386" customWidth="1"/>
    <col min="14856" max="14856" width="18.140625" style="386" customWidth="1"/>
    <col min="14857" max="15103" width="9.140625" style="386"/>
    <col min="15104" max="15104" width="5.5703125" style="386" customWidth="1"/>
    <col min="15105" max="15106" width="9.140625" style="386"/>
    <col min="15107" max="15107" width="6.85546875" style="386" customWidth="1"/>
    <col min="15108" max="15108" width="0" style="386" hidden="1" customWidth="1"/>
    <col min="15109" max="15109" width="13.85546875" style="386" customWidth="1"/>
    <col min="15110" max="15110" width="14.140625" style="386" customWidth="1"/>
    <col min="15111" max="15111" width="15.140625" style="386" customWidth="1"/>
    <col min="15112" max="15112" width="18.140625" style="386" customWidth="1"/>
    <col min="15113" max="15359" width="9.140625" style="386"/>
    <col min="15360" max="15360" width="5.5703125" style="386" customWidth="1"/>
    <col min="15361" max="15362" width="9.140625" style="386"/>
    <col min="15363" max="15363" width="6.85546875" style="386" customWidth="1"/>
    <col min="15364" max="15364" width="0" style="386" hidden="1" customWidth="1"/>
    <col min="15365" max="15365" width="13.85546875" style="386" customWidth="1"/>
    <col min="15366" max="15366" width="14.140625" style="386" customWidth="1"/>
    <col min="15367" max="15367" width="15.140625" style="386" customWidth="1"/>
    <col min="15368" max="15368" width="18.140625" style="386" customWidth="1"/>
    <col min="15369" max="15615" width="9.140625" style="386"/>
    <col min="15616" max="15616" width="5.5703125" style="386" customWidth="1"/>
    <col min="15617" max="15618" width="9.140625" style="386"/>
    <col min="15619" max="15619" width="6.85546875" style="386" customWidth="1"/>
    <col min="15620" max="15620" width="0" style="386" hidden="1" customWidth="1"/>
    <col min="15621" max="15621" width="13.85546875" style="386" customWidth="1"/>
    <col min="15622" max="15622" width="14.140625" style="386" customWidth="1"/>
    <col min="15623" max="15623" width="15.140625" style="386" customWidth="1"/>
    <col min="15624" max="15624" width="18.140625" style="386" customWidth="1"/>
    <col min="15625" max="15871" width="9.140625" style="386"/>
    <col min="15872" max="15872" width="5.5703125" style="386" customWidth="1"/>
    <col min="15873" max="15874" width="9.140625" style="386"/>
    <col min="15875" max="15875" width="6.85546875" style="386" customWidth="1"/>
    <col min="15876" max="15876" width="0" style="386" hidden="1" customWidth="1"/>
    <col min="15877" max="15877" width="13.85546875" style="386" customWidth="1"/>
    <col min="15878" max="15878" width="14.140625" style="386" customWidth="1"/>
    <col min="15879" max="15879" width="15.140625" style="386" customWidth="1"/>
    <col min="15880" max="15880" width="18.140625" style="386" customWidth="1"/>
    <col min="15881" max="16127" width="9.140625" style="386"/>
    <col min="16128" max="16128" width="5.5703125" style="386" customWidth="1"/>
    <col min="16129" max="16130" width="9.140625" style="386"/>
    <col min="16131" max="16131" width="6.85546875" style="386" customWidth="1"/>
    <col min="16132" max="16132" width="0" style="386" hidden="1" customWidth="1"/>
    <col min="16133" max="16133" width="13.85546875" style="386" customWidth="1"/>
    <col min="16134" max="16134" width="14.140625" style="386" customWidth="1"/>
    <col min="16135" max="16135" width="15.140625" style="386" customWidth="1"/>
    <col min="16136" max="16136" width="18.140625" style="386" customWidth="1"/>
    <col min="16137" max="16384" width="9.140625" style="386"/>
  </cols>
  <sheetData>
    <row r="1" spans="2:8" s="432" customFormat="1" ht="18">
      <c r="B1" s="2080" t="s">
        <v>1520</v>
      </c>
      <c r="C1" s="2080"/>
      <c r="D1" s="2080"/>
      <c r="E1" s="2080"/>
      <c r="F1" s="2080"/>
      <c r="G1" s="2080"/>
      <c r="H1" s="2080"/>
    </row>
    <row r="2" spans="2:8" s="432" customFormat="1" ht="18">
      <c r="B2" s="1781"/>
      <c r="C2" s="1781"/>
      <c r="D2" s="1782"/>
      <c r="E2" s="1809"/>
      <c r="F2" s="1809"/>
      <c r="G2" s="1841"/>
    </row>
    <row r="3" spans="2:8" s="432" customFormat="1" ht="18">
      <c r="B3" s="2110" t="s">
        <v>1521</v>
      </c>
      <c r="C3" s="2110"/>
      <c r="D3" s="2110"/>
      <c r="E3" s="2110"/>
      <c r="F3" s="1810"/>
      <c r="G3" s="1842"/>
    </row>
    <row r="4" spans="2:8" s="432" customFormat="1" ht="18">
      <c r="B4" s="2110" t="s">
        <v>1299</v>
      </c>
      <c r="C4" s="2110"/>
      <c r="D4" s="2110"/>
      <c r="E4" s="2110"/>
      <c r="F4" s="1811"/>
      <c r="G4" s="1842"/>
    </row>
    <row r="5" spans="2:8" s="432" customFormat="1" ht="18">
      <c r="B5" s="2110" t="s">
        <v>1522</v>
      </c>
      <c r="C5" s="2110"/>
      <c r="D5" s="2110"/>
      <c r="E5" s="2110"/>
      <c r="F5" s="1811"/>
      <c r="G5" s="1843"/>
    </row>
    <row r="6" spans="2:8" s="432" customFormat="1" ht="18">
      <c r="B6" s="2110" t="s">
        <v>1523</v>
      </c>
      <c r="C6" s="2110"/>
      <c r="D6" s="2110"/>
      <c r="E6" s="2110"/>
      <c r="F6" s="1808"/>
      <c r="G6" s="1843"/>
    </row>
    <row r="7" spans="2:8" s="1592" customFormat="1" ht="18">
      <c r="B7" s="2110" t="s">
        <v>1621</v>
      </c>
      <c r="C7" s="2110"/>
      <c r="D7" s="2110"/>
      <c r="E7" s="2110"/>
    </row>
    <row r="8" spans="2:8" s="1592" customFormat="1" ht="18">
      <c r="B8" s="1783"/>
      <c r="C8" s="1783"/>
      <c r="D8" s="1783"/>
      <c r="E8" s="1783"/>
    </row>
    <row r="9" spans="2:8" s="1592" customFormat="1" ht="18">
      <c r="B9" s="2080"/>
      <c r="C9" s="2080" t="s">
        <v>1301</v>
      </c>
      <c r="D9" s="2080"/>
      <c r="E9" s="2080"/>
      <c r="F9" s="2080"/>
      <c r="G9" s="2080"/>
      <c r="H9" s="2080"/>
    </row>
    <row r="10" spans="2:8" s="1592" customFormat="1" ht="15.75">
      <c r="C10" s="1889"/>
      <c r="D10" s="1889"/>
      <c r="E10" s="1889"/>
      <c r="F10" s="1889"/>
      <c r="G10" s="1889"/>
    </row>
    <row r="11" spans="2:8" s="432" customFormat="1" ht="18">
      <c r="B11" s="2087" t="s">
        <v>1301</v>
      </c>
      <c r="C11" s="2087"/>
      <c r="D11" s="2087"/>
      <c r="E11" s="2087"/>
      <c r="F11" s="2087"/>
      <c r="G11" s="2087"/>
      <c r="H11" s="2087"/>
    </row>
    <row r="12" spans="2:8" s="1592" customFormat="1" ht="15.75">
      <c r="C12" s="1889"/>
      <c r="D12" s="1889"/>
      <c r="E12" s="1889"/>
      <c r="F12" s="1889"/>
      <c r="G12" s="1889"/>
    </row>
    <row r="13" spans="2:8" s="1592" customFormat="1" ht="16.5" thickBot="1">
      <c r="C13" s="1889"/>
      <c r="D13" s="1889"/>
      <c r="E13" s="1889"/>
      <c r="F13" s="1889"/>
      <c r="G13" s="1889"/>
    </row>
    <row r="14" spans="2:8" s="1592" customFormat="1" ht="16.5" thickTop="1">
      <c r="B14" s="2264" t="s">
        <v>1302</v>
      </c>
      <c r="C14" s="2267" t="s">
        <v>0</v>
      </c>
      <c r="D14" s="2267"/>
      <c r="E14" s="2272" t="s">
        <v>1303</v>
      </c>
      <c r="F14" s="2272"/>
      <c r="G14" s="2272" t="s">
        <v>1304</v>
      </c>
      <c r="H14" s="2273"/>
    </row>
    <row r="15" spans="2:8" s="1592" customFormat="1" ht="15.75">
      <c r="B15" s="2265"/>
      <c r="C15" s="2268"/>
      <c r="D15" s="2269"/>
      <c r="E15" s="1890" t="s">
        <v>1305</v>
      </c>
      <c r="F15" s="1890" t="s">
        <v>1306</v>
      </c>
      <c r="G15" s="1890" t="s">
        <v>1305</v>
      </c>
      <c r="H15" s="1891" t="s">
        <v>1306</v>
      </c>
    </row>
    <row r="16" spans="2:8" s="1592" customFormat="1" ht="16.5" thickBot="1">
      <c r="B16" s="2266"/>
      <c r="C16" s="2270"/>
      <c r="D16" s="2271"/>
      <c r="E16" s="1892" t="s">
        <v>1307</v>
      </c>
      <c r="F16" s="1892" t="s">
        <v>1308</v>
      </c>
      <c r="G16" s="1892" t="s">
        <v>1307</v>
      </c>
      <c r="H16" s="1893" t="s">
        <v>1308</v>
      </c>
    </row>
    <row r="17" spans="2:8" s="1592" customFormat="1" ht="16.5" thickTop="1">
      <c r="B17" s="1894"/>
      <c r="C17" s="2277" t="s">
        <v>1309</v>
      </c>
      <c r="D17" s="2278"/>
      <c r="E17" s="1895"/>
      <c r="F17" s="1896"/>
      <c r="G17" s="1897"/>
      <c r="H17" s="1898"/>
    </row>
    <row r="18" spans="2:8" s="1592" customFormat="1" ht="15.75">
      <c r="B18" s="1899">
        <v>1</v>
      </c>
      <c r="C18" s="2263" t="s">
        <v>1310</v>
      </c>
      <c r="D18" s="2263"/>
      <c r="E18" s="1900">
        <v>119019</v>
      </c>
      <c r="F18" s="1900">
        <f>'Generator+Pump house'!I15+'Generator+Pump house'!I95</f>
        <v>20695.589999999997</v>
      </c>
      <c r="G18" s="1901">
        <f t="shared" ref="G18:G20" si="0">E18</f>
        <v>119019</v>
      </c>
      <c r="H18" s="1902">
        <f>'Generator+Pump house'!I15+'Generator+Pump house'!I95</f>
        <v>20695.589999999997</v>
      </c>
    </row>
    <row r="19" spans="2:8" s="1592" customFormat="1" ht="15.75">
      <c r="B19" s="1899">
        <v>2</v>
      </c>
      <c r="C19" s="2263" t="s">
        <v>1311</v>
      </c>
      <c r="D19" s="2263"/>
      <c r="E19" s="1900">
        <v>170313</v>
      </c>
      <c r="F19" s="1900">
        <f>'Generator+Pump house'!I109+'Generator+Pump house'!I32</f>
        <v>69433.408200000005</v>
      </c>
      <c r="G19" s="1901">
        <f t="shared" si="0"/>
        <v>170313</v>
      </c>
      <c r="H19" s="1902">
        <f>'Generator+Pump house'!I32+'Generator+Pump house'!I109</f>
        <v>69433.408200000005</v>
      </c>
    </row>
    <row r="20" spans="2:8" s="1592" customFormat="1" ht="15.75">
      <c r="B20" s="1899">
        <v>3</v>
      </c>
      <c r="C20" s="2263" t="s">
        <v>1312</v>
      </c>
      <c r="D20" s="2263"/>
      <c r="E20" s="1900">
        <v>51340</v>
      </c>
      <c r="F20" s="1900">
        <f>'Generator+Pump house'!I36+'Generator+Pump house'!I113</f>
        <v>18121.099999999999</v>
      </c>
      <c r="G20" s="1901">
        <f t="shared" si="0"/>
        <v>51340</v>
      </c>
      <c r="H20" s="1902">
        <f>'Generator+Pump house'!I36+'Generator+Pump house'!I113</f>
        <v>18121.099999999999</v>
      </c>
    </row>
    <row r="21" spans="2:8" s="1592" customFormat="1" ht="15.75">
      <c r="B21" s="1899"/>
      <c r="C21" s="2259" t="s">
        <v>1313</v>
      </c>
      <c r="D21" s="2260"/>
      <c r="E21" s="1903">
        <f>SUM(E18:E20)</f>
        <v>340672</v>
      </c>
      <c r="F21" s="1903">
        <f>SUM(F18:F20)</f>
        <v>108250.09820000001</v>
      </c>
      <c r="G21" s="1903">
        <f>SUM(G18:G20)</f>
        <v>340672</v>
      </c>
      <c r="H21" s="1904">
        <f>SUM(H18:H20)</f>
        <v>108250.09820000001</v>
      </c>
    </row>
    <row r="22" spans="2:8" s="1592" customFormat="1" ht="15.75">
      <c r="B22" s="1899"/>
      <c r="C22" s="2274" t="s">
        <v>1314</v>
      </c>
      <c r="D22" s="2274"/>
      <c r="E22" s="1900"/>
      <c r="F22" s="1900"/>
      <c r="G22" s="1901"/>
      <c r="H22" s="1902"/>
    </row>
    <row r="23" spans="2:8" s="1592" customFormat="1" ht="15.75">
      <c r="B23" s="1899">
        <v>1</v>
      </c>
      <c r="C23" s="2263" t="s">
        <v>1311</v>
      </c>
      <c r="D23" s="2263"/>
      <c r="E23" s="1900">
        <v>111182.2</v>
      </c>
      <c r="F23" s="1900">
        <f>'Generator+Pump house'!I128+'Generator+Pump house'!I48</f>
        <v>29967.673760000001</v>
      </c>
      <c r="G23" s="1901">
        <f>E23</f>
        <v>111182.2</v>
      </c>
      <c r="H23" s="1902">
        <f>'Generator+Pump house'!I48+'Generator+Pump house'!I128</f>
        <v>29967.673760000001</v>
      </c>
    </row>
    <row r="24" spans="2:8" s="1592" customFormat="1" ht="15.75">
      <c r="B24" s="1899">
        <v>2</v>
      </c>
      <c r="C24" s="2275" t="s">
        <v>1315</v>
      </c>
      <c r="D24" s="2276"/>
      <c r="E24" s="1900">
        <v>78932</v>
      </c>
      <c r="F24" s="1900">
        <f>'Generator+Pump house'!I51+'Generator+Pump house'!I131</f>
        <v>33292.699999999997</v>
      </c>
      <c r="G24" s="1901">
        <f t="shared" ref="G24:H32" si="1">E24</f>
        <v>78932</v>
      </c>
      <c r="H24" s="1902">
        <f>'Generator+Pump house'!I51+'Generator+Pump house'!I131</f>
        <v>33292.699999999997</v>
      </c>
    </row>
    <row r="25" spans="2:8" s="1592" customFormat="1" ht="15.75">
      <c r="B25" s="1899">
        <v>3</v>
      </c>
      <c r="C25" s="2263" t="s">
        <v>1596</v>
      </c>
      <c r="D25" s="2263"/>
      <c r="E25" s="1900">
        <v>109600</v>
      </c>
      <c r="F25" s="1900">
        <f>'Generator+Pump house'!I57+'Generator+Pump house'!I137</f>
        <v>33289.08</v>
      </c>
      <c r="G25" s="1901">
        <f t="shared" si="1"/>
        <v>109600</v>
      </c>
      <c r="H25" s="1902">
        <f>'Generator+Pump house'!I57+'Generator+Pump house'!I137</f>
        <v>33289.08</v>
      </c>
    </row>
    <row r="26" spans="2:8" s="1592" customFormat="1" ht="15.75">
      <c r="B26" s="1899">
        <v>4</v>
      </c>
      <c r="C26" s="2263" t="s">
        <v>1595</v>
      </c>
      <c r="D26" s="2263"/>
      <c r="E26" s="1900">
        <v>15706</v>
      </c>
      <c r="F26" s="1900">
        <f>'Generator+Pump house'!I137+'Generator+Pump house'!I63</f>
        <v>18356.699999999997</v>
      </c>
      <c r="G26" s="1901">
        <f t="shared" si="1"/>
        <v>15706</v>
      </c>
      <c r="H26" s="1902">
        <f>'Generator+Pump house'!I143+'Generator+Pump house'!I63</f>
        <v>9059.0799999999981</v>
      </c>
    </row>
    <row r="27" spans="2:8" s="1592" customFormat="1" ht="15.75">
      <c r="B27" s="1899">
        <v>5</v>
      </c>
      <c r="C27" s="2263" t="s">
        <v>1318</v>
      </c>
      <c r="D27" s="2263"/>
      <c r="E27" s="1900">
        <v>30870</v>
      </c>
      <c r="F27" s="1900">
        <f>'Generator+Pump house'!I69+'Generator+Pump house'!I149</f>
        <v>0</v>
      </c>
      <c r="G27" s="1901">
        <f t="shared" si="1"/>
        <v>30870</v>
      </c>
      <c r="H27" s="1902">
        <f t="shared" si="1"/>
        <v>0</v>
      </c>
    </row>
    <row r="28" spans="2:8" s="1592" customFormat="1" ht="15.75">
      <c r="B28" s="1899">
        <v>6</v>
      </c>
      <c r="C28" s="2263" t="s">
        <v>1319</v>
      </c>
      <c r="D28" s="2263"/>
      <c r="E28" s="1900">
        <v>124620</v>
      </c>
      <c r="F28" s="1900">
        <f>'Generator+Pump house'!I156+'Generator+Pump house'!I80</f>
        <v>26586.980000000003</v>
      </c>
      <c r="G28" s="1901">
        <f t="shared" si="1"/>
        <v>124620</v>
      </c>
      <c r="H28" s="1902">
        <f>'Generator+Pump house'!I80</f>
        <v>26586.980000000003</v>
      </c>
    </row>
    <row r="29" spans="2:8" s="1592" customFormat="1" ht="15.75">
      <c r="B29" s="1899">
        <v>7</v>
      </c>
      <c r="C29" s="1905" t="s">
        <v>1320</v>
      </c>
      <c r="D29" s="1906"/>
      <c r="E29" s="1900">
        <v>15621</v>
      </c>
      <c r="F29" s="1900">
        <f>'Generator+Pump house'!I85+'Generator+Pump house'!I161</f>
        <v>964.86599999999999</v>
      </c>
      <c r="G29" s="1901">
        <f t="shared" si="1"/>
        <v>15621</v>
      </c>
      <c r="H29" s="1902">
        <f t="shared" si="1"/>
        <v>964.86599999999999</v>
      </c>
    </row>
    <row r="30" spans="2:8" s="1592" customFormat="1" ht="15.75">
      <c r="B30" s="1899">
        <v>8</v>
      </c>
      <c r="C30" s="1905" t="s">
        <v>1321</v>
      </c>
      <c r="D30" s="1906"/>
      <c r="E30" s="1900"/>
      <c r="F30" s="1900"/>
      <c r="G30" s="1901">
        <f t="shared" si="1"/>
        <v>0</v>
      </c>
      <c r="H30" s="1902">
        <f t="shared" si="1"/>
        <v>0</v>
      </c>
    </row>
    <row r="31" spans="2:8" s="1592" customFormat="1" ht="15.75">
      <c r="B31" s="1899">
        <v>9</v>
      </c>
      <c r="C31" s="1905" t="s">
        <v>1322</v>
      </c>
      <c r="D31" s="1906"/>
      <c r="E31" s="1900">
        <v>0</v>
      </c>
      <c r="F31" s="1900">
        <f>'[25]Generator+Pump house'!H183+'[25]Generator+Pump house'!H99</f>
        <v>0</v>
      </c>
      <c r="G31" s="1901">
        <f t="shared" si="1"/>
        <v>0</v>
      </c>
      <c r="H31" s="1902">
        <f t="shared" si="1"/>
        <v>0</v>
      </c>
    </row>
    <row r="32" spans="2:8" s="1592" customFormat="1" ht="15.75">
      <c r="B32" s="1899">
        <v>10</v>
      </c>
      <c r="C32" s="1905" t="s">
        <v>1323</v>
      </c>
      <c r="D32" s="1906"/>
      <c r="E32" s="1900">
        <v>15200</v>
      </c>
      <c r="F32" s="1900">
        <f>'[25]Generator+Pump house'!H98+'[25]Generator+Pump house'!H182</f>
        <v>7690</v>
      </c>
      <c r="G32" s="1901">
        <f>E32</f>
        <v>15200</v>
      </c>
      <c r="H32" s="1902">
        <f t="shared" si="1"/>
        <v>7690</v>
      </c>
    </row>
    <row r="33" spans="2:8" s="1592" customFormat="1" ht="25.5" customHeight="1">
      <c r="B33" s="1899"/>
      <c r="C33" s="2259" t="s">
        <v>1324</v>
      </c>
      <c r="D33" s="2260"/>
      <c r="E33" s="1903">
        <f>SUM(E23:E32)</f>
        <v>501731.2</v>
      </c>
      <c r="F33" s="1903">
        <f>SUM(F23:F32)</f>
        <v>150147.99976000001</v>
      </c>
      <c r="G33" s="1907">
        <f>SUM(G23:G32)</f>
        <v>501731.2</v>
      </c>
      <c r="H33" s="1904">
        <f>SUM(H23:H32)</f>
        <v>140850.37976000001</v>
      </c>
    </row>
    <row r="34" spans="2:8" s="1592" customFormat="1" ht="25.5" customHeight="1" thickBot="1">
      <c r="B34" s="1908"/>
      <c r="C34" s="1909" t="s">
        <v>1325</v>
      </c>
      <c r="D34" s="1910"/>
      <c r="E34" s="1911">
        <f>E21+E33</f>
        <v>842403.2</v>
      </c>
      <c r="F34" s="1911">
        <f>F21+F33</f>
        <v>258398.09796000001</v>
      </c>
      <c r="G34" s="1911">
        <f>G21+G33</f>
        <v>842403.2</v>
      </c>
      <c r="H34" s="1912">
        <f>H33+H21</f>
        <v>249100.47796000002</v>
      </c>
    </row>
    <row r="35" spans="2:8" s="1592" customFormat="1" ht="16.5" thickTop="1"/>
    <row r="36" spans="2:8" s="1592" customFormat="1" ht="15.75">
      <c r="B36" s="2261"/>
      <c r="C36" s="2261"/>
      <c r="D36" s="2261"/>
      <c r="E36" s="2261"/>
      <c r="F36" s="2261"/>
      <c r="G36" s="2261"/>
      <c r="H36" s="2261"/>
    </row>
    <row r="37" spans="2:8" s="1592" customFormat="1" ht="15.75">
      <c r="B37" s="1913" t="s">
        <v>1326</v>
      </c>
      <c r="C37" s="1913"/>
      <c r="D37" s="1913"/>
      <c r="E37" s="1913"/>
      <c r="F37" s="1913"/>
      <c r="G37" s="1913"/>
    </row>
    <row r="38" spans="2:8" s="1592" customFormat="1" ht="15.75">
      <c r="B38" s="1913" t="s">
        <v>3537</v>
      </c>
      <c r="C38" s="1913"/>
      <c r="D38" s="1913"/>
      <c r="E38" s="1913"/>
      <c r="F38" s="1914"/>
      <c r="G38" s="1913"/>
    </row>
    <row r="39" spans="2:8" s="1592" customFormat="1" ht="15.75">
      <c r="B39" s="1913"/>
      <c r="C39" s="1913"/>
      <c r="D39" s="1913"/>
      <c r="E39" s="1913"/>
      <c r="F39" s="1914"/>
      <c r="G39" s="1913"/>
    </row>
    <row r="40" spans="2:8" s="1592" customFormat="1" ht="15.75"/>
    <row r="41" spans="2:8" s="1592" customFormat="1" ht="15.75"/>
    <row r="42" spans="2:8" s="1592" customFormat="1" ht="15.75"/>
    <row r="43" spans="2:8" s="1592" customFormat="1" ht="15.75">
      <c r="B43" s="1592" t="s">
        <v>1327</v>
      </c>
      <c r="D43" s="2262"/>
      <c r="E43" s="2262"/>
      <c r="F43" s="2262"/>
      <c r="G43" s="2262" t="s">
        <v>1329</v>
      </c>
      <c r="H43" s="2262"/>
    </row>
  </sheetData>
  <mergeCells count="28">
    <mergeCell ref="C27:D27"/>
    <mergeCell ref="B11:H11"/>
    <mergeCell ref="B14:B16"/>
    <mergeCell ref="C14:D16"/>
    <mergeCell ref="E14:F14"/>
    <mergeCell ref="G14:H14"/>
    <mergeCell ref="C22:D22"/>
    <mergeCell ref="C23:D23"/>
    <mergeCell ref="C24:D24"/>
    <mergeCell ref="C25:D25"/>
    <mergeCell ref="C26:D26"/>
    <mergeCell ref="C17:D17"/>
    <mergeCell ref="C18:D18"/>
    <mergeCell ref="C19:D19"/>
    <mergeCell ref="C20:D20"/>
    <mergeCell ref="C21:D21"/>
    <mergeCell ref="C33:D33"/>
    <mergeCell ref="B36:H36"/>
    <mergeCell ref="D43:F43"/>
    <mergeCell ref="G43:H43"/>
    <mergeCell ref="C28:D28"/>
    <mergeCell ref="B7:E7"/>
    <mergeCell ref="B1:H1"/>
    <mergeCell ref="B9:H9"/>
    <mergeCell ref="B3:E3"/>
    <mergeCell ref="B4:E4"/>
    <mergeCell ref="B5:E5"/>
    <mergeCell ref="B6:E6"/>
  </mergeCells>
  <pageMargins left="0.6" right="0.4" top="1" bottom="0.75" header="0.3" footer="0.3"/>
  <pageSetup scale="9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sheetPr>
  <dimension ref="B1:Q299"/>
  <sheetViews>
    <sheetView view="pageBreakPreview" zoomScaleSheetLayoutView="100" workbookViewId="0">
      <selection activeCell="H32" sqref="H32"/>
    </sheetView>
  </sheetViews>
  <sheetFormatPr defaultRowHeight="17.25"/>
  <cols>
    <col min="1" max="1" width="2.7109375" style="462" customWidth="1"/>
    <col min="2" max="2" width="8.7109375" style="1977" customWidth="1"/>
    <col min="3" max="3" width="64.140625" style="1977" customWidth="1"/>
    <col min="4" max="4" width="8.5703125" style="1978" customWidth="1"/>
    <col min="5" max="5" width="9.42578125" style="1978" customWidth="1"/>
    <col min="6" max="6" width="11.28515625" style="1978" customWidth="1"/>
    <col min="7" max="7" width="16.5703125" style="1978" customWidth="1"/>
    <col min="8" max="8" width="16.85546875" style="1978" customWidth="1"/>
    <col min="9" max="9" width="15.28515625" style="1979" customWidth="1"/>
    <col min="10" max="10" width="0.85546875" style="462" customWidth="1"/>
    <col min="11" max="257" width="9.140625" style="462"/>
    <col min="258" max="258" width="5.7109375" style="462" customWidth="1"/>
    <col min="259" max="259" width="47.140625" style="462" customWidth="1"/>
    <col min="260" max="260" width="6.42578125" style="462" customWidth="1"/>
    <col min="261" max="261" width="9.42578125" style="462" customWidth="1"/>
    <col min="262" max="262" width="10.7109375" style="462" customWidth="1"/>
    <col min="263" max="263" width="12.42578125" style="462" customWidth="1"/>
    <col min="264" max="264" width="10" style="462" customWidth="1"/>
    <col min="265" max="265" width="12.5703125" style="462" customWidth="1"/>
    <col min="266" max="513" width="9.140625" style="462"/>
    <col min="514" max="514" width="5.7109375" style="462" customWidth="1"/>
    <col min="515" max="515" width="47.140625" style="462" customWidth="1"/>
    <col min="516" max="516" width="6.42578125" style="462" customWidth="1"/>
    <col min="517" max="517" width="9.42578125" style="462" customWidth="1"/>
    <col min="518" max="518" width="10.7109375" style="462" customWidth="1"/>
    <col min="519" max="519" width="12.42578125" style="462" customWidth="1"/>
    <col min="520" max="520" width="10" style="462" customWidth="1"/>
    <col min="521" max="521" width="12.5703125" style="462" customWidth="1"/>
    <col min="522" max="769" width="9.140625" style="462"/>
    <col min="770" max="770" width="5.7109375" style="462" customWidth="1"/>
    <col min="771" max="771" width="47.140625" style="462" customWidth="1"/>
    <col min="772" max="772" width="6.42578125" style="462" customWidth="1"/>
    <col min="773" max="773" width="9.42578125" style="462" customWidth="1"/>
    <col min="774" max="774" width="10.7109375" style="462" customWidth="1"/>
    <col min="775" max="775" width="12.42578125" style="462" customWidth="1"/>
    <col min="776" max="776" width="10" style="462" customWidth="1"/>
    <col min="777" max="777" width="12.5703125" style="462" customWidth="1"/>
    <col min="778" max="1025" width="9.140625" style="462"/>
    <col min="1026" max="1026" width="5.7109375" style="462" customWidth="1"/>
    <col min="1027" max="1027" width="47.140625" style="462" customWidth="1"/>
    <col min="1028" max="1028" width="6.42578125" style="462" customWidth="1"/>
    <col min="1029" max="1029" width="9.42578125" style="462" customWidth="1"/>
    <col min="1030" max="1030" width="10.7109375" style="462" customWidth="1"/>
    <col min="1031" max="1031" width="12.42578125" style="462" customWidth="1"/>
    <col min="1032" max="1032" width="10" style="462" customWidth="1"/>
    <col min="1033" max="1033" width="12.5703125" style="462" customWidth="1"/>
    <col min="1034" max="1281" width="9.140625" style="462"/>
    <col min="1282" max="1282" width="5.7109375" style="462" customWidth="1"/>
    <col min="1283" max="1283" width="47.140625" style="462" customWidth="1"/>
    <col min="1284" max="1284" width="6.42578125" style="462" customWidth="1"/>
    <col min="1285" max="1285" width="9.42578125" style="462" customWidth="1"/>
    <col min="1286" max="1286" width="10.7109375" style="462" customWidth="1"/>
    <col min="1287" max="1287" width="12.42578125" style="462" customWidth="1"/>
    <col min="1288" max="1288" width="10" style="462" customWidth="1"/>
    <col min="1289" max="1289" width="12.5703125" style="462" customWidth="1"/>
    <col min="1290" max="1537" width="9.140625" style="462"/>
    <col min="1538" max="1538" width="5.7109375" style="462" customWidth="1"/>
    <col min="1539" max="1539" width="47.140625" style="462" customWidth="1"/>
    <col min="1540" max="1540" width="6.42578125" style="462" customWidth="1"/>
    <col min="1541" max="1541" width="9.42578125" style="462" customWidth="1"/>
    <col min="1542" max="1542" width="10.7109375" style="462" customWidth="1"/>
    <col min="1543" max="1543" width="12.42578125" style="462" customWidth="1"/>
    <col min="1544" max="1544" width="10" style="462" customWidth="1"/>
    <col min="1545" max="1545" width="12.5703125" style="462" customWidth="1"/>
    <col min="1546" max="1793" width="9.140625" style="462"/>
    <col min="1794" max="1794" width="5.7109375" style="462" customWidth="1"/>
    <col min="1795" max="1795" width="47.140625" style="462" customWidth="1"/>
    <col min="1796" max="1796" width="6.42578125" style="462" customWidth="1"/>
    <col min="1797" max="1797" width="9.42578125" style="462" customWidth="1"/>
    <col min="1798" max="1798" width="10.7109375" style="462" customWidth="1"/>
    <col min="1799" max="1799" width="12.42578125" style="462" customWidth="1"/>
    <col min="1800" max="1800" width="10" style="462" customWidth="1"/>
    <col min="1801" max="1801" width="12.5703125" style="462" customWidth="1"/>
    <col min="1802" max="2049" width="9.140625" style="462"/>
    <col min="2050" max="2050" width="5.7109375" style="462" customWidth="1"/>
    <col min="2051" max="2051" width="47.140625" style="462" customWidth="1"/>
    <col min="2052" max="2052" width="6.42578125" style="462" customWidth="1"/>
    <col min="2053" max="2053" width="9.42578125" style="462" customWidth="1"/>
    <col min="2054" max="2054" width="10.7109375" style="462" customWidth="1"/>
    <col min="2055" max="2055" width="12.42578125" style="462" customWidth="1"/>
    <col min="2056" max="2056" width="10" style="462" customWidth="1"/>
    <col min="2057" max="2057" width="12.5703125" style="462" customWidth="1"/>
    <col min="2058" max="2305" width="9.140625" style="462"/>
    <col min="2306" max="2306" width="5.7109375" style="462" customWidth="1"/>
    <col min="2307" max="2307" width="47.140625" style="462" customWidth="1"/>
    <col min="2308" max="2308" width="6.42578125" style="462" customWidth="1"/>
    <col min="2309" max="2309" width="9.42578125" style="462" customWidth="1"/>
    <col min="2310" max="2310" width="10.7109375" style="462" customWidth="1"/>
    <col min="2311" max="2311" width="12.42578125" style="462" customWidth="1"/>
    <col min="2312" max="2312" width="10" style="462" customWidth="1"/>
    <col min="2313" max="2313" width="12.5703125" style="462" customWidth="1"/>
    <col min="2314" max="2561" width="9.140625" style="462"/>
    <col min="2562" max="2562" width="5.7109375" style="462" customWidth="1"/>
    <col min="2563" max="2563" width="47.140625" style="462" customWidth="1"/>
    <col min="2564" max="2564" width="6.42578125" style="462" customWidth="1"/>
    <col min="2565" max="2565" width="9.42578125" style="462" customWidth="1"/>
    <col min="2566" max="2566" width="10.7109375" style="462" customWidth="1"/>
    <col min="2567" max="2567" width="12.42578125" style="462" customWidth="1"/>
    <col min="2568" max="2568" width="10" style="462" customWidth="1"/>
    <col min="2569" max="2569" width="12.5703125" style="462" customWidth="1"/>
    <col min="2570" max="2817" width="9.140625" style="462"/>
    <col min="2818" max="2818" width="5.7109375" style="462" customWidth="1"/>
    <col min="2819" max="2819" width="47.140625" style="462" customWidth="1"/>
    <col min="2820" max="2820" width="6.42578125" style="462" customWidth="1"/>
    <col min="2821" max="2821" width="9.42578125" style="462" customWidth="1"/>
    <col min="2822" max="2822" width="10.7109375" style="462" customWidth="1"/>
    <col min="2823" max="2823" width="12.42578125" style="462" customWidth="1"/>
    <col min="2824" max="2824" width="10" style="462" customWidth="1"/>
    <col min="2825" max="2825" width="12.5703125" style="462" customWidth="1"/>
    <col min="2826" max="3073" width="9.140625" style="462"/>
    <col min="3074" max="3074" width="5.7109375" style="462" customWidth="1"/>
    <col min="3075" max="3075" width="47.140625" style="462" customWidth="1"/>
    <col min="3076" max="3076" width="6.42578125" style="462" customWidth="1"/>
    <col min="3077" max="3077" width="9.42578125" style="462" customWidth="1"/>
    <col min="3078" max="3078" width="10.7109375" style="462" customWidth="1"/>
    <col min="3079" max="3079" width="12.42578125" style="462" customWidth="1"/>
    <col min="3080" max="3080" width="10" style="462" customWidth="1"/>
    <col min="3081" max="3081" width="12.5703125" style="462" customWidth="1"/>
    <col min="3082" max="3329" width="9.140625" style="462"/>
    <col min="3330" max="3330" width="5.7109375" style="462" customWidth="1"/>
    <col min="3331" max="3331" width="47.140625" style="462" customWidth="1"/>
    <col min="3332" max="3332" width="6.42578125" style="462" customWidth="1"/>
    <col min="3333" max="3333" width="9.42578125" style="462" customWidth="1"/>
    <col min="3334" max="3334" width="10.7109375" style="462" customWidth="1"/>
    <col min="3335" max="3335" width="12.42578125" style="462" customWidth="1"/>
    <col min="3336" max="3336" width="10" style="462" customWidth="1"/>
    <col min="3337" max="3337" width="12.5703125" style="462" customWidth="1"/>
    <col min="3338" max="3585" width="9.140625" style="462"/>
    <col min="3586" max="3586" width="5.7109375" style="462" customWidth="1"/>
    <col min="3587" max="3587" width="47.140625" style="462" customWidth="1"/>
    <col min="3588" max="3588" width="6.42578125" style="462" customWidth="1"/>
    <col min="3589" max="3589" width="9.42578125" style="462" customWidth="1"/>
    <col min="3590" max="3590" width="10.7109375" style="462" customWidth="1"/>
    <col min="3591" max="3591" width="12.42578125" style="462" customWidth="1"/>
    <col min="3592" max="3592" width="10" style="462" customWidth="1"/>
    <col min="3593" max="3593" width="12.5703125" style="462" customWidth="1"/>
    <col min="3594" max="3841" width="9.140625" style="462"/>
    <col min="3842" max="3842" width="5.7109375" style="462" customWidth="1"/>
    <col min="3843" max="3843" width="47.140625" style="462" customWidth="1"/>
    <col min="3844" max="3844" width="6.42578125" style="462" customWidth="1"/>
    <col min="3845" max="3845" width="9.42578125" style="462" customWidth="1"/>
    <col min="3846" max="3846" width="10.7109375" style="462" customWidth="1"/>
    <col min="3847" max="3847" width="12.42578125" style="462" customWidth="1"/>
    <col min="3848" max="3848" width="10" style="462" customWidth="1"/>
    <col min="3849" max="3849" width="12.5703125" style="462" customWidth="1"/>
    <col min="3850" max="4097" width="9.140625" style="462"/>
    <col min="4098" max="4098" width="5.7109375" style="462" customWidth="1"/>
    <col min="4099" max="4099" width="47.140625" style="462" customWidth="1"/>
    <col min="4100" max="4100" width="6.42578125" style="462" customWidth="1"/>
    <col min="4101" max="4101" width="9.42578125" style="462" customWidth="1"/>
    <col min="4102" max="4102" width="10.7109375" style="462" customWidth="1"/>
    <col min="4103" max="4103" width="12.42578125" style="462" customWidth="1"/>
    <col min="4104" max="4104" width="10" style="462" customWidth="1"/>
    <col min="4105" max="4105" width="12.5703125" style="462" customWidth="1"/>
    <col min="4106" max="4353" width="9.140625" style="462"/>
    <col min="4354" max="4354" width="5.7109375" style="462" customWidth="1"/>
    <col min="4355" max="4355" width="47.140625" style="462" customWidth="1"/>
    <col min="4356" max="4356" width="6.42578125" style="462" customWidth="1"/>
    <col min="4357" max="4357" width="9.42578125" style="462" customWidth="1"/>
    <col min="4358" max="4358" width="10.7109375" style="462" customWidth="1"/>
    <col min="4359" max="4359" width="12.42578125" style="462" customWidth="1"/>
    <col min="4360" max="4360" width="10" style="462" customWidth="1"/>
    <col min="4361" max="4361" width="12.5703125" style="462" customWidth="1"/>
    <col min="4362" max="4609" width="9.140625" style="462"/>
    <col min="4610" max="4610" width="5.7109375" style="462" customWidth="1"/>
    <col min="4611" max="4611" width="47.140625" style="462" customWidth="1"/>
    <col min="4612" max="4612" width="6.42578125" style="462" customWidth="1"/>
    <col min="4613" max="4613" width="9.42578125" style="462" customWidth="1"/>
    <col min="4614" max="4614" width="10.7109375" style="462" customWidth="1"/>
    <col min="4615" max="4615" width="12.42578125" style="462" customWidth="1"/>
    <col min="4616" max="4616" width="10" style="462" customWidth="1"/>
    <col min="4617" max="4617" width="12.5703125" style="462" customWidth="1"/>
    <col min="4618" max="4865" width="9.140625" style="462"/>
    <col min="4866" max="4866" width="5.7109375" style="462" customWidth="1"/>
    <col min="4867" max="4867" width="47.140625" style="462" customWidth="1"/>
    <col min="4868" max="4868" width="6.42578125" style="462" customWidth="1"/>
    <col min="4869" max="4869" width="9.42578125" style="462" customWidth="1"/>
    <col min="4870" max="4870" width="10.7109375" style="462" customWidth="1"/>
    <col min="4871" max="4871" width="12.42578125" style="462" customWidth="1"/>
    <col min="4872" max="4872" width="10" style="462" customWidth="1"/>
    <col min="4873" max="4873" width="12.5703125" style="462" customWidth="1"/>
    <col min="4874" max="5121" width="9.140625" style="462"/>
    <col min="5122" max="5122" width="5.7109375" style="462" customWidth="1"/>
    <col min="5123" max="5123" width="47.140625" style="462" customWidth="1"/>
    <col min="5124" max="5124" width="6.42578125" style="462" customWidth="1"/>
    <col min="5125" max="5125" width="9.42578125" style="462" customWidth="1"/>
    <col min="5126" max="5126" width="10.7109375" style="462" customWidth="1"/>
    <col min="5127" max="5127" width="12.42578125" style="462" customWidth="1"/>
    <col min="5128" max="5128" width="10" style="462" customWidth="1"/>
    <col min="5129" max="5129" width="12.5703125" style="462" customWidth="1"/>
    <col min="5130" max="5377" width="9.140625" style="462"/>
    <col min="5378" max="5378" width="5.7109375" style="462" customWidth="1"/>
    <col min="5379" max="5379" width="47.140625" style="462" customWidth="1"/>
    <col min="5380" max="5380" width="6.42578125" style="462" customWidth="1"/>
    <col min="5381" max="5381" width="9.42578125" style="462" customWidth="1"/>
    <col min="5382" max="5382" width="10.7109375" style="462" customWidth="1"/>
    <col min="5383" max="5383" width="12.42578125" style="462" customWidth="1"/>
    <col min="5384" max="5384" width="10" style="462" customWidth="1"/>
    <col min="5385" max="5385" width="12.5703125" style="462" customWidth="1"/>
    <col min="5386" max="5633" width="9.140625" style="462"/>
    <col min="5634" max="5634" width="5.7109375" style="462" customWidth="1"/>
    <col min="5635" max="5635" width="47.140625" style="462" customWidth="1"/>
    <col min="5636" max="5636" width="6.42578125" style="462" customWidth="1"/>
    <col min="5637" max="5637" width="9.42578125" style="462" customWidth="1"/>
    <col min="5638" max="5638" width="10.7109375" style="462" customWidth="1"/>
    <col min="5639" max="5639" width="12.42578125" style="462" customWidth="1"/>
    <col min="5640" max="5640" width="10" style="462" customWidth="1"/>
    <col min="5641" max="5641" width="12.5703125" style="462" customWidth="1"/>
    <col min="5642" max="5889" width="9.140625" style="462"/>
    <col min="5890" max="5890" width="5.7109375" style="462" customWidth="1"/>
    <col min="5891" max="5891" width="47.140625" style="462" customWidth="1"/>
    <col min="5892" max="5892" width="6.42578125" style="462" customWidth="1"/>
    <col min="5893" max="5893" width="9.42578125" style="462" customWidth="1"/>
    <col min="5894" max="5894" width="10.7109375" style="462" customWidth="1"/>
    <col min="5895" max="5895" width="12.42578125" style="462" customWidth="1"/>
    <col min="5896" max="5896" width="10" style="462" customWidth="1"/>
    <col min="5897" max="5897" width="12.5703125" style="462" customWidth="1"/>
    <col min="5898" max="6145" width="9.140625" style="462"/>
    <col min="6146" max="6146" width="5.7109375" style="462" customWidth="1"/>
    <col min="6147" max="6147" width="47.140625" style="462" customWidth="1"/>
    <col min="6148" max="6148" width="6.42578125" style="462" customWidth="1"/>
    <col min="6149" max="6149" width="9.42578125" style="462" customWidth="1"/>
    <col min="6150" max="6150" width="10.7109375" style="462" customWidth="1"/>
    <col min="6151" max="6151" width="12.42578125" style="462" customWidth="1"/>
    <col min="6152" max="6152" width="10" style="462" customWidth="1"/>
    <col min="6153" max="6153" width="12.5703125" style="462" customWidth="1"/>
    <col min="6154" max="6401" width="9.140625" style="462"/>
    <col min="6402" max="6402" width="5.7109375" style="462" customWidth="1"/>
    <col min="6403" max="6403" width="47.140625" style="462" customWidth="1"/>
    <col min="6404" max="6404" width="6.42578125" style="462" customWidth="1"/>
    <col min="6405" max="6405" width="9.42578125" style="462" customWidth="1"/>
    <col min="6406" max="6406" width="10.7109375" style="462" customWidth="1"/>
    <col min="6407" max="6407" width="12.42578125" style="462" customWidth="1"/>
    <col min="6408" max="6408" width="10" style="462" customWidth="1"/>
    <col min="6409" max="6409" width="12.5703125" style="462" customWidth="1"/>
    <col min="6410" max="6657" width="9.140625" style="462"/>
    <col min="6658" max="6658" width="5.7109375" style="462" customWidth="1"/>
    <col min="6659" max="6659" width="47.140625" style="462" customWidth="1"/>
    <col min="6660" max="6660" width="6.42578125" style="462" customWidth="1"/>
    <col min="6661" max="6661" width="9.42578125" style="462" customWidth="1"/>
    <col min="6662" max="6662" width="10.7109375" style="462" customWidth="1"/>
    <col min="6663" max="6663" width="12.42578125" style="462" customWidth="1"/>
    <col min="6664" max="6664" width="10" style="462" customWidth="1"/>
    <col min="6665" max="6665" width="12.5703125" style="462" customWidth="1"/>
    <col min="6666" max="6913" width="9.140625" style="462"/>
    <col min="6914" max="6914" width="5.7109375" style="462" customWidth="1"/>
    <col min="6915" max="6915" width="47.140625" style="462" customWidth="1"/>
    <col min="6916" max="6916" width="6.42578125" style="462" customWidth="1"/>
    <col min="6917" max="6917" width="9.42578125" style="462" customWidth="1"/>
    <col min="6918" max="6918" width="10.7109375" style="462" customWidth="1"/>
    <col min="6919" max="6919" width="12.42578125" style="462" customWidth="1"/>
    <col min="6920" max="6920" width="10" style="462" customWidth="1"/>
    <col min="6921" max="6921" width="12.5703125" style="462" customWidth="1"/>
    <col min="6922" max="7169" width="9.140625" style="462"/>
    <col min="7170" max="7170" width="5.7109375" style="462" customWidth="1"/>
    <col min="7171" max="7171" width="47.140625" style="462" customWidth="1"/>
    <col min="7172" max="7172" width="6.42578125" style="462" customWidth="1"/>
    <col min="7173" max="7173" width="9.42578125" style="462" customWidth="1"/>
    <col min="7174" max="7174" width="10.7109375" style="462" customWidth="1"/>
    <col min="7175" max="7175" width="12.42578125" style="462" customWidth="1"/>
    <col min="7176" max="7176" width="10" style="462" customWidth="1"/>
    <col min="7177" max="7177" width="12.5703125" style="462" customWidth="1"/>
    <col min="7178" max="7425" width="9.140625" style="462"/>
    <col min="7426" max="7426" width="5.7109375" style="462" customWidth="1"/>
    <col min="7427" max="7427" width="47.140625" style="462" customWidth="1"/>
    <col min="7428" max="7428" width="6.42578125" style="462" customWidth="1"/>
    <col min="7429" max="7429" width="9.42578125" style="462" customWidth="1"/>
    <col min="7430" max="7430" width="10.7109375" style="462" customWidth="1"/>
    <col min="7431" max="7431" width="12.42578125" style="462" customWidth="1"/>
    <col min="7432" max="7432" width="10" style="462" customWidth="1"/>
    <col min="7433" max="7433" width="12.5703125" style="462" customWidth="1"/>
    <col min="7434" max="7681" width="9.140625" style="462"/>
    <col min="7682" max="7682" width="5.7109375" style="462" customWidth="1"/>
    <col min="7683" max="7683" width="47.140625" style="462" customWidth="1"/>
    <col min="7684" max="7684" width="6.42578125" style="462" customWidth="1"/>
    <col min="7685" max="7685" width="9.42578125" style="462" customWidth="1"/>
    <col min="7686" max="7686" width="10.7109375" style="462" customWidth="1"/>
    <col min="7687" max="7687" width="12.42578125" style="462" customWidth="1"/>
    <col min="7688" max="7688" width="10" style="462" customWidth="1"/>
    <col min="7689" max="7689" width="12.5703125" style="462" customWidth="1"/>
    <col min="7690" max="7937" width="9.140625" style="462"/>
    <col min="7938" max="7938" width="5.7109375" style="462" customWidth="1"/>
    <col min="7939" max="7939" width="47.140625" style="462" customWidth="1"/>
    <col min="7940" max="7940" width="6.42578125" style="462" customWidth="1"/>
    <col min="7941" max="7941" width="9.42578125" style="462" customWidth="1"/>
    <col min="7942" max="7942" width="10.7109375" style="462" customWidth="1"/>
    <col min="7943" max="7943" width="12.42578125" style="462" customWidth="1"/>
    <col min="7944" max="7944" width="10" style="462" customWidth="1"/>
    <col min="7945" max="7945" width="12.5703125" style="462" customWidth="1"/>
    <col min="7946" max="8193" width="9.140625" style="462"/>
    <col min="8194" max="8194" width="5.7109375" style="462" customWidth="1"/>
    <col min="8195" max="8195" width="47.140625" style="462" customWidth="1"/>
    <col min="8196" max="8196" width="6.42578125" style="462" customWidth="1"/>
    <col min="8197" max="8197" width="9.42578125" style="462" customWidth="1"/>
    <col min="8198" max="8198" width="10.7109375" style="462" customWidth="1"/>
    <col min="8199" max="8199" width="12.42578125" style="462" customWidth="1"/>
    <col min="8200" max="8200" width="10" style="462" customWidth="1"/>
    <col min="8201" max="8201" width="12.5703125" style="462" customWidth="1"/>
    <col min="8202" max="8449" width="9.140625" style="462"/>
    <col min="8450" max="8450" width="5.7109375" style="462" customWidth="1"/>
    <col min="8451" max="8451" width="47.140625" style="462" customWidth="1"/>
    <col min="8452" max="8452" width="6.42578125" style="462" customWidth="1"/>
    <col min="8453" max="8453" width="9.42578125" style="462" customWidth="1"/>
    <col min="8454" max="8454" width="10.7109375" style="462" customWidth="1"/>
    <col min="8455" max="8455" width="12.42578125" style="462" customWidth="1"/>
    <col min="8456" max="8456" width="10" style="462" customWidth="1"/>
    <col min="8457" max="8457" width="12.5703125" style="462" customWidth="1"/>
    <col min="8458" max="8705" width="9.140625" style="462"/>
    <col min="8706" max="8706" width="5.7109375" style="462" customWidth="1"/>
    <col min="8707" max="8707" width="47.140625" style="462" customWidth="1"/>
    <col min="8708" max="8708" width="6.42578125" style="462" customWidth="1"/>
    <col min="8709" max="8709" width="9.42578125" style="462" customWidth="1"/>
    <col min="8710" max="8710" width="10.7109375" style="462" customWidth="1"/>
    <col min="8711" max="8711" width="12.42578125" style="462" customWidth="1"/>
    <col min="8712" max="8712" width="10" style="462" customWidth="1"/>
    <col min="8713" max="8713" width="12.5703125" style="462" customWidth="1"/>
    <col min="8714" max="8961" width="9.140625" style="462"/>
    <col min="8962" max="8962" width="5.7109375" style="462" customWidth="1"/>
    <col min="8963" max="8963" width="47.140625" style="462" customWidth="1"/>
    <col min="8964" max="8964" width="6.42578125" style="462" customWidth="1"/>
    <col min="8965" max="8965" width="9.42578125" style="462" customWidth="1"/>
    <col min="8966" max="8966" width="10.7109375" style="462" customWidth="1"/>
    <col min="8967" max="8967" width="12.42578125" style="462" customWidth="1"/>
    <col min="8968" max="8968" width="10" style="462" customWidth="1"/>
    <col min="8969" max="8969" width="12.5703125" style="462" customWidth="1"/>
    <col min="8970" max="9217" width="9.140625" style="462"/>
    <col min="9218" max="9218" width="5.7109375" style="462" customWidth="1"/>
    <col min="9219" max="9219" width="47.140625" style="462" customWidth="1"/>
    <col min="9220" max="9220" width="6.42578125" style="462" customWidth="1"/>
    <col min="9221" max="9221" width="9.42578125" style="462" customWidth="1"/>
    <col min="9222" max="9222" width="10.7109375" style="462" customWidth="1"/>
    <col min="9223" max="9223" width="12.42578125" style="462" customWidth="1"/>
    <col min="9224" max="9224" width="10" style="462" customWidth="1"/>
    <col min="9225" max="9225" width="12.5703125" style="462" customWidth="1"/>
    <col min="9226" max="9473" width="9.140625" style="462"/>
    <col min="9474" max="9474" width="5.7109375" style="462" customWidth="1"/>
    <col min="9475" max="9475" width="47.140625" style="462" customWidth="1"/>
    <col min="9476" max="9476" width="6.42578125" style="462" customWidth="1"/>
    <col min="9477" max="9477" width="9.42578125" style="462" customWidth="1"/>
    <col min="9478" max="9478" width="10.7109375" style="462" customWidth="1"/>
    <col min="9479" max="9479" width="12.42578125" style="462" customWidth="1"/>
    <col min="9480" max="9480" width="10" style="462" customWidth="1"/>
    <col min="9481" max="9481" width="12.5703125" style="462" customWidth="1"/>
    <col min="9482" max="9729" width="9.140625" style="462"/>
    <col min="9730" max="9730" width="5.7109375" style="462" customWidth="1"/>
    <col min="9731" max="9731" width="47.140625" style="462" customWidth="1"/>
    <col min="9732" max="9732" width="6.42578125" style="462" customWidth="1"/>
    <col min="9733" max="9733" width="9.42578125" style="462" customWidth="1"/>
    <col min="9734" max="9734" width="10.7109375" style="462" customWidth="1"/>
    <col min="9735" max="9735" width="12.42578125" style="462" customWidth="1"/>
    <col min="9736" max="9736" width="10" style="462" customWidth="1"/>
    <col min="9737" max="9737" width="12.5703125" style="462" customWidth="1"/>
    <col min="9738" max="9985" width="9.140625" style="462"/>
    <col min="9986" max="9986" width="5.7109375" style="462" customWidth="1"/>
    <col min="9987" max="9987" width="47.140625" style="462" customWidth="1"/>
    <col min="9988" max="9988" width="6.42578125" style="462" customWidth="1"/>
    <col min="9989" max="9989" width="9.42578125" style="462" customWidth="1"/>
    <col min="9990" max="9990" width="10.7109375" style="462" customWidth="1"/>
    <col min="9991" max="9991" width="12.42578125" style="462" customWidth="1"/>
    <col min="9992" max="9992" width="10" style="462" customWidth="1"/>
    <col min="9993" max="9993" width="12.5703125" style="462" customWidth="1"/>
    <col min="9994" max="10241" width="9.140625" style="462"/>
    <col min="10242" max="10242" width="5.7109375" style="462" customWidth="1"/>
    <col min="10243" max="10243" width="47.140625" style="462" customWidth="1"/>
    <col min="10244" max="10244" width="6.42578125" style="462" customWidth="1"/>
    <col min="10245" max="10245" width="9.42578125" style="462" customWidth="1"/>
    <col min="10246" max="10246" width="10.7109375" style="462" customWidth="1"/>
    <col min="10247" max="10247" width="12.42578125" style="462" customWidth="1"/>
    <col min="10248" max="10248" width="10" style="462" customWidth="1"/>
    <col min="10249" max="10249" width="12.5703125" style="462" customWidth="1"/>
    <col min="10250" max="10497" width="9.140625" style="462"/>
    <col min="10498" max="10498" width="5.7109375" style="462" customWidth="1"/>
    <col min="10499" max="10499" width="47.140625" style="462" customWidth="1"/>
    <col min="10500" max="10500" width="6.42578125" style="462" customWidth="1"/>
    <col min="10501" max="10501" width="9.42578125" style="462" customWidth="1"/>
    <col min="10502" max="10502" width="10.7109375" style="462" customWidth="1"/>
    <col min="10503" max="10503" width="12.42578125" style="462" customWidth="1"/>
    <col min="10504" max="10504" width="10" style="462" customWidth="1"/>
    <col min="10505" max="10505" width="12.5703125" style="462" customWidth="1"/>
    <col min="10506" max="10753" width="9.140625" style="462"/>
    <col min="10754" max="10754" width="5.7109375" style="462" customWidth="1"/>
    <col min="10755" max="10755" width="47.140625" style="462" customWidth="1"/>
    <col min="10756" max="10756" width="6.42578125" style="462" customWidth="1"/>
    <col min="10757" max="10757" width="9.42578125" style="462" customWidth="1"/>
    <col min="10758" max="10758" width="10.7109375" style="462" customWidth="1"/>
    <col min="10759" max="10759" width="12.42578125" style="462" customWidth="1"/>
    <col min="10760" max="10760" width="10" style="462" customWidth="1"/>
    <col min="10761" max="10761" width="12.5703125" style="462" customWidth="1"/>
    <col min="10762" max="11009" width="9.140625" style="462"/>
    <col min="11010" max="11010" width="5.7109375" style="462" customWidth="1"/>
    <col min="11011" max="11011" width="47.140625" style="462" customWidth="1"/>
    <col min="11012" max="11012" width="6.42578125" style="462" customWidth="1"/>
    <col min="11013" max="11013" width="9.42578125" style="462" customWidth="1"/>
    <col min="11014" max="11014" width="10.7109375" style="462" customWidth="1"/>
    <col min="11015" max="11015" width="12.42578125" style="462" customWidth="1"/>
    <col min="11016" max="11016" width="10" style="462" customWidth="1"/>
    <col min="11017" max="11017" width="12.5703125" style="462" customWidth="1"/>
    <col min="11018" max="11265" width="9.140625" style="462"/>
    <col min="11266" max="11266" width="5.7109375" style="462" customWidth="1"/>
    <col min="11267" max="11267" width="47.140625" style="462" customWidth="1"/>
    <col min="11268" max="11268" width="6.42578125" style="462" customWidth="1"/>
    <col min="11269" max="11269" width="9.42578125" style="462" customWidth="1"/>
    <col min="11270" max="11270" width="10.7109375" style="462" customWidth="1"/>
    <col min="11271" max="11271" width="12.42578125" style="462" customWidth="1"/>
    <col min="11272" max="11272" width="10" style="462" customWidth="1"/>
    <col min="11273" max="11273" width="12.5703125" style="462" customWidth="1"/>
    <col min="11274" max="11521" width="9.140625" style="462"/>
    <col min="11522" max="11522" width="5.7109375" style="462" customWidth="1"/>
    <col min="11523" max="11523" width="47.140625" style="462" customWidth="1"/>
    <col min="11524" max="11524" width="6.42578125" style="462" customWidth="1"/>
    <col min="11525" max="11525" width="9.42578125" style="462" customWidth="1"/>
    <col min="11526" max="11526" width="10.7109375" style="462" customWidth="1"/>
    <col min="11527" max="11527" width="12.42578125" style="462" customWidth="1"/>
    <col min="11528" max="11528" width="10" style="462" customWidth="1"/>
    <col min="11529" max="11529" width="12.5703125" style="462" customWidth="1"/>
    <col min="11530" max="11777" width="9.140625" style="462"/>
    <col min="11778" max="11778" width="5.7109375" style="462" customWidth="1"/>
    <col min="11779" max="11779" width="47.140625" style="462" customWidth="1"/>
    <col min="11780" max="11780" width="6.42578125" style="462" customWidth="1"/>
    <col min="11781" max="11781" width="9.42578125" style="462" customWidth="1"/>
    <col min="11782" max="11782" width="10.7109375" style="462" customWidth="1"/>
    <col min="11783" max="11783" width="12.42578125" style="462" customWidth="1"/>
    <col min="11784" max="11784" width="10" style="462" customWidth="1"/>
    <col min="11785" max="11785" width="12.5703125" style="462" customWidth="1"/>
    <col min="11786" max="12033" width="9.140625" style="462"/>
    <col min="12034" max="12034" width="5.7109375" style="462" customWidth="1"/>
    <col min="12035" max="12035" width="47.140625" style="462" customWidth="1"/>
    <col min="12036" max="12036" width="6.42578125" style="462" customWidth="1"/>
    <col min="12037" max="12037" width="9.42578125" style="462" customWidth="1"/>
    <col min="12038" max="12038" width="10.7109375" style="462" customWidth="1"/>
    <col min="12039" max="12039" width="12.42578125" style="462" customWidth="1"/>
    <col min="12040" max="12040" width="10" style="462" customWidth="1"/>
    <col min="12041" max="12041" width="12.5703125" style="462" customWidth="1"/>
    <col min="12042" max="12289" width="9.140625" style="462"/>
    <col min="12290" max="12290" width="5.7109375" style="462" customWidth="1"/>
    <col min="12291" max="12291" width="47.140625" style="462" customWidth="1"/>
    <col min="12292" max="12292" width="6.42578125" style="462" customWidth="1"/>
    <col min="12293" max="12293" width="9.42578125" style="462" customWidth="1"/>
    <col min="12294" max="12294" width="10.7109375" style="462" customWidth="1"/>
    <col min="12295" max="12295" width="12.42578125" style="462" customWidth="1"/>
    <col min="12296" max="12296" width="10" style="462" customWidth="1"/>
    <col min="12297" max="12297" width="12.5703125" style="462" customWidth="1"/>
    <col min="12298" max="12545" width="9.140625" style="462"/>
    <col min="12546" max="12546" width="5.7109375" style="462" customWidth="1"/>
    <col min="12547" max="12547" width="47.140625" style="462" customWidth="1"/>
    <col min="12548" max="12548" width="6.42578125" style="462" customWidth="1"/>
    <col min="12549" max="12549" width="9.42578125" style="462" customWidth="1"/>
    <col min="12550" max="12550" width="10.7109375" style="462" customWidth="1"/>
    <col min="12551" max="12551" width="12.42578125" style="462" customWidth="1"/>
    <col min="12552" max="12552" width="10" style="462" customWidth="1"/>
    <col min="12553" max="12553" width="12.5703125" style="462" customWidth="1"/>
    <col min="12554" max="12801" width="9.140625" style="462"/>
    <col min="12802" max="12802" width="5.7109375" style="462" customWidth="1"/>
    <col min="12803" max="12803" width="47.140625" style="462" customWidth="1"/>
    <col min="12804" max="12804" width="6.42578125" style="462" customWidth="1"/>
    <col min="12805" max="12805" width="9.42578125" style="462" customWidth="1"/>
    <col min="12806" max="12806" width="10.7109375" style="462" customWidth="1"/>
    <col min="12807" max="12807" width="12.42578125" style="462" customWidth="1"/>
    <col min="12808" max="12808" width="10" style="462" customWidth="1"/>
    <col min="12809" max="12809" width="12.5703125" style="462" customWidth="1"/>
    <col min="12810" max="13057" width="9.140625" style="462"/>
    <col min="13058" max="13058" width="5.7109375" style="462" customWidth="1"/>
    <col min="13059" max="13059" width="47.140625" style="462" customWidth="1"/>
    <col min="13060" max="13060" width="6.42578125" style="462" customWidth="1"/>
    <col min="13061" max="13061" width="9.42578125" style="462" customWidth="1"/>
    <col min="13062" max="13062" width="10.7109375" style="462" customWidth="1"/>
    <col min="13063" max="13063" width="12.42578125" style="462" customWidth="1"/>
    <col min="13064" max="13064" width="10" style="462" customWidth="1"/>
    <col min="13065" max="13065" width="12.5703125" style="462" customWidth="1"/>
    <col min="13066" max="13313" width="9.140625" style="462"/>
    <col min="13314" max="13314" width="5.7109375" style="462" customWidth="1"/>
    <col min="13315" max="13315" width="47.140625" style="462" customWidth="1"/>
    <col min="13316" max="13316" width="6.42578125" style="462" customWidth="1"/>
    <col min="13317" max="13317" width="9.42578125" style="462" customWidth="1"/>
    <col min="13318" max="13318" width="10.7109375" style="462" customWidth="1"/>
    <col min="13319" max="13319" width="12.42578125" style="462" customWidth="1"/>
    <col min="13320" max="13320" width="10" style="462" customWidth="1"/>
    <col min="13321" max="13321" width="12.5703125" style="462" customWidth="1"/>
    <col min="13322" max="13569" width="9.140625" style="462"/>
    <col min="13570" max="13570" width="5.7109375" style="462" customWidth="1"/>
    <col min="13571" max="13571" width="47.140625" style="462" customWidth="1"/>
    <col min="13572" max="13572" width="6.42578125" style="462" customWidth="1"/>
    <col min="13573" max="13573" width="9.42578125" style="462" customWidth="1"/>
    <col min="13574" max="13574" width="10.7109375" style="462" customWidth="1"/>
    <col min="13575" max="13575" width="12.42578125" style="462" customWidth="1"/>
    <col min="13576" max="13576" width="10" style="462" customWidth="1"/>
    <col min="13577" max="13577" width="12.5703125" style="462" customWidth="1"/>
    <col min="13578" max="13825" width="9.140625" style="462"/>
    <col min="13826" max="13826" width="5.7109375" style="462" customWidth="1"/>
    <col min="13827" max="13827" width="47.140625" style="462" customWidth="1"/>
    <col min="13828" max="13828" width="6.42578125" style="462" customWidth="1"/>
    <col min="13829" max="13829" width="9.42578125" style="462" customWidth="1"/>
    <col min="13830" max="13830" width="10.7109375" style="462" customWidth="1"/>
    <col min="13831" max="13831" width="12.42578125" style="462" customWidth="1"/>
    <col min="13832" max="13832" width="10" style="462" customWidth="1"/>
    <col min="13833" max="13833" width="12.5703125" style="462" customWidth="1"/>
    <col min="13834" max="14081" width="9.140625" style="462"/>
    <col min="14082" max="14082" width="5.7109375" style="462" customWidth="1"/>
    <col min="14083" max="14083" width="47.140625" style="462" customWidth="1"/>
    <col min="14084" max="14084" width="6.42578125" style="462" customWidth="1"/>
    <col min="14085" max="14085" width="9.42578125" style="462" customWidth="1"/>
    <col min="14086" max="14086" width="10.7109375" style="462" customWidth="1"/>
    <col min="14087" max="14087" width="12.42578125" style="462" customWidth="1"/>
    <col min="14088" max="14088" width="10" style="462" customWidth="1"/>
    <col min="14089" max="14089" width="12.5703125" style="462" customWidth="1"/>
    <col min="14090" max="14337" width="9.140625" style="462"/>
    <col min="14338" max="14338" width="5.7109375" style="462" customWidth="1"/>
    <col min="14339" max="14339" width="47.140625" style="462" customWidth="1"/>
    <col min="14340" max="14340" width="6.42578125" style="462" customWidth="1"/>
    <col min="14341" max="14341" width="9.42578125" style="462" customWidth="1"/>
    <col min="14342" max="14342" width="10.7109375" style="462" customWidth="1"/>
    <col min="14343" max="14343" width="12.42578125" style="462" customWidth="1"/>
    <col min="14344" max="14344" width="10" style="462" customWidth="1"/>
    <col min="14345" max="14345" width="12.5703125" style="462" customWidth="1"/>
    <col min="14346" max="14593" width="9.140625" style="462"/>
    <col min="14594" max="14594" width="5.7109375" style="462" customWidth="1"/>
    <col min="14595" max="14595" width="47.140625" style="462" customWidth="1"/>
    <col min="14596" max="14596" width="6.42578125" style="462" customWidth="1"/>
    <col min="14597" max="14597" width="9.42578125" style="462" customWidth="1"/>
    <col min="14598" max="14598" width="10.7109375" style="462" customWidth="1"/>
    <col min="14599" max="14599" width="12.42578125" style="462" customWidth="1"/>
    <col min="14600" max="14600" width="10" style="462" customWidth="1"/>
    <col min="14601" max="14601" width="12.5703125" style="462" customWidth="1"/>
    <col min="14602" max="14849" width="9.140625" style="462"/>
    <col min="14850" max="14850" width="5.7109375" style="462" customWidth="1"/>
    <col min="14851" max="14851" width="47.140625" style="462" customWidth="1"/>
    <col min="14852" max="14852" width="6.42578125" style="462" customWidth="1"/>
    <col min="14853" max="14853" width="9.42578125" style="462" customWidth="1"/>
    <col min="14854" max="14854" width="10.7109375" style="462" customWidth="1"/>
    <col min="14855" max="14855" width="12.42578125" style="462" customWidth="1"/>
    <col min="14856" max="14856" width="10" style="462" customWidth="1"/>
    <col min="14857" max="14857" width="12.5703125" style="462" customWidth="1"/>
    <col min="14858" max="15105" width="9.140625" style="462"/>
    <col min="15106" max="15106" width="5.7109375" style="462" customWidth="1"/>
    <col min="15107" max="15107" width="47.140625" style="462" customWidth="1"/>
    <col min="15108" max="15108" width="6.42578125" style="462" customWidth="1"/>
    <col min="15109" max="15109" width="9.42578125" style="462" customWidth="1"/>
    <col min="15110" max="15110" width="10.7109375" style="462" customWidth="1"/>
    <col min="15111" max="15111" width="12.42578125" style="462" customWidth="1"/>
    <col min="15112" max="15112" width="10" style="462" customWidth="1"/>
    <col min="15113" max="15113" width="12.5703125" style="462" customWidth="1"/>
    <col min="15114" max="15361" width="9.140625" style="462"/>
    <col min="15362" max="15362" width="5.7109375" style="462" customWidth="1"/>
    <col min="15363" max="15363" width="47.140625" style="462" customWidth="1"/>
    <col min="15364" max="15364" width="6.42578125" style="462" customWidth="1"/>
    <col min="15365" max="15365" width="9.42578125" style="462" customWidth="1"/>
    <col min="15366" max="15366" width="10.7109375" style="462" customWidth="1"/>
    <col min="15367" max="15367" width="12.42578125" style="462" customWidth="1"/>
    <col min="15368" max="15368" width="10" style="462" customWidth="1"/>
    <col min="15369" max="15369" width="12.5703125" style="462" customWidth="1"/>
    <col min="15370" max="15617" width="9.140625" style="462"/>
    <col min="15618" max="15618" width="5.7109375" style="462" customWidth="1"/>
    <col min="15619" max="15619" width="47.140625" style="462" customWidth="1"/>
    <col min="15620" max="15620" width="6.42578125" style="462" customWidth="1"/>
    <col min="15621" max="15621" width="9.42578125" style="462" customWidth="1"/>
    <col min="15622" max="15622" width="10.7109375" style="462" customWidth="1"/>
    <col min="15623" max="15623" width="12.42578125" style="462" customWidth="1"/>
    <col min="15624" max="15624" width="10" style="462" customWidth="1"/>
    <col min="15625" max="15625" width="12.5703125" style="462" customWidth="1"/>
    <col min="15626" max="15873" width="9.140625" style="462"/>
    <col min="15874" max="15874" width="5.7109375" style="462" customWidth="1"/>
    <col min="15875" max="15875" width="47.140625" style="462" customWidth="1"/>
    <col min="15876" max="15876" width="6.42578125" style="462" customWidth="1"/>
    <col min="15877" max="15877" width="9.42578125" style="462" customWidth="1"/>
    <col min="15878" max="15878" width="10.7109375" style="462" customWidth="1"/>
    <col min="15879" max="15879" width="12.42578125" style="462" customWidth="1"/>
    <col min="15880" max="15880" width="10" style="462" customWidth="1"/>
    <col min="15881" max="15881" width="12.5703125" style="462" customWidth="1"/>
    <col min="15882" max="16129" width="9.140625" style="462"/>
    <col min="16130" max="16130" width="5.7109375" style="462" customWidth="1"/>
    <col min="16131" max="16131" width="47.140625" style="462" customWidth="1"/>
    <col min="16132" max="16132" width="6.42578125" style="462" customWidth="1"/>
    <col min="16133" max="16133" width="9.42578125" style="462" customWidth="1"/>
    <col min="16134" max="16134" width="10.7109375" style="462" customWidth="1"/>
    <col min="16135" max="16135" width="12.42578125" style="462" customWidth="1"/>
    <col min="16136" max="16136" width="10" style="462" customWidth="1"/>
    <col min="16137" max="16137" width="12.5703125" style="462" customWidth="1"/>
    <col min="16138" max="16384" width="9.140625" style="462"/>
  </cols>
  <sheetData>
    <row r="1" spans="2:17" s="457" customFormat="1">
      <c r="B1" s="1915" t="s">
        <v>1257</v>
      </c>
      <c r="D1" s="1915"/>
      <c r="E1" s="1915"/>
      <c r="F1" s="1915"/>
      <c r="G1" s="1915"/>
      <c r="H1" s="1915"/>
      <c r="I1" s="2279"/>
      <c r="J1" s="2279"/>
      <c r="O1" s="459"/>
      <c r="P1" s="459"/>
    </row>
    <row r="2" spans="2:17" s="457" customFormat="1">
      <c r="B2" s="1915" t="s">
        <v>1208</v>
      </c>
      <c r="D2" s="1915"/>
      <c r="E2" s="1915"/>
      <c r="F2" s="1915"/>
      <c r="G2" s="2280"/>
      <c r="H2" s="2280"/>
      <c r="O2" s="459"/>
      <c r="P2" s="459"/>
    </row>
    <row r="3" spans="2:17" s="457" customFormat="1">
      <c r="B3" s="1915" t="s">
        <v>1258</v>
      </c>
      <c r="D3" s="1915"/>
      <c r="E3" s="1915"/>
      <c r="F3" s="1915"/>
      <c r="G3" s="2280" t="s">
        <v>1793</v>
      </c>
      <c r="H3" s="2280"/>
      <c r="I3" s="2280"/>
      <c r="O3" s="1916"/>
      <c r="P3" s="1916"/>
    </row>
    <row r="4" spans="2:17" s="457" customFormat="1" ht="18" thickBot="1">
      <c r="B4" s="1915" t="s">
        <v>1209</v>
      </c>
      <c r="D4" s="1915"/>
      <c r="E4" s="1915"/>
      <c r="F4" s="1915"/>
      <c r="G4" s="1915"/>
      <c r="H4" s="1915"/>
      <c r="I4" s="1915"/>
      <c r="J4" s="1915"/>
      <c r="O4" s="459"/>
      <c r="P4" s="459"/>
      <c r="Q4" s="459"/>
    </row>
    <row r="5" spans="2:17" s="461" customFormat="1" ht="18" thickTop="1">
      <c r="B5" s="2284" t="s">
        <v>1492</v>
      </c>
      <c r="C5" s="2286" t="s">
        <v>0</v>
      </c>
      <c r="D5" s="2286" t="s">
        <v>1491</v>
      </c>
      <c r="E5" s="2288" t="s">
        <v>1623</v>
      </c>
      <c r="F5" s="2289"/>
      <c r="G5" s="2289"/>
      <c r="H5" s="2288" t="s">
        <v>1624</v>
      </c>
      <c r="I5" s="2290"/>
    </row>
    <row r="6" spans="2:17" s="461" customFormat="1" ht="18" thickBot="1">
      <c r="B6" s="2285"/>
      <c r="C6" s="2287"/>
      <c r="D6" s="2287"/>
      <c r="E6" s="1917" t="s">
        <v>1487</v>
      </c>
      <c r="F6" s="1917" t="s">
        <v>1488</v>
      </c>
      <c r="G6" s="1917" t="s">
        <v>1486</v>
      </c>
      <c r="H6" s="1917" t="s">
        <v>1487</v>
      </c>
      <c r="I6" s="1918" t="s">
        <v>1486</v>
      </c>
    </row>
    <row r="7" spans="2:17" ht="18" thickTop="1">
      <c r="B7" s="1919"/>
      <c r="C7" s="1920" t="s">
        <v>1485</v>
      </c>
      <c r="D7" s="1921"/>
      <c r="E7" s="1921"/>
      <c r="F7" s="1922"/>
      <c r="G7" s="1921"/>
      <c r="H7" s="1921"/>
      <c r="I7" s="1923"/>
    </row>
    <row r="8" spans="2:17">
      <c r="B8" s="1924"/>
      <c r="C8" s="1925" t="s">
        <v>1484</v>
      </c>
      <c r="D8" s="1926"/>
      <c r="E8" s="1926"/>
      <c r="F8" s="1927"/>
      <c r="G8" s="1926"/>
      <c r="H8" s="1926"/>
      <c r="I8" s="1928"/>
    </row>
    <row r="9" spans="2:17" ht="18.75">
      <c r="B9" s="1929">
        <v>1.1000000000000001</v>
      </c>
      <c r="C9" s="1930" t="s">
        <v>1483</v>
      </c>
      <c r="D9" s="1931" t="s">
        <v>3538</v>
      </c>
      <c r="E9" s="1931">
        <v>92</v>
      </c>
      <c r="F9" s="1932">
        <v>8</v>
      </c>
      <c r="G9" s="1931">
        <f>E9*F9</f>
        <v>736</v>
      </c>
      <c r="H9" s="1931">
        <f>'Gen. Sub TOS'!D14+'Tran. Sub TOS'!D11</f>
        <v>67.430000000000007</v>
      </c>
      <c r="I9" s="1933">
        <f>F9*H9</f>
        <v>539.44000000000005</v>
      </c>
    </row>
    <row r="10" spans="2:17" ht="18.75">
      <c r="B10" s="1934">
        <v>1.2</v>
      </c>
      <c r="C10" s="1935" t="s">
        <v>1482</v>
      </c>
      <c r="D10" s="1931" t="s">
        <v>3539</v>
      </c>
      <c r="E10" s="1931">
        <f>E9*1.5</f>
        <v>138</v>
      </c>
      <c r="F10" s="1932">
        <v>70</v>
      </c>
      <c r="G10" s="1931">
        <f t="shared" ref="G10:G71" si="0">E10*F10</f>
        <v>9660</v>
      </c>
      <c r="H10" s="1931"/>
      <c r="I10" s="1933">
        <f t="shared" ref="I10:I71" si="1">F10*H10</f>
        <v>0</v>
      </c>
    </row>
    <row r="11" spans="2:17" ht="18.75">
      <c r="B11" s="1934">
        <v>1.3</v>
      </c>
      <c r="C11" s="1935" t="s">
        <v>1524</v>
      </c>
      <c r="D11" s="1931" t="s">
        <v>3539</v>
      </c>
      <c r="E11" s="1931">
        <f>E9*0.5</f>
        <v>46</v>
      </c>
      <c r="F11" s="1932">
        <v>70</v>
      </c>
      <c r="G11" s="1931">
        <f t="shared" si="0"/>
        <v>3220</v>
      </c>
      <c r="H11" s="1931">
        <f>'Gen. Sub TOS'!D29</f>
        <v>13.041</v>
      </c>
      <c r="I11" s="1933">
        <f t="shared" si="1"/>
        <v>912.87</v>
      </c>
    </row>
    <row r="12" spans="2:17" ht="18.75">
      <c r="B12" s="1929">
        <v>1.4</v>
      </c>
      <c r="C12" s="1930" t="s">
        <v>1480</v>
      </c>
      <c r="D12" s="1931" t="s">
        <v>3539</v>
      </c>
      <c r="E12" s="1931">
        <f>E10+E11</f>
        <v>184</v>
      </c>
      <c r="F12" s="1932">
        <v>150</v>
      </c>
      <c r="G12" s="1931">
        <f t="shared" si="0"/>
        <v>27600</v>
      </c>
      <c r="H12" s="1931">
        <f>'Gen. Sub TOS'!D59</f>
        <v>20.984999999999999</v>
      </c>
      <c r="I12" s="1933">
        <f t="shared" si="1"/>
        <v>3147.75</v>
      </c>
    </row>
    <row r="13" spans="2:17" ht="18.75">
      <c r="B13" s="1929">
        <v>1.5</v>
      </c>
      <c r="C13" s="1930" t="s">
        <v>1479</v>
      </c>
      <c r="D13" s="1931" t="s">
        <v>3539</v>
      </c>
      <c r="E13" s="1931">
        <f>E12+(0.3*E9)</f>
        <v>211.6</v>
      </c>
      <c r="F13" s="1932">
        <v>70</v>
      </c>
      <c r="G13" s="1931">
        <f t="shared" si="0"/>
        <v>14812</v>
      </c>
      <c r="H13" s="1931">
        <f>'Gen. Sub TOS'!H16</f>
        <v>34.039000000000001</v>
      </c>
      <c r="I13" s="1933">
        <f t="shared" si="1"/>
        <v>2382.73</v>
      </c>
    </row>
    <row r="14" spans="2:17" ht="18.75">
      <c r="B14" s="1929">
        <v>1.6</v>
      </c>
      <c r="C14" s="1930" t="s">
        <v>1497</v>
      </c>
      <c r="D14" s="1931" t="s">
        <v>3538</v>
      </c>
      <c r="E14" s="1931">
        <v>88</v>
      </c>
      <c r="F14" s="1932">
        <v>200</v>
      </c>
      <c r="G14" s="1931">
        <f t="shared" si="0"/>
        <v>17600</v>
      </c>
      <c r="H14" s="1931">
        <f>'Gen. Sub TOS'!H20+'Tran. Sub TOS'!H10</f>
        <v>27.09</v>
      </c>
      <c r="I14" s="1933">
        <f t="shared" si="1"/>
        <v>5418</v>
      </c>
    </row>
    <row r="15" spans="2:17" ht="18" thickBot="1">
      <c r="B15" s="2291" t="s">
        <v>1330</v>
      </c>
      <c r="C15" s="2292"/>
      <c r="D15" s="2293"/>
      <c r="E15" s="1938"/>
      <c r="F15" s="1939"/>
      <c r="G15" s="1938">
        <f>SUM(G9:G14)</f>
        <v>73628</v>
      </c>
      <c r="H15" s="1938"/>
      <c r="I15" s="1940">
        <f>SUM(I9:I14)</f>
        <v>12400.789999999999</v>
      </c>
    </row>
    <row r="16" spans="2:17" ht="18" thickTop="1">
      <c r="B16" s="1941"/>
      <c r="C16" s="1942" t="s">
        <v>1477</v>
      </c>
      <c r="D16" s="1931"/>
      <c r="E16" s="1931"/>
      <c r="F16" s="1932"/>
      <c r="G16" s="1931"/>
      <c r="H16" s="1931"/>
      <c r="I16" s="1933"/>
    </row>
    <row r="17" spans="2:9" ht="18.75">
      <c r="B17" s="1929">
        <v>2.1</v>
      </c>
      <c r="C17" s="1930" t="s">
        <v>1476</v>
      </c>
      <c r="D17" s="1931" t="s">
        <v>3538</v>
      </c>
      <c r="E17" s="1931">
        <v>21</v>
      </c>
      <c r="F17" s="1932">
        <v>150</v>
      </c>
      <c r="G17" s="1931">
        <f t="shared" si="0"/>
        <v>3150</v>
      </c>
      <c r="H17" s="1931">
        <f>'Gen. Sub TOS'!H30+'Tran. Sub TOS'!I21</f>
        <v>9.92</v>
      </c>
      <c r="I17" s="1933">
        <f t="shared" si="1"/>
        <v>1488</v>
      </c>
    </row>
    <row r="18" spans="2:9" ht="18.75">
      <c r="B18" s="1934">
        <v>2.2000000000000002</v>
      </c>
      <c r="C18" s="1935" t="s">
        <v>1475</v>
      </c>
      <c r="D18" s="1943" t="s">
        <v>3538</v>
      </c>
      <c r="E18" s="1931">
        <v>10</v>
      </c>
      <c r="F18" s="1932">
        <v>150</v>
      </c>
      <c r="G18" s="1931">
        <f t="shared" si="0"/>
        <v>1500</v>
      </c>
      <c r="H18" s="1931"/>
      <c r="I18" s="1933">
        <f t="shared" si="1"/>
        <v>0</v>
      </c>
    </row>
    <row r="19" spans="2:9" ht="18.75">
      <c r="B19" s="1929">
        <v>2.2999999999999998</v>
      </c>
      <c r="C19" s="1930" t="s">
        <v>1474</v>
      </c>
      <c r="D19" s="1931" t="s">
        <v>3538</v>
      </c>
      <c r="E19" s="1931">
        <v>88</v>
      </c>
      <c r="F19" s="1932">
        <v>400</v>
      </c>
      <c r="G19" s="1931">
        <f t="shared" si="0"/>
        <v>35200</v>
      </c>
      <c r="H19" s="1931">
        <f>'Gen. Sub TOS'!H36+'Tran. Sub TOS'!H32</f>
        <v>29.505000000000003</v>
      </c>
      <c r="I19" s="1933">
        <f t="shared" si="1"/>
        <v>11802.000000000002</v>
      </c>
    </row>
    <row r="20" spans="2:9" ht="18.75">
      <c r="B20" s="1929">
        <v>2.4</v>
      </c>
      <c r="C20" s="1930" t="s">
        <v>1526</v>
      </c>
      <c r="D20" s="1931" t="s">
        <v>3539</v>
      </c>
      <c r="E20" s="1931">
        <v>6</v>
      </c>
      <c r="F20" s="1932">
        <v>3200</v>
      </c>
      <c r="G20" s="1931">
        <f t="shared" si="0"/>
        <v>19200</v>
      </c>
      <c r="H20" s="1931">
        <f>'Gen. Sub TOS'!D75+'Tran. Sub TOS'!I50</f>
        <v>4.71</v>
      </c>
      <c r="I20" s="1933">
        <f t="shared" si="1"/>
        <v>15072</v>
      </c>
    </row>
    <row r="21" spans="2:9" ht="18.75">
      <c r="B21" s="1934">
        <v>2.5</v>
      </c>
      <c r="C21" s="1935" t="s">
        <v>1471</v>
      </c>
      <c r="D21" s="1943" t="s">
        <v>3539</v>
      </c>
      <c r="E21" s="1931">
        <v>0.5</v>
      </c>
      <c r="F21" s="1932">
        <v>3200</v>
      </c>
      <c r="G21" s="1931">
        <f t="shared" si="0"/>
        <v>1600</v>
      </c>
      <c r="H21" s="1931"/>
      <c r="I21" s="1933">
        <f t="shared" si="1"/>
        <v>0</v>
      </c>
    </row>
    <row r="22" spans="2:9" ht="18.75">
      <c r="B22" s="1934">
        <v>2.6</v>
      </c>
      <c r="C22" s="1935" t="s">
        <v>1470</v>
      </c>
      <c r="D22" s="1943" t="s">
        <v>3539</v>
      </c>
      <c r="E22" s="1931">
        <v>1.8</v>
      </c>
      <c r="F22" s="1932">
        <v>3200</v>
      </c>
      <c r="G22" s="1931">
        <f t="shared" si="0"/>
        <v>5760</v>
      </c>
      <c r="H22" s="1931"/>
      <c r="I22" s="1933">
        <f t="shared" si="1"/>
        <v>0</v>
      </c>
    </row>
    <row r="23" spans="2:9">
      <c r="B23" s="1929"/>
      <c r="C23" s="1930" t="s">
        <v>1625</v>
      </c>
      <c r="D23" s="1931"/>
      <c r="E23" s="1931"/>
      <c r="F23" s="1932"/>
      <c r="G23" s="1931">
        <f t="shared" si="0"/>
        <v>0</v>
      </c>
      <c r="H23" s="1931"/>
      <c r="I23" s="1933">
        <f t="shared" si="1"/>
        <v>0</v>
      </c>
    </row>
    <row r="24" spans="2:9" ht="18.75">
      <c r="B24" s="1929">
        <v>2.7</v>
      </c>
      <c r="C24" s="1930" t="s">
        <v>1</v>
      </c>
      <c r="D24" s="1931" t="s">
        <v>3538</v>
      </c>
      <c r="E24" s="1931">
        <v>35</v>
      </c>
      <c r="F24" s="1932">
        <v>120</v>
      </c>
      <c r="G24" s="1931">
        <f t="shared" si="0"/>
        <v>4200</v>
      </c>
      <c r="H24" s="1931">
        <f>'Gen. Sub TOS'!D88+'Tran. Sub TOS'!E93</f>
        <v>24.98</v>
      </c>
      <c r="I24" s="1933">
        <f t="shared" si="1"/>
        <v>2997.6</v>
      </c>
    </row>
    <row r="25" spans="2:9" ht="18.75">
      <c r="B25" s="1934">
        <v>2.8</v>
      </c>
      <c r="C25" s="1935" t="s">
        <v>1471</v>
      </c>
      <c r="D25" s="1943" t="s">
        <v>3538</v>
      </c>
      <c r="E25" s="1931">
        <v>8</v>
      </c>
      <c r="F25" s="1932">
        <v>120</v>
      </c>
      <c r="G25" s="1931">
        <f t="shared" si="0"/>
        <v>960</v>
      </c>
      <c r="H25" s="1931"/>
      <c r="I25" s="1933">
        <f t="shared" si="1"/>
        <v>0</v>
      </c>
    </row>
    <row r="26" spans="2:9" ht="18.75">
      <c r="B26" s="1934">
        <v>2.9</v>
      </c>
      <c r="C26" s="1935" t="s">
        <v>1470</v>
      </c>
      <c r="D26" s="1943" t="s">
        <v>3538</v>
      </c>
      <c r="E26" s="1931">
        <v>27</v>
      </c>
      <c r="F26" s="1932">
        <v>120</v>
      </c>
      <c r="G26" s="1931">
        <f t="shared" si="0"/>
        <v>3240</v>
      </c>
      <c r="H26" s="1931"/>
      <c r="I26" s="1933">
        <f t="shared" si="1"/>
        <v>0</v>
      </c>
    </row>
    <row r="27" spans="2:9" ht="18.75">
      <c r="B27" s="1941">
        <v>2.1</v>
      </c>
      <c r="C27" s="1930" t="s">
        <v>1528</v>
      </c>
      <c r="D27" s="1931" t="s">
        <v>3538</v>
      </c>
      <c r="E27" s="1931">
        <v>2</v>
      </c>
      <c r="F27" s="1932">
        <v>150</v>
      </c>
      <c r="G27" s="1931">
        <f t="shared" si="0"/>
        <v>300</v>
      </c>
      <c r="H27" s="1931"/>
      <c r="I27" s="1933">
        <f t="shared" si="1"/>
        <v>0</v>
      </c>
    </row>
    <row r="28" spans="2:9">
      <c r="B28" s="1929"/>
      <c r="C28" s="1930" t="s">
        <v>1454</v>
      </c>
      <c r="D28" s="1931"/>
      <c r="E28" s="1931"/>
      <c r="F28" s="1932"/>
      <c r="G28" s="1931">
        <f t="shared" si="0"/>
        <v>0</v>
      </c>
      <c r="H28" s="1931"/>
      <c r="I28" s="1933">
        <f t="shared" si="1"/>
        <v>0</v>
      </c>
    </row>
    <row r="29" spans="2:9">
      <c r="B29" s="1944">
        <v>2.11</v>
      </c>
      <c r="C29" s="1935" t="s">
        <v>3244</v>
      </c>
      <c r="D29" s="1943" t="s">
        <v>1450</v>
      </c>
      <c r="E29" s="1931">
        <v>542</v>
      </c>
      <c r="F29" s="1932">
        <v>36</v>
      </c>
      <c r="G29" s="1931">
        <f t="shared" si="0"/>
        <v>19512</v>
      </c>
      <c r="H29" s="1931">
        <f>'Gen Reinf'!N30</f>
        <v>143.02199999999999</v>
      </c>
      <c r="I29" s="1933">
        <f t="shared" si="1"/>
        <v>5148.7919999999995</v>
      </c>
    </row>
    <row r="30" spans="2:9">
      <c r="B30" s="1941">
        <v>2.12</v>
      </c>
      <c r="C30" s="1930" t="s">
        <v>1451</v>
      </c>
      <c r="D30" s="1931" t="s">
        <v>1450</v>
      </c>
      <c r="E30" s="1931">
        <v>447</v>
      </c>
      <c r="F30" s="1932">
        <v>36</v>
      </c>
      <c r="G30" s="1931">
        <f t="shared" si="0"/>
        <v>16092</v>
      </c>
      <c r="H30" s="1931">
        <f>'Gen Reinf'!K30+'Re-bar pump house'!K25</f>
        <v>201.13794999999999</v>
      </c>
      <c r="I30" s="1933">
        <f t="shared" si="1"/>
        <v>7240.9661999999998</v>
      </c>
    </row>
    <row r="31" spans="2:9">
      <c r="B31" s="1941">
        <v>2.13</v>
      </c>
      <c r="C31" s="1930" t="s">
        <v>1466</v>
      </c>
      <c r="D31" s="1931" t="s">
        <v>1406</v>
      </c>
      <c r="E31" s="1931">
        <v>120</v>
      </c>
      <c r="F31" s="1932">
        <v>36</v>
      </c>
      <c r="G31" s="1931">
        <f t="shared" si="0"/>
        <v>4320</v>
      </c>
      <c r="H31" s="1931">
        <f>'Gen. Sub TOS'!D98+'Tran. Sub TOS'!I81</f>
        <v>31.9</v>
      </c>
      <c r="I31" s="1933">
        <f t="shared" si="1"/>
        <v>1148.3999999999999</v>
      </c>
    </row>
    <row r="32" spans="2:9" ht="18" thickBot="1">
      <c r="B32" s="2291" t="s">
        <v>1330</v>
      </c>
      <c r="C32" s="2292"/>
      <c r="D32" s="2293"/>
      <c r="E32" s="1938"/>
      <c r="F32" s="1939"/>
      <c r="G32" s="1938">
        <f>SUM(G17:G31)</f>
        <v>115034</v>
      </c>
      <c r="H32" s="1938"/>
      <c r="I32" s="1940">
        <f>SUM(I17:I31)</f>
        <v>44897.758200000004</v>
      </c>
    </row>
    <row r="33" spans="2:9" ht="18" thickTop="1">
      <c r="B33" s="1941"/>
      <c r="C33" s="1942" t="s">
        <v>1465</v>
      </c>
      <c r="D33" s="1931"/>
      <c r="E33" s="1931"/>
      <c r="F33" s="1932"/>
      <c r="G33" s="1931"/>
      <c r="H33" s="1931"/>
      <c r="I33" s="1933"/>
    </row>
    <row r="34" spans="2:9" ht="18.75">
      <c r="B34" s="1929">
        <v>3.1</v>
      </c>
      <c r="C34" s="1930" t="s">
        <v>1464</v>
      </c>
      <c r="D34" s="1931" t="s">
        <v>3539</v>
      </c>
      <c r="E34" s="1931">
        <v>20</v>
      </c>
      <c r="F34" s="1932">
        <v>1250</v>
      </c>
      <c r="G34" s="1931">
        <f t="shared" si="0"/>
        <v>25000</v>
      </c>
      <c r="H34" s="1931">
        <f>'Gen. Sub TOS'!H76</f>
        <v>4.6760000000000002</v>
      </c>
      <c r="I34" s="1933">
        <f t="shared" si="1"/>
        <v>5845</v>
      </c>
    </row>
    <row r="35" spans="2:9" ht="18.75">
      <c r="B35" s="1945">
        <v>3.2</v>
      </c>
      <c r="C35" s="1946" t="s">
        <v>1567</v>
      </c>
      <c r="D35" s="1947" t="s">
        <v>3539</v>
      </c>
      <c r="E35" s="1947">
        <v>6</v>
      </c>
      <c r="F35" s="1948">
        <v>1450</v>
      </c>
      <c r="G35" s="1947">
        <f t="shared" si="0"/>
        <v>8700</v>
      </c>
      <c r="H35" s="1947">
        <f>'Gen. Sub TOS'!H87</f>
        <v>2.3380000000000001</v>
      </c>
      <c r="I35" s="1949">
        <f t="shared" si="1"/>
        <v>3390.1</v>
      </c>
    </row>
    <row r="36" spans="2:9" ht="18" thickBot="1">
      <c r="B36" s="2291" t="s">
        <v>1330</v>
      </c>
      <c r="C36" s="2292"/>
      <c r="D36" s="2293"/>
      <c r="E36" s="1938"/>
      <c r="F36" s="1939"/>
      <c r="G36" s="1938">
        <f>SUM(G34:G35)</f>
        <v>33700</v>
      </c>
      <c r="H36" s="1938"/>
      <c r="I36" s="1940">
        <f>SUM(I34:I35)</f>
        <v>9235.1</v>
      </c>
    </row>
    <row r="37" spans="2:9" ht="19.5" thickTop="1">
      <c r="B37" s="1950"/>
      <c r="C37" s="1951" t="s">
        <v>1462</v>
      </c>
      <c r="D37" s="1952"/>
      <c r="E37" s="1952"/>
      <c r="F37" s="1953"/>
      <c r="G37" s="1952"/>
      <c r="H37" s="1952"/>
      <c r="I37" s="1954"/>
    </row>
    <row r="38" spans="2:9">
      <c r="B38" s="1941"/>
      <c r="C38" s="1942" t="s">
        <v>1461</v>
      </c>
      <c r="D38" s="1931"/>
      <c r="E38" s="1931"/>
      <c r="F38" s="1932"/>
      <c r="G38" s="1931"/>
      <c r="H38" s="1931"/>
      <c r="I38" s="1933"/>
    </row>
    <row r="39" spans="2:9">
      <c r="B39" s="1941"/>
      <c r="C39" s="1930" t="s">
        <v>1460</v>
      </c>
      <c r="D39" s="1931"/>
      <c r="E39" s="1931"/>
      <c r="F39" s="1932"/>
      <c r="G39" s="1931"/>
      <c r="H39" s="1931"/>
      <c r="I39" s="1933"/>
    </row>
    <row r="40" spans="2:9" ht="18.75">
      <c r="B40" s="1929">
        <v>1.1000000000000001</v>
      </c>
      <c r="C40" s="1930" t="s">
        <v>1459</v>
      </c>
      <c r="D40" s="1931" t="s">
        <v>3539</v>
      </c>
      <c r="E40" s="1931">
        <v>2.2000000000000002</v>
      </c>
      <c r="F40" s="1932">
        <v>3200</v>
      </c>
      <c r="G40" s="1931">
        <f t="shared" si="0"/>
        <v>7040.0000000000009</v>
      </c>
      <c r="H40" s="1931">
        <f>'Genera Super TOS'!D12</f>
        <v>0.43680000000000008</v>
      </c>
      <c r="I40" s="1933">
        <f t="shared" si="1"/>
        <v>1397.7600000000002</v>
      </c>
    </row>
    <row r="41" spans="2:9" ht="18.75">
      <c r="B41" s="1929">
        <v>1.2</v>
      </c>
      <c r="C41" s="1930" t="s">
        <v>1531</v>
      </c>
      <c r="D41" s="1931" t="s">
        <v>3539</v>
      </c>
      <c r="E41" s="1931">
        <v>2</v>
      </c>
      <c r="F41" s="1932">
        <v>3200</v>
      </c>
      <c r="G41" s="1931">
        <f t="shared" si="0"/>
        <v>6400</v>
      </c>
      <c r="H41" s="1931">
        <f>'Genera Super TOS'!D23</f>
        <v>1.0740000000000001</v>
      </c>
      <c r="I41" s="1933">
        <f t="shared" si="1"/>
        <v>3436.8</v>
      </c>
    </row>
    <row r="42" spans="2:9">
      <c r="B42" s="1929"/>
      <c r="C42" s="1930" t="s">
        <v>1568</v>
      </c>
      <c r="D42" s="1931"/>
      <c r="E42" s="1931"/>
      <c r="F42" s="1932"/>
      <c r="G42" s="1931"/>
      <c r="H42" s="1931"/>
      <c r="I42" s="1933"/>
    </row>
    <row r="43" spans="2:9" ht="18.75">
      <c r="B43" s="1929">
        <v>1.3</v>
      </c>
      <c r="C43" s="1930" t="s">
        <v>1456</v>
      </c>
      <c r="D43" s="1931" t="s">
        <v>3538</v>
      </c>
      <c r="E43" s="1931">
        <v>24</v>
      </c>
      <c r="F43" s="1932">
        <v>130</v>
      </c>
      <c r="G43" s="1931">
        <f t="shared" si="0"/>
        <v>3120</v>
      </c>
      <c r="H43" s="1931">
        <f>'Genera Super TOS'!D28</f>
        <v>8.7360000000000007</v>
      </c>
      <c r="I43" s="1933">
        <f t="shared" si="1"/>
        <v>1135.68</v>
      </c>
    </row>
    <row r="44" spans="2:9" ht="18.75">
      <c r="B44" s="1929">
        <v>1.4</v>
      </c>
      <c r="C44" s="1930" t="s">
        <v>1455</v>
      </c>
      <c r="D44" s="1931" t="s">
        <v>3538</v>
      </c>
      <c r="E44" s="1931">
        <v>24</v>
      </c>
      <c r="F44" s="1932">
        <v>130</v>
      </c>
      <c r="G44" s="1931">
        <f t="shared" si="0"/>
        <v>3120</v>
      </c>
      <c r="H44" s="1931">
        <f>'Genera Super TOS'!D40</f>
        <v>14.16</v>
      </c>
      <c r="I44" s="1933">
        <f t="shared" si="1"/>
        <v>1840.8</v>
      </c>
    </row>
    <row r="45" spans="2:9">
      <c r="B45" s="1929"/>
      <c r="C45" s="1930" t="s">
        <v>1454</v>
      </c>
      <c r="D45" s="1931"/>
      <c r="E45" s="1931"/>
      <c r="F45" s="1932"/>
      <c r="G45" s="1931">
        <f t="shared" si="0"/>
        <v>0</v>
      </c>
      <c r="H45" s="1931"/>
      <c r="I45" s="1933">
        <f t="shared" si="1"/>
        <v>0</v>
      </c>
    </row>
    <row r="46" spans="2:9">
      <c r="B46" s="1929">
        <v>1.5</v>
      </c>
      <c r="C46" s="1930" t="s">
        <v>1452</v>
      </c>
      <c r="D46" s="1931" t="s">
        <v>1450</v>
      </c>
      <c r="E46" s="1931">
        <v>534</v>
      </c>
      <c r="F46" s="1932">
        <v>36</v>
      </c>
      <c r="G46" s="1931">
        <f t="shared" si="0"/>
        <v>19224</v>
      </c>
      <c r="H46" s="1931">
        <f>'Genera Super TOS'!D43</f>
        <v>183.38976000000002</v>
      </c>
      <c r="I46" s="1933">
        <f t="shared" si="1"/>
        <v>6602.0313600000009</v>
      </c>
    </row>
    <row r="47" spans="2:9">
      <c r="B47" s="1929">
        <v>1.6</v>
      </c>
      <c r="C47" s="1930" t="s">
        <v>1532</v>
      </c>
      <c r="D47" s="1931" t="s">
        <v>1450</v>
      </c>
      <c r="E47" s="1931">
        <v>150</v>
      </c>
      <c r="F47" s="1932">
        <v>36</v>
      </c>
      <c r="G47" s="1931">
        <f t="shared" si="0"/>
        <v>5400</v>
      </c>
      <c r="H47" s="1931">
        <f>'Genera Super TOS'!D46</f>
        <v>58.539000000000001</v>
      </c>
      <c r="I47" s="1933">
        <f t="shared" si="1"/>
        <v>2107.404</v>
      </c>
    </row>
    <row r="48" spans="2:9" ht="18" thickBot="1">
      <c r="B48" s="2291" t="s">
        <v>1330</v>
      </c>
      <c r="C48" s="2292"/>
      <c r="D48" s="2293"/>
      <c r="E48" s="1938"/>
      <c r="F48" s="1939"/>
      <c r="G48" s="1938">
        <f>SUM(G40:G47)</f>
        <v>44304</v>
      </c>
      <c r="H48" s="1938"/>
      <c r="I48" s="1940">
        <f>SUM(I40:I47)</f>
        <v>16520.47536</v>
      </c>
    </row>
    <row r="49" spans="2:9" ht="18" thickTop="1">
      <c r="B49" s="1941"/>
      <c r="C49" s="1955" t="s">
        <v>1449</v>
      </c>
      <c r="D49" s="1931"/>
      <c r="E49" s="1931"/>
      <c r="F49" s="1932"/>
      <c r="G49" s="1931"/>
      <c r="H49" s="1931"/>
      <c r="I49" s="1933"/>
    </row>
    <row r="50" spans="2:9" ht="18.75">
      <c r="B50" s="1929">
        <v>2.1</v>
      </c>
      <c r="C50" s="1930" t="s">
        <v>1447</v>
      </c>
      <c r="D50" s="1931" t="s">
        <v>3538</v>
      </c>
      <c r="E50" s="1931">
        <v>163</v>
      </c>
      <c r="F50" s="1932">
        <v>350</v>
      </c>
      <c r="G50" s="1931">
        <f t="shared" si="0"/>
        <v>57050</v>
      </c>
      <c r="H50" s="1931">
        <f>'Genera Super TOS'!H13</f>
        <v>46.36</v>
      </c>
      <c r="I50" s="1933">
        <f t="shared" si="1"/>
        <v>16226</v>
      </c>
    </row>
    <row r="51" spans="2:9" ht="18" thickBot="1">
      <c r="B51" s="2291" t="s">
        <v>1330</v>
      </c>
      <c r="C51" s="2292"/>
      <c r="D51" s="2293"/>
      <c r="E51" s="1938"/>
      <c r="F51" s="1939"/>
      <c r="G51" s="1938">
        <f>SUM(G50)</f>
        <v>57050</v>
      </c>
      <c r="H51" s="1938"/>
      <c r="I51" s="1940">
        <f>SUM(I50)</f>
        <v>16226</v>
      </c>
    </row>
    <row r="52" spans="2:9" ht="18" thickTop="1">
      <c r="B52" s="1941"/>
      <c r="C52" s="1942" t="s">
        <v>1443</v>
      </c>
      <c r="D52" s="1931"/>
      <c r="E52" s="1931"/>
      <c r="F52" s="1932"/>
      <c r="G52" s="1931"/>
      <c r="H52" s="1931"/>
      <c r="I52" s="1933"/>
    </row>
    <row r="53" spans="2:9" ht="18.75">
      <c r="B53" s="1929">
        <v>3.1</v>
      </c>
      <c r="C53" s="1930" t="s">
        <v>1533</v>
      </c>
      <c r="D53" s="1931" t="s">
        <v>3538</v>
      </c>
      <c r="E53" s="1931">
        <v>114</v>
      </c>
      <c r="F53" s="1932">
        <v>360</v>
      </c>
      <c r="G53" s="1931">
        <f t="shared" si="0"/>
        <v>41040</v>
      </c>
      <c r="H53" s="1931">
        <f>'Genera Super TOS'!H19</f>
        <v>33.99</v>
      </c>
      <c r="I53" s="1933">
        <f t="shared" si="1"/>
        <v>12236.400000000001</v>
      </c>
    </row>
    <row r="54" spans="2:9" ht="18.75">
      <c r="B54" s="1934">
        <v>3.2</v>
      </c>
      <c r="C54" s="1956" t="s">
        <v>1569</v>
      </c>
      <c r="D54" s="1943" t="s">
        <v>3538</v>
      </c>
      <c r="E54" s="1931">
        <v>42</v>
      </c>
      <c r="F54" s="1932">
        <v>160</v>
      </c>
      <c r="G54" s="1931">
        <f t="shared" si="0"/>
        <v>6720</v>
      </c>
      <c r="H54" s="1931">
        <f>'Genera Super TOS'!H29</f>
        <v>25.488</v>
      </c>
      <c r="I54" s="1933">
        <f t="shared" si="1"/>
        <v>4078.08</v>
      </c>
    </row>
    <row r="55" spans="2:9">
      <c r="B55" s="1934">
        <v>3.3</v>
      </c>
      <c r="C55" s="1957" t="s">
        <v>1626</v>
      </c>
      <c r="D55" s="1943" t="s">
        <v>1406</v>
      </c>
      <c r="E55" s="1931">
        <v>40</v>
      </c>
      <c r="F55" s="1932">
        <v>110</v>
      </c>
      <c r="G55" s="1931">
        <f t="shared" si="0"/>
        <v>4400</v>
      </c>
      <c r="H55" s="1931">
        <f>'Genera Super TOS'!H37</f>
        <v>12.8</v>
      </c>
      <c r="I55" s="1933">
        <f t="shared" si="1"/>
        <v>1408</v>
      </c>
    </row>
    <row r="56" spans="2:9">
      <c r="B56" s="1929">
        <v>3.4</v>
      </c>
      <c r="C56" s="1930" t="s">
        <v>1536</v>
      </c>
      <c r="D56" s="1931" t="s">
        <v>1406</v>
      </c>
      <c r="E56" s="1931">
        <v>22</v>
      </c>
      <c r="F56" s="1932">
        <v>120</v>
      </c>
      <c r="G56" s="1931">
        <f t="shared" si="0"/>
        <v>2640</v>
      </c>
      <c r="H56" s="1931">
        <f>'Genera Super TOS'!H33</f>
        <v>29.68</v>
      </c>
      <c r="I56" s="1933">
        <f t="shared" si="1"/>
        <v>3561.6</v>
      </c>
    </row>
    <row r="57" spans="2:9" ht="18" thickBot="1">
      <c r="B57" s="1936"/>
      <c r="C57" s="1937" t="s">
        <v>1330</v>
      </c>
      <c r="D57" s="1938"/>
      <c r="E57" s="1938"/>
      <c r="F57" s="1939"/>
      <c r="G57" s="1938">
        <f>SUM(G40:G56)</f>
        <v>257508</v>
      </c>
      <c r="H57" s="1938"/>
      <c r="I57" s="1940">
        <f>SUM(I52:I56)</f>
        <v>21284.080000000002</v>
      </c>
    </row>
    <row r="58" spans="2:9" ht="18" thickTop="1">
      <c r="B58" s="1950"/>
      <c r="C58" s="1958" t="s">
        <v>1438</v>
      </c>
      <c r="D58" s="1952"/>
      <c r="E58" s="1952"/>
      <c r="F58" s="1953"/>
      <c r="G58" s="1952"/>
      <c r="H58" s="1952"/>
      <c r="I58" s="1954"/>
    </row>
    <row r="59" spans="2:9">
      <c r="B59" s="1929">
        <v>4.0999999999999996</v>
      </c>
      <c r="C59" s="1930" t="s">
        <v>1501</v>
      </c>
      <c r="D59" s="1931" t="s">
        <v>1406</v>
      </c>
      <c r="E59" s="1931">
        <v>180</v>
      </c>
      <c r="F59" s="1932">
        <v>23</v>
      </c>
      <c r="G59" s="1931">
        <f t="shared" si="0"/>
        <v>4140</v>
      </c>
      <c r="H59" s="1931">
        <f>'Genera Super TOS'!H42</f>
        <v>62.94</v>
      </c>
      <c r="I59" s="1933">
        <f t="shared" si="1"/>
        <v>1447.62</v>
      </c>
    </row>
    <row r="60" spans="2:9">
      <c r="B60" s="1929">
        <v>4.2</v>
      </c>
      <c r="C60" s="1959" t="s">
        <v>1570</v>
      </c>
      <c r="D60" s="1931" t="s">
        <v>1406</v>
      </c>
      <c r="E60" s="1931">
        <v>100</v>
      </c>
      <c r="F60" s="1932">
        <v>16</v>
      </c>
      <c r="G60" s="1931">
        <f t="shared" si="0"/>
        <v>1600</v>
      </c>
      <c r="H60" s="1931">
        <f>'Genera Super TOS'!H46</f>
        <v>37.5</v>
      </c>
      <c r="I60" s="1933">
        <f t="shared" si="1"/>
        <v>600</v>
      </c>
    </row>
    <row r="61" spans="2:9">
      <c r="B61" s="1929">
        <v>4.3</v>
      </c>
      <c r="C61" s="1930" t="s">
        <v>1435</v>
      </c>
      <c r="D61" s="1931" t="s">
        <v>1406</v>
      </c>
      <c r="E61" s="1931">
        <v>160</v>
      </c>
      <c r="F61" s="1932">
        <v>33</v>
      </c>
      <c r="G61" s="1931">
        <f t="shared" si="0"/>
        <v>5280</v>
      </c>
      <c r="H61" s="1931">
        <f>'Genera Super TOS'!H51</f>
        <v>52.8</v>
      </c>
      <c r="I61" s="1933">
        <f t="shared" si="1"/>
        <v>1742.3999999999999</v>
      </c>
    </row>
    <row r="62" spans="2:9">
      <c r="B62" s="1929">
        <v>4.4000000000000004</v>
      </c>
      <c r="C62" s="1930" t="s">
        <v>1434</v>
      </c>
      <c r="D62" s="1931" t="s">
        <v>1406</v>
      </c>
      <c r="E62" s="1931">
        <v>66</v>
      </c>
      <c r="F62" s="1932">
        <v>71</v>
      </c>
      <c r="G62" s="1931">
        <f t="shared" si="0"/>
        <v>4686</v>
      </c>
      <c r="H62" s="1931">
        <f>'Genera Super TOS'!H60</f>
        <v>36.08</v>
      </c>
      <c r="I62" s="1933">
        <f t="shared" si="1"/>
        <v>2561.6799999999998</v>
      </c>
    </row>
    <row r="63" spans="2:9" ht="18" thickBot="1">
      <c r="B63" s="1936"/>
      <c r="C63" s="1937" t="s">
        <v>1330</v>
      </c>
      <c r="D63" s="1938"/>
      <c r="E63" s="1938"/>
      <c r="F63" s="1939"/>
      <c r="G63" s="1938">
        <f>SUM(G59:G62)</f>
        <v>15706</v>
      </c>
      <c r="H63" s="1938"/>
      <c r="I63" s="1940">
        <f>SUM(I59:I62)</f>
        <v>6351.6999999999989</v>
      </c>
    </row>
    <row r="64" spans="2:9" ht="18" thickTop="1">
      <c r="B64" s="1941"/>
      <c r="C64" s="1942" t="s">
        <v>1428</v>
      </c>
      <c r="D64" s="1931"/>
      <c r="E64" s="1931"/>
      <c r="F64" s="1932"/>
      <c r="G64" s="1931"/>
      <c r="H64" s="1931"/>
      <c r="I64" s="1933"/>
    </row>
    <row r="65" spans="2:9">
      <c r="B65" s="1941"/>
      <c r="C65" s="1942" t="s">
        <v>1427</v>
      </c>
      <c r="D65" s="1931"/>
      <c r="E65" s="1931"/>
      <c r="F65" s="1932"/>
      <c r="G65" s="1931"/>
      <c r="H65" s="1931"/>
      <c r="I65" s="1933"/>
    </row>
    <row r="66" spans="2:9">
      <c r="B66" s="1941">
        <v>5.0999999999999996</v>
      </c>
      <c r="C66" s="1942" t="s">
        <v>1627</v>
      </c>
      <c r="D66" s="1931" t="s">
        <v>1416</v>
      </c>
      <c r="E66" s="1931">
        <v>2</v>
      </c>
      <c r="F66" s="1932">
        <v>6200</v>
      </c>
      <c r="G66" s="1931">
        <f t="shared" si="0"/>
        <v>12400</v>
      </c>
      <c r="H66" s="1931"/>
      <c r="I66" s="1933">
        <f t="shared" si="1"/>
        <v>0</v>
      </c>
    </row>
    <row r="67" spans="2:9">
      <c r="B67" s="1941"/>
      <c r="C67" s="1942" t="s">
        <v>1433</v>
      </c>
      <c r="D67" s="1931"/>
      <c r="E67" s="1931"/>
      <c r="F67" s="1932"/>
      <c r="G67" s="1931"/>
      <c r="H67" s="1931"/>
      <c r="I67" s="1933"/>
    </row>
    <row r="68" spans="2:9">
      <c r="B68" s="1941">
        <v>5.4</v>
      </c>
      <c r="C68" s="1942" t="s">
        <v>1628</v>
      </c>
      <c r="D68" s="1931" t="s">
        <v>1416</v>
      </c>
      <c r="E68" s="1931">
        <v>1</v>
      </c>
      <c r="F68" s="1932">
        <v>1</v>
      </c>
      <c r="G68" s="1931">
        <f t="shared" si="0"/>
        <v>1</v>
      </c>
      <c r="H68" s="1931"/>
      <c r="I68" s="1933">
        <f t="shared" si="1"/>
        <v>0</v>
      </c>
    </row>
    <row r="69" spans="2:9" ht="18" thickBot="1">
      <c r="B69" s="1936"/>
      <c r="C69" s="1937" t="s">
        <v>1330</v>
      </c>
      <c r="D69" s="1938"/>
      <c r="E69" s="1938"/>
      <c r="F69" s="1939"/>
      <c r="G69" s="1938">
        <f>SUM(G66:G68)</f>
        <v>12401</v>
      </c>
      <c r="H69" s="1938"/>
      <c r="I69" s="1940"/>
    </row>
    <row r="70" spans="2:9" ht="18" thickTop="1">
      <c r="B70" s="1941"/>
      <c r="C70" s="1942" t="s">
        <v>1415</v>
      </c>
      <c r="D70" s="1931"/>
      <c r="E70" s="1931"/>
      <c r="F70" s="1932"/>
      <c r="G70" s="1931"/>
      <c r="H70" s="1931"/>
      <c r="I70" s="1933"/>
    </row>
    <row r="71" spans="2:9" ht="18.75">
      <c r="B71" s="1934">
        <v>6.1</v>
      </c>
      <c r="C71" s="1935" t="s">
        <v>1414</v>
      </c>
      <c r="D71" s="1943" t="s">
        <v>3538</v>
      </c>
      <c r="E71" s="1931">
        <v>147</v>
      </c>
      <c r="F71" s="1932">
        <v>140</v>
      </c>
      <c r="G71" s="1931">
        <f t="shared" si="0"/>
        <v>20580</v>
      </c>
      <c r="H71" s="1931">
        <f>'Genera Super TOS'!D85</f>
        <v>34.459499999999998</v>
      </c>
      <c r="I71" s="1933">
        <f t="shared" si="1"/>
        <v>4824.33</v>
      </c>
    </row>
    <row r="72" spans="2:9" ht="18.75">
      <c r="B72" s="1934">
        <v>6.2</v>
      </c>
      <c r="C72" s="1960" t="s">
        <v>1539</v>
      </c>
      <c r="D72" s="1943" t="s">
        <v>3538</v>
      </c>
      <c r="E72" s="1931">
        <v>154</v>
      </c>
      <c r="F72" s="1932">
        <v>150</v>
      </c>
      <c r="G72" s="1931">
        <f t="shared" ref="G72:G84" si="2">E72*F72</f>
        <v>23100</v>
      </c>
      <c r="H72" s="1931">
        <f>'Genera Super TOS'!H64</f>
        <v>46.983000000000004</v>
      </c>
      <c r="I72" s="1933">
        <f t="shared" ref="I72:I84" si="3">F72*H72</f>
        <v>7047.4500000000007</v>
      </c>
    </row>
    <row r="73" spans="2:9" ht="18.75">
      <c r="B73" s="1934">
        <v>6.4</v>
      </c>
      <c r="C73" s="1935" t="s">
        <v>1412</v>
      </c>
      <c r="D73" s="1943" t="s">
        <v>3538</v>
      </c>
      <c r="E73" s="1931">
        <v>0</v>
      </c>
      <c r="F73" s="1932">
        <v>360</v>
      </c>
      <c r="G73" s="1931">
        <v>360</v>
      </c>
      <c r="H73" s="1931"/>
      <c r="I73" s="1933">
        <f t="shared" si="3"/>
        <v>0</v>
      </c>
    </row>
    <row r="74" spans="2:9" ht="18.75">
      <c r="B74" s="1944">
        <v>6.1</v>
      </c>
      <c r="C74" s="1961" t="s">
        <v>1629</v>
      </c>
      <c r="D74" s="1943" t="s">
        <v>3538</v>
      </c>
      <c r="E74" s="1931">
        <v>88</v>
      </c>
      <c r="F74" s="1932">
        <v>180</v>
      </c>
      <c r="G74" s="1931">
        <f t="shared" si="2"/>
        <v>15840</v>
      </c>
      <c r="H74" s="1931"/>
      <c r="I74" s="1933">
        <f t="shared" si="3"/>
        <v>0</v>
      </c>
    </row>
    <row r="75" spans="2:9">
      <c r="B75" s="1941">
        <v>6.11</v>
      </c>
      <c r="C75" s="1959" t="s">
        <v>1630</v>
      </c>
      <c r="D75" s="1931" t="s">
        <v>1406</v>
      </c>
      <c r="E75" s="1931">
        <v>45</v>
      </c>
      <c r="F75" s="1932">
        <v>200</v>
      </c>
      <c r="G75" s="1931">
        <f t="shared" si="2"/>
        <v>9000</v>
      </c>
      <c r="H75" s="1931"/>
      <c r="I75" s="1933">
        <f t="shared" si="3"/>
        <v>0</v>
      </c>
    </row>
    <row r="76" spans="2:9">
      <c r="B76" s="1944"/>
      <c r="C76" s="1961" t="s">
        <v>1631</v>
      </c>
      <c r="D76" s="1931" t="s">
        <v>1406</v>
      </c>
      <c r="E76" s="1931">
        <v>4</v>
      </c>
      <c r="F76" s="1932">
        <v>260</v>
      </c>
      <c r="G76" s="1931">
        <f t="shared" si="2"/>
        <v>1040</v>
      </c>
      <c r="H76" s="1931"/>
      <c r="I76" s="1933">
        <f t="shared" si="3"/>
        <v>0</v>
      </c>
    </row>
    <row r="77" spans="2:9" ht="18.75">
      <c r="B77" s="1944">
        <v>6.21</v>
      </c>
      <c r="C77" s="1961" t="s">
        <v>1511</v>
      </c>
      <c r="D77" s="1931" t="s">
        <v>3538</v>
      </c>
      <c r="E77" s="1931">
        <v>46</v>
      </c>
      <c r="F77" s="1932">
        <v>530</v>
      </c>
      <c r="G77" s="1931">
        <f t="shared" si="2"/>
        <v>24380</v>
      </c>
      <c r="H77" s="1931">
        <f>'Genera Super TOS'!H83</f>
        <v>21.84</v>
      </c>
      <c r="I77" s="1933">
        <f t="shared" si="3"/>
        <v>11575.2</v>
      </c>
    </row>
    <row r="78" spans="2:9">
      <c r="B78" s="1944">
        <v>6.1</v>
      </c>
      <c r="C78" s="1961" t="s">
        <v>1618</v>
      </c>
      <c r="D78" s="1931" t="s">
        <v>1402</v>
      </c>
      <c r="E78" s="1931">
        <v>77</v>
      </c>
      <c r="F78" s="1932">
        <v>100</v>
      </c>
      <c r="G78" s="1931">
        <f t="shared" si="2"/>
        <v>7700</v>
      </c>
      <c r="H78" s="1931">
        <f>'Genera Super TOS'!H102</f>
        <v>31.4</v>
      </c>
      <c r="I78" s="1933">
        <f t="shared" si="3"/>
        <v>3140</v>
      </c>
    </row>
    <row r="79" spans="2:9">
      <c r="B79" s="1944"/>
      <c r="C79" s="1961" t="s">
        <v>1403</v>
      </c>
      <c r="D79" s="1931" t="s">
        <v>1402</v>
      </c>
      <c r="E79" s="1931">
        <v>77</v>
      </c>
      <c r="F79" s="1932">
        <v>265</v>
      </c>
      <c r="G79" s="1931">
        <f t="shared" si="2"/>
        <v>20405</v>
      </c>
      <c r="H79" s="1931"/>
      <c r="I79" s="1933">
        <f t="shared" si="3"/>
        <v>0</v>
      </c>
    </row>
    <row r="80" spans="2:9" ht="16.5" customHeight="1" thickBot="1">
      <c r="B80" s="1936"/>
      <c r="C80" s="1937" t="s">
        <v>1330</v>
      </c>
      <c r="D80" s="1938"/>
      <c r="E80" s="1938"/>
      <c r="F80" s="1939"/>
      <c r="G80" s="1938">
        <f>SUM(G71:G77)</f>
        <v>94300</v>
      </c>
      <c r="H80" s="1938"/>
      <c r="I80" s="1940">
        <f>SUM(I71:I79)</f>
        <v>26586.980000000003</v>
      </c>
    </row>
    <row r="81" spans="2:9" ht="16.5" customHeight="1" thickTop="1">
      <c r="B81" s="1941"/>
      <c r="C81" s="1942" t="s">
        <v>1401</v>
      </c>
      <c r="D81" s="1931"/>
      <c r="E81" s="1931"/>
      <c r="F81" s="1932"/>
      <c r="G81" s="1931"/>
      <c r="H81" s="1931"/>
      <c r="I81" s="1933"/>
    </row>
    <row r="82" spans="2:9" ht="18.75">
      <c r="B82" s="1929">
        <v>7.1</v>
      </c>
      <c r="C82" s="1935" t="s">
        <v>1398</v>
      </c>
      <c r="D82" s="1931" t="s">
        <v>3538</v>
      </c>
      <c r="E82" s="1931">
        <v>147</v>
      </c>
      <c r="F82" s="1932">
        <v>28</v>
      </c>
      <c r="G82" s="1931">
        <f t="shared" si="2"/>
        <v>4116</v>
      </c>
      <c r="H82" s="1931">
        <f>'Genera Super TOS'!H106</f>
        <v>34.459499999999998</v>
      </c>
      <c r="I82" s="1933">
        <f t="shared" si="3"/>
        <v>964.86599999999999</v>
      </c>
    </row>
    <row r="83" spans="2:9" ht="18.75">
      <c r="B83" s="1934">
        <v>7.2</v>
      </c>
      <c r="C83" s="1935" t="s">
        <v>1400</v>
      </c>
      <c r="D83" s="1931" t="s">
        <v>3538</v>
      </c>
      <c r="E83" s="1931">
        <v>154</v>
      </c>
      <c r="F83" s="1932">
        <v>28</v>
      </c>
      <c r="G83" s="1931">
        <f t="shared" si="2"/>
        <v>4312</v>
      </c>
      <c r="H83" s="1931"/>
      <c r="I83" s="1933">
        <f t="shared" si="3"/>
        <v>0</v>
      </c>
    </row>
    <row r="84" spans="2:9" ht="18.75">
      <c r="B84" s="1929">
        <v>7.3</v>
      </c>
      <c r="C84" s="1935" t="s">
        <v>1399</v>
      </c>
      <c r="D84" s="1931" t="s">
        <v>3538</v>
      </c>
      <c r="E84" s="1931">
        <v>60</v>
      </c>
      <c r="F84" s="1932">
        <v>28</v>
      </c>
      <c r="G84" s="1931">
        <f t="shared" si="2"/>
        <v>1680</v>
      </c>
      <c r="H84" s="1931"/>
      <c r="I84" s="1933">
        <f t="shared" si="3"/>
        <v>0</v>
      </c>
    </row>
    <row r="85" spans="2:9" ht="18" thickBot="1">
      <c r="B85" s="1936"/>
      <c r="C85" s="1937" t="s">
        <v>1330</v>
      </c>
      <c r="D85" s="1938"/>
      <c r="E85" s="1938"/>
      <c r="F85" s="1939"/>
      <c r="G85" s="1938">
        <f>SUM(G82:G84)</f>
        <v>10108</v>
      </c>
      <c r="H85" s="1938"/>
      <c r="I85" s="1940">
        <f>SUM(I82:I84)</f>
        <v>964.86599999999999</v>
      </c>
    </row>
    <row r="86" spans="2:9" ht="18.75" thickTop="1" thickBot="1">
      <c r="B86" s="2281" t="s">
        <v>1644</v>
      </c>
      <c r="C86" s="2282"/>
      <c r="D86" s="2282"/>
      <c r="E86" s="2282"/>
      <c r="F86" s="2282"/>
      <c r="G86" s="2282"/>
      <c r="H86" s="2282"/>
      <c r="I86" s="2283"/>
    </row>
    <row r="87" spans="2:9" ht="18" thickTop="1">
      <c r="B87" s="1962"/>
      <c r="C87" s="1963" t="s">
        <v>1485</v>
      </c>
      <c r="D87" s="1964"/>
      <c r="E87" s="1964"/>
      <c r="F87" s="1964"/>
      <c r="G87" s="1964"/>
      <c r="H87" s="1964"/>
      <c r="I87" s="1965"/>
    </row>
    <row r="88" spans="2:9">
      <c r="B88" s="1941"/>
      <c r="C88" s="1942" t="s">
        <v>1484</v>
      </c>
      <c r="D88" s="1931"/>
      <c r="E88" s="1931"/>
      <c r="F88" s="1931"/>
      <c r="G88" s="1931"/>
      <c r="H88" s="1931"/>
      <c r="I88" s="1933"/>
    </row>
    <row r="89" spans="2:9" ht="18.75">
      <c r="B89" s="1929">
        <v>1.1000000000000001</v>
      </c>
      <c r="C89" s="1930" t="s">
        <v>1483</v>
      </c>
      <c r="D89" s="1931" t="s">
        <v>3538</v>
      </c>
      <c r="E89" s="1931">
        <v>68.25</v>
      </c>
      <c r="F89" s="1932">
        <v>8</v>
      </c>
      <c r="G89" s="1931">
        <f>E89*F89</f>
        <v>546</v>
      </c>
      <c r="H89" s="1931">
        <v>36.85</v>
      </c>
      <c r="I89" s="1933">
        <f>F89*H89</f>
        <v>294.8</v>
      </c>
    </row>
    <row r="90" spans="2:9" ht="18.75">
      <c r="B90" s="1934">
        <v>1.2</v>
      </c>
      <c r="C90" s="1935" t="s">
        <v>1482</v>
      </c>
      <c r="D90" s="1931" t="s">
        <v>3539</v>
      </c>
      <c r="E90" s="1931">
        <v>102.38</v>
      </c>
      <c r="F90" s="1932">
        <v>70</v>
      </c>
      <c r="G90" s="1931">
        <f t="shared" ref="G90:G158" si="4">E90*F90</f>
        <v>7166.5999999999995</v>
      </c>
      <c r="H90" s="1931">
        <v>18.72</v>
      </c>
      <c r="I90" s="1933">
        <f t="shared" ref="I90:I158" si="5">F90*H90</f>
        <v>1310.3999999999999</v>
      </c>
    </row>
    <row r="91" spans="2:9" ht="18.75">
      <c r="B91" s="1934">
        <v>1.3</v>
      </c>
      <c r="C91" s="1935" t="s">
        <v>1524</v>
      </c>
      <c r="D91" s="1931" t="s">
        <v>3539</v>
      </c>
      <c r="E91" s="1931">
        <v>34.130000000000003</v>
      </c>
      <c r="F91" s="1932">
        <v>70</v>
      </c>
      <c r="G91" s="1931">
        <f t="shared" si="4"/>
        <v>2389.1000000000004</v>
      </c>
      <c r="H91" s="1931"/>
      <c r="I91" s="1933">
        <f t="shared" si="5"/>
        <v>0</v>
      </c>
    </row>
    <row r="92" spans="2:9" ht="18.75">
      <c r="B92" s="1929">
        <v>1.4</v>
      </c>
      <c r="C92" s="1930" t="s">
        <v>1480</v>
      </c>
      <c r="D92" s="1931" t="s">
        <v>3539</v>
      </c>
      <c r="E92" s="1931">
        <v>136.5</v>
      </c>
      <c r="F92" s="1932">
        <v>150</v>
      </c>
      <c r="G92" s="1931">
        <f t="shared" si="4"/>
        <v>20475</v>
      </c>
      <c r="H92" s="1931">
        <v>13.9</v>
      </c>
      <c r="I92" s="1933">
        <f t="shared" si="5"/>
        <v>2085</v>
      </c>
    </row>
    <row r="93" spans="2:9" ht="18.75">
      <c r="B93" s="1929">
        <v>1.5</v>
      </c>
      <c r="C93" s="1930" t="s">
        <v>1479</v>
      </c>
      <c r="D93" s="1931" t="s">
        <v>3539</v>
      </c>
      <c r="E93" s="1931">
        <f>E92</f>
        <v>136.5</v>
      </c>
      <c r="F93" s="1932">
        <v>70</v>
      </c>
      <c r="G93" s="1931">
        <f t="shared" si="4"/>
        <v>9555</v>
      </c>
      <c r="H93" s="1931">
        <v>29.78</v>
      </c>
      <c r="I93" s="1933">
        <f t="shared" si="5"/>
        <v>2084.6</v>
      </c>
    </row>
    <row r="94" spans="2:9" ht="18.75">
      <c r="B94" s="1929">
        <v>1.6</v>
      </c>
      <c r="C94" s="1930" t="s">
        <v>1497</v>
      </c>
      <c r="D94" s="1931" t="s">
        <v>3538</v>
      </c>
      <c r="E94" s="1931">
        <v>26.3</v>
      </c>
      <c r="F94" s="1932">
        <v>200</v>
      </c>
      <c r="G94" s="1931">
        <f t="shared" si="4"/>
        <v>5260</v>
      </c>
      <c r="H94" s="1931">
        <v>12.6</v>
      </c>
      <c r="I94" s="1933">
        <f t="shared" si="5"/>
        <v>2520</v>
      </c>
    </row>
    <row r="95" spans="2:9" ht="18" thickBot="1">
      <c r="B95" s="1936"/>
      <c r="C95" s="1937" t="s">
        <v>1330</v>
      </c>
      <c r="D95" s="1938"/>
      <c r="E95" s="1938"/>
      <c r="F95" s="1939"/>
      <c r="G95" s="1938">
        <f>SUM(G89:G94)</f>
        <v>45391.7</v>
      </c>
      <c r="H95" s="1938"/>
      <c r="I95" s="1940">
        <f>SUM(I89:I94)</f>
        <v>8294.7999999999993</v>
      </c>
    </row>
    <row r="96" spans="2:9" ht="18" thickTop="1">
      <c r="B96" s="1941"/>
      <c r="C96" s="1942" t="s">
        <v>1477</v>
      </c>
      <c r="D96" s="1931"/>
      <c r="E96" s="1931"/>
      <c r="F96" s="1932"/>
      <c r="G96" s="1931"/>
      <c r="H96" s="1931"/>
      <c r="I96" s="1933"/>
    </row>
    <row r="97" spans="2:9" ht="18.75">
      <c r="B97" s="1929">
        <v>2.1</v>
      </c>
      <c r="C97" s="1930" t="s">
        <v>1476</v>
      </c>
      <c r="D97" s="1931" t="s">
        <v>3538</v>
      </c>
      <c r="E97" s="1931">
        <v>11</v>
      </c>
      <c r="F97" s="1932">
        <v>150</v>
      </c>
      <c r="G97" s="1931">
        <f t="shared" si="4"/>
        <v>1650</v>
      </c>
      <c r="H97" s="1931">
        <v>12.24</v>
      </c>
      <c r="I97" s="1933">
        <f t="shared" si="5"/>
        <v>1836</v>
      </c>
    </row>
    <row r="98" spans="2:9" ht="18.75">
      <c r="B98" s="1934">
        <v>2.2000000000000002</v>
      </c>
      <c r="C98" s="1935" t="s">
        <v>1645</v>
      </c>
      <c r="D98" s="1943" t="s">
        <v>3538</v>
      </c>
      <c r="E98" s="1931">
        <v>26.3</v>
      </c>
      <c r="F98" s="1932">
        <v>150</v>
      </c>
      <c r="G98" s="1931">
        <f t="shared" si="4"/>
        <v>3945</v>
      </c>
      <c r="H98" s="1931"/>
      <c r="I98" s="1933">
        <f t="shared" si="5"/>
        <v>0</v>
      </c>
    </row>
    <row r="99" spans="2:9" ht="18.75">
      <c r="B99" s="1929">
        <v>2.2999999999999998</v>
      </c>
      <c r="C99" s="1930" t="s">
        <v>1474</v>
      </c>
      <c r="D99" s="1931" t="s">
        <v>3538</v>
      </c>
      <c r="E99" s="1931">
        <v>38</v>
      </c>
      <c r="F99" s="1932">
        <v>360</v>
      </c>
      <c r="G99" s="1931">
        <f t="shared" si="4"/>
        <v>13680</v>
      </c>
      <c r="H99" s="1931">
        <v>12.6</v>
      </c>
      <c r="I99" s="1933">
        <f t="shared" si="5"/>
        <v>4536</v>
      </c>
    </row>
    <row r="100" spans="2:9" ht="18.75">
      <c r="B100" s="1929">
        <v>2.4</v>
      </c>
      <c r="C100" s="1930" t="s">
        <v>1526</v>
      </c>
      <c r="D100" s="1931" t="s">
        <v>3539</v>
      </c>
      <c r="E100" s="1931">
        <v>2.44</v>
      </c>
      <c r="F100" s="1932">
        <v>2400</v>
      </c>
      <c r="G100" s="1931">
        <f t="shared" si="4"/>
        <v>5856</v>
      </c>
      <c r="H100" s="1931">
        <v>2.5299999999999998</v>
      </c>
      <c r="I100" s="1933">
        <f t="shared" si="5"/>
        <v>6071.9999999999991</v>
      </c>
    </row>
    <row r="101" spans="2:9">
      <c r="B101" s="1929"/>
      <c r="C101" s="1930" t="s">
        <v>1625</v>
      </c>
      <c r="D101" s="1931"/>
      <c r="E101" s="1931"/>
      <c r="F101" s="1932"/>
      <c r="G101" s="1931"/>
      <c r="H101" s="1931"/>
      <c r="I101" s="1933">
        <f t="shared" si="5"/>
        <v>0</v>
      </c>
    </row>
    <row r="102" spans="2:9" ht="18.75">
      <c r="B102" s="1929">
        <v>2.6</v>
      </c>
      <c r="C102" s="1930" t="s">
        <v>1</v>
      </c>
      <c r="D102" s="1931" t="s">
        <v>3538</v>
      </c>
      <c r="E102" s="1931">
        <v>6.8</v>
      </c>
      <c r="F102" s="1932">
        <v>80</v>
      </c>
      <c r="G102" s="1931">
        <f t="shared" si="4"/>
        <v>544</v>
      </c>
      <c r="H102" s="1931">
        <v>12.32</v>
      </c>
      <c r="I102" s="1933">
        <f t="shared" si="5"/>
        <v>985.6</v>
      </c>
    </row>
    <row r="103" spans="2:9" ht="18.75">
      <c r="B103" s="1934">
        <v>2.7</v>
      </c>
      <c r="C103" s="1935" t="s">
        <v>1646</v>
      </c>
      <c r="D103" s="1943" t="s">
        <v>3538</v>
      </c>
      <c r="E103" s="1931">
        <v>22</v>
      </c>
      <c r="F103" s="1932">
        <v>150</v>
      </c>
      <c r="G103" s="1931">
        <f t="shared" si="4"/>
        <v>3300</v>
      </c>
      <c r="H103" s="1931"/>
      <c r="I103" s="1933">
        <f t="shared" si="5"/>
        <v>0</v>
      </c>
    </row>
    <row r="104" spans="2:9">
      <c r="B104" s="1929"/>
      <c r="C104" s="1930" t="s">
        <v>1454</v>
      </c>
      <c r="D104" s="1931"/>
      <c r="E104" s="1931"/>
      <c r="F104" s="1932"/>
      <c r="G104" s="1931"/>
      <c r="H104" s="1931"/>
      <c r="I104" s="1933">
        <f t="shared" si="5"/>
        <v>0</v>
      </c>
    </row>
    <row r="105" spans="2:9">
      <c r="B105" s="1934">
        <v>2.8</v>
      </c>
      <c r="C105" s="1935" t="s">
        <v>1467</v>
      </c>
      <c r="D105" s="1943" t="s">
        <v>1450</v>
      </c>
      <c r="E105" s="1931">
        <v>125</v>
      </c>
      <c r="F105" s="1932">
        <v>35</v>
      </c>
      <c r="G105" s="1931">
        <f t="shared" si="4"/>
        <v>4375</v>
      </c>
      <c r="H105" s="1931">
        <v>184.95</v>
      </c>
      <c r="I105" s="1933">
        <f t="shared" si="5"/>
        <v>6473.25</v>
      </c>
    </row>
    <row r="106" spans="2:9">
      <c r="B106" s="1929">
        <v>2.9</v>
      </c>
      <c r="C106" s="1930" t="s">
        <v>1451</v>
      </c>
      <c r="D106" s="1931" t="s">
        <v>1450</v>
      </c>
      <c r="E106" s="1931">
        <v>58</v>
      </c>
      <c r="F106" s="1932">
        <v>40</v>
      </c>
      <c r="G106" s="1931">
        <f t="shared" si="4"/>
        <v>2320</v>
      </c>
      <c r="H106" s="1931">
        <v>97.82</v>
      </c>
      <c r="I106" s="1933">
        <f t="shared" si="5"/>
        <v>3912.7999999999997</v>
      </c>
    </row>
    <row r="107" spans="2:9">
      <c r="B107" s="1941">
        <v>2.1</v>
      </c>
      <c r="C107" s="1930" t="s">
        <v>1529</v>
      </c>
      <c r="D107" s="1931" t="s">
        <v>1450</v>
      </c>
      <c r="E107" s="1931">
        <v>51</v>
      </c>
      <c r="F107" s="1932">
        <v>45</v>
      </c>
      <c r="G107" s="1931">
        <f t="shared" si="4"/>
        <v>2295</v>
      </c>
      <c r="H107" s="1931"/>
      <c r="I107" s="1933">
        <f t="shared" si="5"/>
        <v>0</v>
      </c>
    </row>
    <row r="108" spans="2:9">
      <c r="B108" s="1941">
        <v>2.11</v>
      </c>
      <c r="C108" s="1930" t="s">
        <v>1466</v>
      </c>
      <c r="D108" s="1931" t="s">
        <v>1406</v>
      </c>
      <c r="E108" s="1931">
        <v>26</v>
      </c>
      <c r="F108" s="1932">
        <v>50</v>
      </c>
      <c r="G108" s="1931">
        <f t="shared" si="4"/>
        <v>1300</v>
      </c>
      <c r="H108" s="1931">
        <v>14.4</v>
      </c>
      <c r="I108" s="1933">
        <f t="shared" si="5"/>
        <v>720</v>
      </c>
    </row>
    <row r="109" spans="2:9" ht="18" thickBot="1">
      <c r="B109" s="1936"/>
      <c r="C109" s="1937" t="s">
        <v>1330</v>
      </c>
      <c r="D109" s="1938"/>
      <c r="E109" s="1938"/>
      <c r="F109" s="1939"/>
      <c r="G109" s="1938">
        <f>SUM(G97:G108)</f>
        <v>39265</v>
      </c>
      <c r="H109" s="1938"/>
      <c r="I109" s="1940">
        <f>SUM(I97:I108)</f>
        <v>24535.649999999998</v>
      </c>
    </row>
    <row r="110" spans="2:9" ht="18" thickTop="1">
      <c r="B110" s="1941"/>
      <c r="C110" s="1942" t="s">
        <v>1465</v>
      </c>
      <c r="D110" s="1931"/>
      <c r="E110" s="1931"/>
      <c r="F110" s="1932"/>
      <c r="G110" s="1931"/>
      <c r="H110" s="1931"/>
      <c r="I110" s="1933"/>
    </row>
    <row r="111" spans="2:9" ht="18.75">
      <c r="B111" s="1929">
        <v>3.1</v>
      </c>
      <c r="C111" s="1930" t="s">
        <v>1464</v>
      </c>
      <c r="D111" s="1931" t="s">
        <v>3539</v>
      </c>
      <c r="E111" s="1931">
        <v>10.4</v>
      </c>
      <c r="F111" s="1932">
        <v>1200</v>
      </c>
      <c r="G111" s="1931">
        <f t="shared" si="4"/>
        <v>12480</v>
      </c>
      <c r="H111" s="1931">
        <v>5.18</v>
      </c>
      <c r="I111" s="1933">
        <f t="shared" si="5"/>
        <v>6216</v>
      </c>
    </row>
    <row r="112" spans="2:9" ht="18.75">
      <c r="B112" s="1929">
        <v>3.2</v>
      </c>
      <c r="C112" s="1959" t="s">
        <v>1567</v>
      </c>
      <c r="D112" s="1931" t="s">
        <v>3539</v>
      </c>
      <c r="E112" s="1931">
        <v>3.2</v>
      </c>
      <c r="F112" s="1932">
        <v>1500</v>
      </c>
      <c r="G112" s="1931">
        <f t="shared" si="4"/>
        <v>4800</v>
      </c>
      <c r="H112" s="1931">
        <v>1.78</v>
      </c>
      <c r="I112" s="1933">
        <f t="shared" si="5"/>
        <v>2670</v>
      </c>
    </row>
    <row r="113" spans="2:9" ht="18" thickBot="1">
      <c r="B113" s="1936"/>
      <c r="C113" s="1937" t="s">
        <v>1330</v>
      </c>
      <c r="D113" s="1938"/>
      <c r="E113" s="1938"/>
      <c r="F113" s="1939"/>
      <c r="G113" s="1938">
        <f>SUM(G111:G112)</f>
        <v>17280</v>
      </c>
      <c r="H113" s="1938"/>
      <c r="I113" s="1940">
        <f>SUM(I111:I112)</f>
        <v>8886</v>
      </c>
    </row>
    <row r="114" spans="2:9" ht="18" thickTop="1">
      <c r="B114" s="1941"/>
      <c r="C114" s="1942" t="s">
        <v>1462</v>
      </c>
      <c r="D114" s="1931"/>
      <c r="E114" s="1931"/>
      <c r="F114" s="1932"/>
      <c r="G114" s="1931"/>
      <c r="H114" s="1931"/>
      <c r="I114" s="1933"/>
    </row>
    <row r="115" spans="2:9">
      <c r="B115" s="1941"/>
      <c r="C115" s="1942" t="s">
        <v>1461</v>
      </c>
      <c r="D115" s="1931"/>
      <c r="E115" s="1931"/>
      <c r="F115" s="1932"/>
      <c r="G115" s="1931"/>
      <c r="H115" s="1931"/>
      <c r="I115" s="1933"/>
    </row>
    <row r="116" spans="2:9" ht="18.75">
      <c r="B116" s="1929">
        <v>1.1000000000000001</v>
      </c>
      <c r="C116" s="1930" t="s">
        <v>1459</v>
      </c>
      <c r="D116" s="1931" t="s">
        <v>3539</v>
      </c>
      <c r="E116" s="1931">
        <v>1</v>
      </c>
      <c r="F116" s="1932">
        <v>2400</v>
      </c>
      <c r="G116" s="1931">
        <f t="shared" si="4"/>
        <v>2400</v>
      </c>
      <c r="H116" s="1931">
        <f>'Trans Super TOS'!D12</f>
        <v>0.43680000000000008</v>
      </c>
      <c r="I116" s="1933">
        <f t="shared" si="5"/>
        <v>1048.3200000000002</v>
      </c>
    </row>
    <row r="117" spans="2:9" ht="18.75">
      <c r="B117" s="1929">
        <v>1.2</v>
      </c>
      <c r="C117" s="1930" t="s">
        <v>1647</v>
      </c>
      <c r="D117" s="1931" t="s">
        <v>3539</v>
      </c>
      <c r="E117" s="1931">
        <v>1.22</v>
      </c>
      <c r="F117" s="1932">
        <v>2400</v>
      </c>
      <c r="G117" s="1931">
        <f t="shared" si="4"/>
        <v>2928</v>
      </c>
      <c r="H117" s="1931">
        <f>'Trans Super TOS'!D24</f>
        <v>0.92399999999999993</v>
      </c>
      <c r="I117" s="1933">
        <f t="shared" si="5"/>
        <v>2217.6</v>
      </c>
    </row>
    <row r="118" spans="2:9" ht="18.75">
      <c r="B118" s="1929">
        <v>1.3</v>
      </c>
      <c r="C118" s="1930" t="s">
        <v>1648</v>
      </c>
      <c r="D118" s="1931" t="s">
        <v>3539</v>
      </c>
      <c r="E118" s="1931">
        <v>5.57</v>
      </c>
      <c r="F118" s="1932">
        <v>2400</v>
      </c>
      <c r="G118" s="1931">
        <f t="shared" si="4"/>
        <v>13368</v>
      </c>
      <c r="H118" s="1931"/>
      <c r="I118" s="1933">
        <f t="shared" si="5"/>
        <v>0</v>
      </c>
    </row>
    <row r="119" spans="2:9" ht="18.75">
      <c r="B119" s="1929">
        <v>1.4</v>
      </c>
      <c r="C119" s="1930" t="s">
        <v>1649</v>
      </c>
      <c r="D119" s="1931" t="s">
        <v>3539</v>
      </c>
      <c r="E119" s="1931">
        <v>0.8</v>
      </c>
      <c r="F119" s="1932">
        <v>2400</v>
      </c>
      <c r="G119" s="1931">
        <f t="shared" si="4"/>
        <v>1920</v>
      </c>
      <c r="H119" s="1931"/>
      <c r="I119" s="1933">
        <f t="shared" si="5"/>
        <v>0</v>
      </c>
    </row>
    <row r="120" spans="2:9">
      <c r="B120" s="1929"/>
      <c r="C120" s="1930" t="s">
        <v>1568</v>
      </c>
      <c r="D120" s="1931"/>
      <c r="E120" s="1931"/>
      <c r="F120" s="1932"/>
      <c r="G120" s="1931">
        <f t="shared" si="4"/>
        <v>0</v>
      </c>
      <c r="H120" s="1931"/>
      <c r="I120" s="1933">
        <f t="shared" si="5"/>
        <v>0</v>
      </c>
    </row>
    <row r="121" spans="2:9" ht="18.75">
      <c r="B121" s="1929">
        <v>1.5</v>
      </c>
      <c r="C121" s="1930" t="s">
        <v>1650</v>
      </c>
      <c r="D121" s="1931" t="s">
        <v>3538</v>
      </c>
      <c r="E121" s="1931">
        <v>57.13</v>
      </c>
      <c r="F121" s="1932">
        <v>160</v>
      </c>
      <c r="G121" s="1931">
        <f t="shared" si="4"/>
        <v>9140.8000000000011</v>
      </c>
      <c r="H121" s="1931">
        <f>'Trans Super TOS'!D30+'Trans Super TOS'!D42</f>
        <v>20.896000000000001</v>
      </c>
      <c r="I121" s="1933">
        <f t="shared" si="5"/>
        <v>3343.36</v>
      </c>
    </row>
    <row r="122" spans="2:9" ht="18.75">
      <c r="B122" s="1929">
        <v>1.6</v>
      </c>
      <c r="C122" s="1930" t="s">
        <v>1648</v>
      </c>
      <c r="D122" s="1931" t="s">
        <v>3538</v>
      </c>
      <c r="E122" s="1931">
        <v>50</v>
      </c>
      <c r="F122" s="1932">
        <v>220</v>
      </c>
      <c r="G122" s="1931">
        <f t="shared" si="4"/>
        <v>11000</v>
      </c>
      <c r="H122" s="1931"/>
      <c r="I122" s="1933">
        <f t="shared" si="5"/>
        <v>0</v>
      </c>
    </row>
    <row r="123" spans="2:9" ht="18.75">
      <c r="B123" s="1929">
        <v>1.7</v>
      </c>
      <c r="C123" s="1930" t="s">
        <v>1649</v>
      </c>
      <c r="D123" s="1931" t="s">
        <v>3538</v>
      </c>
      <c r="E123" s="1931">
        <v>3.41</v>
      </c>
      <c r="F123" s="1932">
        <v>150</v>
      </c>
      <c r="G123" s="1931">
        <f t="shared" si="4"/>
        <v>511.5</v>
      </c>
      <c r="H123" s="1931"/>
      <c r="I123" s="1933">
        <f t="shared" si="5"/>
        <v>0</v>
      </c>
    </row>
    <row r="124" spans="2:9">
      <c r="B124" s="1929"/>
      <c r="C124" s="1930" t="s">
        <v>1454</v>
      </c>
      <c r="D124" s="1931"/>
      <c r="E124" s="1931"/>
      <c r="F124" s="1932"/>
      <c r="G124" s="1931">
        <f t="shared" si="4"/>
        <v>0</v>
      </c>
      <c r="H124" s="1931"/>
      <c r="I124" s="1933">
        <f t="shared" si="5"/>
        <v>0</v>
      </c>
    </row>
    <row r="125" spans="2:9">
      <c r="B125" s="1929">
        <v>1.8</v>
      </c>
      <c r="C125" s="1930" t="s">
        <v>1452</v>
      </c>
      <c r="D125" s="1931" t="s">
        <v>1450</v>
      </c>
      <c r="E125" s="1931">
        <v>217</v>
      </c>
      <c r="F125" s="1932">
        <v>35</v>
      </c>
      <c r="G125" s="1931">
        <f t="shared" si="4"/>
        <v>7595</v>
      </c>
      <c r="H125" s="1931">
        <f>'Trans Super TOS'!D45</f>
        <v>145.17024000000001</v>
      </c>
      <c r="I125" s="1933">
        <f t="shared" si="5"/>
        <v>5080.9584000000004</v>
      </c>
    </row>
    <row r="126" spans="2:9">
      <c r="B126" s="1929">
        <v>1.9</v>
      </c>
      <c r="C126" s="1930" t="s">
        <v>1532</v>
      </c>
      <c r="D126" s="1931" t="s">
        <v>1450</v>
      </c>
      <c r="E126" s="1931">
        <v>330</v>
      </c>
      <c r="F126" s="1932">
        <v>40</v>
      </c>
      <c r="G126" s="1931">
        <f t="shared" si="4"/>
        <v>13200</v>
      </c>
      <c r="H126" s="1931">
        <f>'Trans Super TOS'!D48</f>
        <v>43.923999999999999</v>
      </c>
      <c r="I126" s="1933">
        <f t="shared" si="5"/>
        <v>1756.96</v>
      </c>
    </row>
    <row r="127" spans="2:9">
      <c r="B127" s="1941">
        <v>1.1000000000000001</v>
      </c>
      <c r="C127" s="1930" t="s">
        <v>1529</v>
      </c>
      <c r="D127" s="1931" t="s">
        <v>1450</v>
      </c>
      <c r="E127" s="1931">
        <v>217</v>
      </c>
      <c r="F127" s="1932">
        <v>45</v>
      </c>
      <c r="G127" s="1931">
        <f t="shared" si="4"/>
        <v>9765</v>
      </c>
      <c r="H127" s="1931"/>
      <c r="I127" s="1933">
        <f t="shared" si="5"/>
        <v>0</v>
      </c>
    </row>
    <row r="128" spans="2:9" ht="18" thickBot="1">
      <c r="B128" s="1936"/>
      <c r="C128" s="1937" t="s">
        <v>1330</v>
      </c>
      <c r="D128" s="1938"/>
      <c r="E128" s="1938"/>
      <c r="F128" s="1939"/>
      <c r="G128" s="1938">
        <f>SUM(G116:G127)</f>
        <v>71828.3</v>
      </c>
      <c r="H128" s="1938"/>
      <c r="I128" s="1940">
        <f>SUM(I116:I127)</f>
        <v>13447.198400000001</v>
      </c>
    </row>
    <row r="129" spans="2:9" ht="18" thickTop="1">
      <c r="B129" s="1941"/>
      <c r="C129" s="1955" t="s">
        <v>1449</v>
      </c>
      <c r="D129" s="1931"/>
      <c r="E129" s="1931"/>
      <c r="F129" s="1932"/>
      <c r="G129" s="1931"/>
      <c r="H129" s="1931"/>
      <c r="I129" s="1933"/>
    </row>
    <row r="130" spans="2:9" ht="18.75">
      <c r="B130" s="1929">
        <v>2.1</v>
      </c>
      <c r="C130" s="1930" t="s">
        <v>1447</v>
      </c>
      <c r="D130" s="1931" t="s">
        <v>3538</v>
      </c>
      <c r="E130" s="1931">
        <v>75.52</v>
      </c>
      <c r="F130" s="1932">
        <v>350</v>
      </c>
      <c r="G130" s="1931">
        <f t="shared" si="4"/>
        <v>26432</v>
      </c>
      <c r="H130" s="1931">
        <f>'Trans Super TOS'!H19</f>
        <v>48.762</v>
      </c>
      <c r="I130" s="1933">
        <f t="shared" si="5"/>
        <v>17066.7</v>
      </c>
    </row>
    <row r="131" spans="2:9" ht="18" thickBot="1">
      <c r="B131" s="1936"/>
      <c r="C131" s="1937" t="s">
        <v>1330</v>
      </c>
      <c r="D131" s="1938"/>
      <c r="E131" s="1938"/>
      <c r="F131" s="1939"/>
      <c r="G131" s="1938">
        <f>SUM(G130)</f>
        <v>26432</v>
      </c>
      <c r="H131" s="1938"/>
      <c r="I131" s="1940">
        <f>SUM(I130)</f>
        <v>17066.7</v>
      </c>
    </row>
    <row r="132" spans="2:9" ht="18" thickTop="1">
      <c r="B132" s="1941"/>
      <c r="C132" s="1942" t="s">
        <v>1443</v>
      </c>
      <c r="D132" s="1931"/>
      <c r="E132" s="1931"/>
      <c r="F132" s="1932"/>
      <c r="G132" s="1931"/>
      <c r="H132" s="1931"/>
      <c r="I132" s="1933"/>
    </row>
    <row r="133" spans="2:9" ht="18.75">
      <c r="B133" s="1929">
        <v>3.1</v>
      </c>
      <c r="C133" s="1930" t="s">
        <v>1533</v>
      </c>
      <c r="D133" s="1931" t="s">
        <v>3538</v>
      </c>
      <c r="E133" s="1931">
        <v>114</v>
      </c>
      <c r="F133" s="1932">
        <v>300</v>
      </c>
      <c r="G133" s="1931">
        <f t="shared" si="4"/>
        <v>34200</v>
      </c>
      <c r="H133" s="1931">
        <f>'Trans Super TOS'!H26</f>
        <v>19.27</v>
      </c>
      <c r="I133" s="1933">
        <f t="shared" si="5"/>
        <v>5781</v>
      </c>
    </row>
    <row r="134" spans="2:9" ht="18.75">
      <c r="B134" s="1934">
        <v>3.2</v>
      </c>
      <c r="C134" s="1956" t="s">
        <v>1569</v>
      </c>
      <c r="D134" s="1943" t="s">
        <v>3538</v>
      </c>
      <c r="E134" s="1931">
        <v>42</v>
      </c>
      <c r="F134" s="1932">
        <v>350</v>
      </c>
      <c r="G134" s="1931">
        <f t="shared" si="4"/>
        <v>14700</v>
      </c>
      <c r="H134" s="1931">
        <f>'Trans Super TOS'!H30</f>
        <v>5.64</v>
      </c>
      <c r="I134" s="1933">
        <f t="shared" si="5"/>
        <v>1974</v>
      </c>
    </row>
    <row r="135" spans="2:9">
      <c r="B135" s="1934">
        <v>3.3</v>
      </c>
      <c r="C135" s="1957" t="s">
        <v>1439</v>
      </c>
      <c r="D135" s="1943" t="s">
        <v>1406</v>
      </c>
      <c r="E135" s="1931">
        <v>40</v>
      </c>
      <c r="F135" s="1932">
        <v>250</v>
      </c>
      <c r="G135" s="1931">
        <f t="shared" si="4"/>
        <v>10000</v>
      </c>
      <c r="H135" s="1931">
        <f>'Trans Super TOS'!H34</f>
        <v>12.8</v>
      </c>
      <c r="I135" s="1933">
        <f t="shared" si="5"/>
        <v>3200</v>
      </c>
    </row>
    <row r="136" spans="2:9">
      <c r="B136" s="1929">
        <v>3.4</v>
      </c>
      <c r="C136" s="1930" t="s">
        <v>1536</v>
      </c>
      <c r="D136" s="1931" t="s">
        <v>1406</v>
      </c>
      <c r="E136" s="1931">
        <v>22</v>
      </c>
      <c r="F136" s="1932">
        <v>150</v>
      </c>
      <c r="G136" s="1931">
        <f t="shared" si="4"/>
        <v>3300</v>
      </c>
      <c r="H136" s="1931">
        <v>7</v>
      </c>
      <c r="I136" s="1933">
        <f t="shared" si="5"/>
        <v>1050</v>
      </c>
    </row>
    <row r="137" spans="2:9" ht="18" thickBot="1">
      <c r="B137" s="1936"/>
      <c r="C137" s="1937" t="s">
        <v>1330</v>
      </c>
      <c r="D137" s="1938"/>
      <c r="E137" s="1938"/>
      <c r="F137" s="1939"/>
      <c r="G137" s="1938">
        <f>SUM(G133:G135)</f>
        <v>58900</v>
      </c>
      <c r="H137" s="1938"/>
      <c r="I137" s="1940">
        <f>SUM(I133:I136)</f>
        <v>12005</v>
      </c>
    </row>
    <row r="138" spans="2:9" ht="18" thickTop="1">
      <c r="B138" s="1950"/>
      <c r="C138" s="1958" t="s">
        <v>1438</v>
      </c>
      <c r="D138" s="1952"/>
      <c r="E138" s="1952"/>
      <c r="F138" s="1953"/>
      <c r="G138" s="1952"/>
      <c r="H138" s="1952"/>
      <c r="I138" s="1954"/>
    </row>
    <row r="139" spans="2:9">
      <c r="B139" s="1929">
        <v>4.0999999999999996</v>
      </c>
      <c r="C139" s="1930" t="s">
        <v>1501</v>
      </c>
      <c r="D139" s="1931" t="s">
        <v>1406</v>
      </c>
      <c r="E139" s="1931">
        <v>180</v>
      </c>
      <c r="F139" s="1932">
        <v>23</v>
      </c>
      <c r="G139" s="1931">
        <f t="shared" ref="G139:G142" si="6">E139*F139</f>
        <v>4140</v>
      </c>
      <c r="H139" s="1931">
        <f>'Trans Super TOS'!H41</f>
        <v>60.300000000000004</v>
      </c>
      <c r="I139" s="1933">
        <f t="shared" ref="I139:I142" si="7">F139*H139</f>
        <v>1386.9</v>
      </c>
    </row>
    <row r="140" spans="2:9">
      <c r="B140" s="1929">
        <v>4.2</v>
      </c>
      <c r="C140" s="1959" t="s">
        <v>1570</v>
      </c>
      <c r="D140" s="1931" t="s">
        <v>1406</v>
      </c>
      <c r="E140" s="1931">
        <v>100</v>
      </c>
      <c r="F140" s="1932">
        <v>16</v>
      </c>
      <c r="G140" s="1931">
        <f t="shared" si="6"/>
        <v>1600</v>
      </c>
      <c r="H140" s="1931">
        <f>'Trans Super TOS'!H45</f>
        <v>37.68</v>
      </c>
      <c r="I140" s="1933">
        <f t="shared" si="7"/>
        <v>602.88</v>
      </c>
    </row>
    <row r="141" spans="2:9">
      <c r="B141" s="1929">
        <v>4.3</v>
      </c>
      <c r="C141" s="1930" t="s">
        <v>1435</v>
      </c>
      <c r="D141" s="1931" t="s">
        <v>1406</v>
      </c>
      <c r="E141" s="1931">
        <v>160</v>
      </c>
      <c r="F141" s="1932">
        <v>33</v>
      </c>
      <c r="G141" s="1931">
        <f t="shared" si="6"/>
        <v>5280</v>
      </c>
      <c r="H141" s="1931">
        <f>'Trans Super TOS'!H59</f>
        <v>6.9</v>
      </c>
      <c r="I141" s="1933">
        <f t="shared" si="7"/>
        <v>227.70000000000002</v>
      </c>
    </row>
    <row r="142" spans="2:9">
      <c r="B142" s="1929">
        <v>4.4000000000000004</v>
      </c>
      <c r="C142" s="1930" t="s">
        <v>1434</v>
      </c>
      <c r="D142" s="1931" t="s">
        <v>1406</v>
      </c>
      <c r="E142" s="1931">
        <v>66</v>
      </c>
      <c r="F142" s="1932">
        <v>71</v>
      </c>
      <c r="G142" s="1931">
        <f t="shared" si="6"/>
        <v>4686</v>
      </c>
      <c r="H142" s="1931">
        <f>'Trans Super TOS'!H59</f>
        <v>6.9</v>
      </c>
      <c r="I142" s="1933">
        <f t="shared" si="7"/>
        <v>489.90000000000003</v>
      </c>
    </row>
    <row r="143" spans="2:9" ht="18" thickBot="1">
      <c r="B143" s="1936"/>
      <c r="C143" s="1937" t="s">
        <v>1330</v>
      </c>
      <c r="D143" s="1938"/>
      <c r="E143" s="1938"/>
      <c r="F143" s="1939"/>
      <c r="G143" s="1938">
        <f>SUM(G139:G142)</f>
        <v>15706</v>
      </c>
      <c r="H143" s="1938"/>
      <c r="I143" s="1940">
        <f>SUM(I139:I142)</f>
        <v>2707.38</v>
      </c>
    </row>
    <row r="144" spans="2:9" ht="18" thickTop="1">
      <c r="B144" s="1950"/>
      <c r="C144" s="1958" t="s">
        <v>1428</v>
      </c>
      <c r="D144" s="1952"/>
      <c r="E144" s="1952"/>
      <c r="F144" s="1953"/>
      <c r="G144" s="1952"/>
      <c r="H144" s="1952"/>
      <c r="I144" s="1954"/>
    </row>
    <row r="145" spans="2:9">
      <c r="B145" s="1941"/>
      <c r="C145" s="1930" t="s">
        <v>1427</v>
      </c>
      <c r="D145" s="1931"/>
      <c r="E145" s="1931"/>
      <c r="F145" s="1932"/>
      <c r="G145" s="1931"/>
      <c r="H145" s="1931"/>
      <c r="I145" s="1933"/>
    </row>
    <row r="146" spans="2:9">
      <c r="B146" s="1929">
        <v>5.0999999999999996</v>
      </c>
      <c r="C146" s="1930" t="s">
        <v>1651</v>
      </c>
      <c r="D146" s="1931" t="s">
        <v>1416</v>
      </c>
      <c r="E146" s="1931">
        <v>6</v>
      </c>
      <c r="F146" s="1932">
        <v>650</v>
      </c>
      <c r="G146" s="1931">
        <f t="shared" si="4"/>
        <v>3900</v>
      </c>
      <c r="H146" s="1931"/>
      <c r="I146" s="1933">
        <f t="shared" si="5"/>
        <v>0</v>
      </c>
    </row>
    <row r="147" spans="2:9">
      <c r="B147" s="1929"/>
      <c r="C147" s="1930" t="s">
        <v>1433</v>
      </c>
      <c r="D147" s="1931"/>
      <c r="E147" s="1931"/>
      <c r="F147" s="1932"/>
      <c r="G147" s="1931">
        <f t="shared" si="4"/>
        <v>0</v>
      </c>
      <c r="H147" s="1931"/>
      <c r="I147" s="1933">
        <f t="shared" si="5"/>
        <v>0</v>
      </c>
    </row>
    <row r="148" spans="2:9">
      <c r="B148" s="1929">
        <v>5.2</v>
      </c>
      <c r="C148" s="1930" t="s">
        <v>1652</v>
      </c>
      <c r="D148" s="1931" t="s">
        <v>1416</v>
      </c>
      <c r="E148" s="1931">
        <v>1</v>
      </c>
      <c r="F148" s="1932">
        <v>8000</v>
      </c>
      <c r="G148" s="1931">
        <f t="shared" si="4"/>
        <v>8000</v>
      </c>
      <c r="H148" s="1931"/>
      <c r="I148" s="1933">
        <f t="shared" si="5"/>
        <v>0</v>
      </c>
    </row>
    <row r="149" spans="2:9" ht="18" thickBot="1">
      <c r="B149" s="1936"/>
      <c r="C149" s="1937" t="s">
        <v>1330</v>
      </c>
      <c r="D149" s="1938"/>
      <c r="E149" s="1938"/>
      <c r="F149" s="1939"/>
      <c r="G149" s="1938">
        <f>SUM(G146:G148)</f>
        <v>11900</v>
      </c>
      <c r="H149" s="1938"/>
      <c r="I149" s="1940"/>
    </row>
    <row r="150" spans="2:9" ht="18" thickTop="1">
      <c r="B150" s="1941"/>
      <c r="C150" s="1942" t="s">
        <v>1415</v>
      </c>
      <c r="D150" s="1931"/>
      <c r="E150" s="1931"/>
      <c r="F150" s="1932"/>
      <c r="G150" s="1931"/>
      <c r="H150" s="1931"/>
      <c r="I150" s="1933"/>
    </row>
    <row r="151" spans="2:9" ht="18.75">
      <c r="B151" s="1934">
        <v>6.1</v>
      </c>
      <c r="C151" s="1935" t="s">
        <v>1414</v>
      </c>
      <c r="D151" s="1943" t="s">
        <v>3538</v>
      </c>
      <c r="E151" s="1931">
        <v>100</v>
      </c>
      <c r="F151" s="1932">
        <v>180</v>
      </c>
      <c r="G151" s="1931">
        <f t="shared" si="4"/>
        <v>18000</v>
      </c>
      <c r="H151" s="1931"/>
      <c r="I151" s="1933">
        <f t="shared" si="5"/>
        <v>0</v>
      </c>
    </row>
    <row r="152" spans="2:9" ht="18.75">
      <c r="B152" s="1934">
        <v>6.2</v>
      </c>
      <c r="C152" s="1960" t="s">
        <v>1653</v>
      </c>
      <c r="D152" s="1943" t="s">
        <v>3538</v>
      </c>
      <c r="E152" s="1931">
        <v>147</v>
      </c>
      <c r="F152" s="1932">
        <v>220</v>
      </c>
      <c r="G152" s="1931">
        <f t="shared" si="4"/>
        <v>32340</v>
      </c>
      <c r="H152" s="1931"/>
      <c r="I152" s="1933">
        <f t="shared" si="5"/>
        <v>0</v>
      </c>
    </row>
    <row r="153" spans="2:9" ht="18.75">
      <c r="B153" s="1944">
        <v>6.3</v>
      </c>
      <c r="C153" s="1961" t="s">
        <v>1654</v>
      </c>
      <c r="D153" s="1943" t="s">
        <v>3538</v>
      </c>
      <c r="E153" s="1931">
        <v>32</v>
      </c>
      <c r="F153" s="1932">
        <v>180</v>
      </c>
      <c r="G153" s="1931">
        <f t="shared" si="4"/>
        <v>5760</v>
      </c>
      <c r="H153" s="1931"/>
      <c r="I153" s="1933">
        <f t="shared" si="5"/>
        <v>0</v>
      </c>
    </row>
    <row r="154" spans="2:9">
      <c r="B154" s="1941">
        <v>6.4</v>
      </c>
      <c r="C154" s="1959" t="s">
        <v>1630</v>
      </c>
      <c r="D154" s="1931" t="s">
        <v>1406</v>
      </c>
      <c r="E154" s="1931">
        <v>24</v>
      </c>
      <c r="F154" s="1932">
        <v>150</v>
      </c>
      <c r="G154" s="1931">
        <f t="shared" si="4"/>
        <v>3600</v>
      </c>
      <c r="H154" s="1931"/>
      <c r="I154" s="1933">
        <f t="shared" si="5"/>
        <v>0</v>
      </c>
    </row>
    <row r="155" spans="2:9">
      <c r="B155" s="1944">
        <v>6.5</v>
      </c>
      <c r="C155" s="1961" t="s">
        <v>1655</v>
      </c>
      <c r="D155" s="1931" t="s">
        <v>1402</v>
      </c>
      <c r="E155" s="1931">
        <v>12</v>
      </c>
      <c r="F155" s="1932">
        <v>200</v>
      </c>
      <c r="G155" s="1931">
        <f t="shared" si="4"/>
        <v>2400</v>
      </c>
      <c r="H155" s="1931"/>
      <c r="I155" s="1933">
        <f t="shared" si="5"/>
        <v>0</v>
      </c>
    </row>
    <row r="156" spans="2:9" ht="18" thickBot="1">
      <c r="B156" s="1936"/>
      <c r="C156" s="1937" t="s">
        <v>1330</v>
      </c>
      <c r="D156" s="1938"/>
      <c r="E156" s="1938"/>
      <c r="F156" s="1939"/>
      <c r="G156" s="1938">
        <f>SUM(G151:G155)</f>
        <v>62100</v>
      </c>
      <c r="H156" s="1938"/>
      <c r="I156" s="1940">
        <f>SUM(I151:I155)</f>
        <v>0</v>
      </c>
    </row>
    <row r="157" spans="2:9" ht="18" thickTop="1">
      <c r="B157" s="1941"/>
      <c r="C157" s="1942" t="s">
        <v>1401</v>
      </c>
      <c r="D157" s="1931"/>
      <c r="E157" s="1931"/>
      <c r="F157" s="1932"/>
      <c r="G157" s="1931"/>
      <c r="H157" s="1931"/>
      <c r="I157" s="1933"/>
    </row>
    <row r="158" spans="2:9" ht="18.75">
      <c r="B158" s="1929">
        <v>7.1</v>
      </c>
      <c r="C158" s="1935" t="s">
        <v>1398</v>
      </c>
      <c r="D158" s="1931" t="s">
        <v>3538</v>
      </c>
      <c r="E158" s="1931">
        <v>75.5</v>
      </c>
      <c r="F158" s="1932">
        <v>30</v>
      </c>
      <c r="G158" s="1931">
        <f t="shared" si="4"/>
        <v>2265</v>
      </c>
      <c r="H158" s="1931"/>
      <c r="I158" s="1933">
        <f t="shared" si="5"/>
        <v>0</v>
      </c>
    </row>
    <row r="159" spans="2:9" ht="18.75">
      <c r="B159" s="1934">
        <v>7.2</v>
      </c>
      <c r="C159" s="1935" t="s">
        <v>1400</v>
      </c>
      <c r="D159" s="1931" t="s">
        <v>3538</v>
      </c>
      <c r="E159" s="1931">
        <v>100</v>
      </c>
      <c r="F159" s="1932">
        <v>25</v>
      </c>
      <c r="G159" s="1931">
        <f t="shared" ref="G159:G173" si="8">E159*F159</f>
        <v>2500</v>
      </c>
      <c r="H159" s="1931"/>
      <c r="I159" s="1933">
        <f t="shared" ref="I159:I173" si="9">F159*H159</f>
        <v>0</v>
      </c>
    </row>
    <row r="160" spans="2:9" ht="18.75">
      <c r="B160" s="1929">
        <v>7.3</v>
      </c>
      <c r="C160" s="1966" t="s">
        <v>1656</v>
      </c>
      <c r="D160" s="1931" t="s">
        <v>3538</v>
      </c>
      <c r="E160" s="1931">
        <v>46.41</v>
      </c>
      <c r="F160" s="1932">
        <v>27</v>
      </c>
      <c r="G160" s="1931">
        <f t="shared" si="8"/>
        <v>1253.07</v>
      </c>
      <c r="H160" s="1931"/>
      <c r="I160" s="1933">
        <f t="shared" si="9"/>
        <v>0</v>
      </c>
    </row>
    <row r="161" spans="2:9" ht="18" thickBot="1">
      <c r="B161" s="1936"/>
      <c r="C161" s="1937" t="s">
        <v>1330</v>
      </c>
      <c r="D161" s="1938"/>
      <c r="E161" s="1938"/>
      <c r="F161" s="1939"/>
      <c r="G161" s="1938">
        <f>SUM(G158:G160)</f>
        <v>6018.07</v>
      </c>
      <c r="H161" s="1938"/>
      <c r="I161" s="1940">
        <f>SUM(I158:I160)</f>
        <v>0</v>
      </c>
    </row>
    <row r="162" spans="2:9" ht="18" thickTop="1">
      <c r="B162" s="1967">
        <v>8</v>
      </c>
      <c r="C162" s="1930" t="s">
        <v>1632</v>
      </c>
      <c r="D162" s="1968"/>
      <c r="E162" s="1968"/>
      <c r="F162" s="1932"/>
      <c r="G162" s="1931"/>
      <c r="H162" s="1931"/>
      <c r="I162" s="1933"/>
    </row>
    <row r="163" spans="2:9">
      <c r="B163" s="1969">
        <v>8.1</v>
      </c>
      <c r="C163" s="1930" t="s">
        <v>1634</v>
      </c>
      <c r="D163" s="1968"/>
      <c r="E163" s="1968"/>
      <c r="F163" s="1932"/>
      <c r="G163" s="1931"/>
      <c r="H163" s="1931"/>
      <c r="I163" s="1933"/>
    </row>
    <row r="164" spans="2:9" ht="18.75">
      <c r="B164" s="1969" t="s">
        <v>1657</v>
      </c>
      <c r="C164" s="1314" t="s">
        <v>1636</v>
      </c>
      <c r="D164" s="1970" t="s">
        <v>3540</v>
      </c>
      <c r="E164" s="1968">
        <v>2</v>
      </c>
      <c r="F164" s="1932">
        <v>300</v>
      </c>
      <c r="G164" s="1931">
        <f t="shared" si="8"/>
        <v>600</v>
      </c>
      <c r="H164" s="1931"/>
      <c r="I164" s="1933">
        <f t="shared" si="9"/>
        <v>0</v>
      </c>
    </row>
    <row r="165" spans="2:9">
      <c r="B165" s="1969" t="s">
        <v>1658</v>
      </c>
      <c r="C165" s="1959" t="s">
        <v>1638</v>
      </c>
      <c r="D165" s="1968"/>
      <c r="E165" s="1968"/>
      <c r="F165" s="1932"/>
      <c r="G165" s="1931">
        <f t="shared" si="8"/>
        <v>0</v>
      </c>
      <c r="H165" s="1931"/>
      <c r="I165" s="1933">
        <f t="shared" si="9"/>
        <v>0</v>
      </c>
    </row>
    <row r="166" spans="2:9" ht="18.75">
      <c r="B166" s="1969"/>
      <c r="C166" s="1930" t="s">
        <v>1639</v>
      </c>
      <c r="D166" s="1968" t="s">
        <v>3540</v>
      </c>
      <c r="E166" s="1968">
        <v>1</v>
      </c>
      <c r="F166" s="1932">
        <v>40</v>
      </c>
      <c r="G166" s="1931">
        <f t="shared" si="8"/>
        <v>40</v>
      </c>
      <c r="H166" s="1931"/>
      <c r="I166" s="1933">
        <f t="shared" si="9"/>
        <v>0</v>
      </c>
    </row>
    <row r="167" spans="2:9">
      <c r="B167" s="1969">
        <v>8.1999999999999993</v>
      </c>
      <c r="C167" s="1314" t="s">
        <v>1640</v>
      </c>
      <c r="D167" s="1968"/>
      <c r="E167" s="1968"/>
      <c r="F167" s="1932"/>
      <c r="G167" s="1931">
        <f t="shared" si="8"/>
        <v>0</v>
      </c>
      <c r="H167" s="1931"/>
      <c r="I167" s="1933">
        <f t="shared" si="9"/>
        <v>0</v>
      </c>
    </row>
    <row r="168" spans="2:9">
      <c r="B168" s="1969"/>
      <c r="C168" s="1930" t="s">
        <v>1659</v>
      </c>
      <c r="D168" s="1968"/>
      <c r="E168" s="1968"/>
      <c r="F168" s="1932"/>
      <c r="G168" s="1931">
        <f t="shared" si="8"/>
        <v>0</v>
      </c>
      <c r="H168" s="1931"/>
      <c r="I168" s="1933">
        <f t="shared" si="9"/>
        <v>0</v>
      </c>
    </row>
    <row r="169" spans="2:9" ht="18.75">
      <c r="B169" s="1969" t="s">
        <v>1635</v>
      </c>
      <c r="C169" s="1971" t="s">
        <v>1660</v>
      </c>
      <c r="D169" s="1968" t="s">
        <v>3540</v>
      </c>
      <c r="E169" s="1968">
        <v>1</v>
      </c>
      <c r="F169" s="1932">
        <v>300</v>
      </c>
      <c r="G169" s="1931">
        <f t="shared" si="8"/>
        <v>300</v>
      </c>
      <c r="H169" s="1931"/>
      <c r="I169" s="1933">
        <f t="shared" si="9"/>
        <v>0</v>
      </c>
    </row>
    <row r="170" spans="2:9" ht="18.75">
      <c r="B170" s="1969" t="s">
        <v>1637</v>
      </c>
      <c r="C170" s="1314" t="s">
        <v>1661</v>
      </c>
      <c r="D170" s="1968" t="s">
        <v>3540</v>
      </c>
      <c r="E170" s="1968">
        <v>1</v>
      </c>
      <c r="F170" s="1932">
        <v>60</v>
      </c>
      <c r="G170" s="1931">
        <f t="shared" si="8"/>
        <v>60</v>
      </c>
      <c r="H170" s="1931"/>
      <c r="I170" s="1933">
        <f t="shared" si="9"/>
        <v>0</v>
      </c>
    </row>
    <row r="171" spans="2:9">
      <c r="B171" s="1969" t="s">
        <v>1662</v>
      </c>
      <c r="C171" s="1930" t="s">
        <v>1663</v>
      </c>
      <c r="D171" s="1968"/>
      <c r="E171" s="1968"/>
      <c r="F171" s="1932"/>
      <c r="G171" s="1931">
        <f t="shared" si="8"/>
        <v>0</v>
      </c>
      <c r="H171" s="1931"/>
      <c r="I171" s="1933">
        <f t="shared" si="9"/>
        <v>0</v>
      </c>
    </row>
    <row r="172" spans="2:9">
      <c r="B172" s="1967"/>
      <c r="C172" s="1972" t="s">
        <v>1664</v>
      </c>
      <c r="D172" s="1968"/>
      <c r="E172" s="1968"/>
      <c r="F172" s="1932"/>
      <c r="G172" s="1931">
        <f t="shared" si="8"/>
        <v>0</v>
      </c>
      <c r="H172" s="1931"/>
      <c r="I172" s="1933">
        <f t="shared" si="9"/>
        <v>0</v>
      </c>
    </row>
    <row r="173" spans="2:9" ht="18.75">
      <c r="B173" s="1967"/>
      <c r="C173" s="1972" t="s">
        <v>1665</v>
      </c>
      <c r="D173" s="1968" t="s">
        <v>3540</v>
      </c>
      <c r="E173" s="1968">
        <v>2</v>
      </c>
      <c r="F173" s="1932">
        <v>250</v>
      </c>
      <c r="G173" s="1931">
        <f t="shared" si="8"/>
        <v>500</v>
      </c>
      <c r="H173" s="1931"/>
      <c r="I173" s="1933">
        <f t="shared" si="9"/>
        <v>0</v>
      </c>
    </row>
    <row r="174" spans="2:9" ht="18" thickBot="1">
      <c r="B174" s="1936"/>
      <c r="C174" s="1937" t="s">
        <v>1643</v>
      </c>
      <c r="D174" s="1938"/>
      <c r="E174" s="1938"/>
      <c r="F174" s="1939"/>
      <c r="G174" s="1938">
        <f>SUM(G164:G173)</f>
        <v>1500</v>
      </c>
      <c r="H174" s="1938"/>
      <c r="I174" s="1940">
        <f>SUM(I164:I173)</f>
        <v>0</v>
      </c>
    </row>
    <row r="175" spans="2:9" ht="18" thickTop="1">
      <c r="B175" s="1973"/>
      <c r="C175" s="1973"/>
      <c r="D175" s="1974"/>
      <c r="E175" s="1974"/>
      <c r="F175" s="1974"/>
      <c r="G175" s="1974"/>
      <c r="H175" s="1974"/>
      <c r="I175" s="1975"/>
    </row>
    <row r="176" spans="2:9">
      <c r="B176" s="1973"/>
      <c r="C176" s="1973"/>
      <c r="D176" s="1974"/>
      <c r="E176" s="1974"/>
      <c r="F176" s="1974"/>
      <c r="G176" s="1974"/>
      <c r="H176" s="1974"/>
      <c r="I176" s="1974"/>
    </row>
    <row r="177" spans="2:9">
      <c r="B177" s="1973"/>
      <c r="C177" s="1973"/>
      <c r="D177" s="1974"/>
      <c r="E177" s="1974"/>
      <c r="F177" s="1974"/>
      <c r="G177" s="1974"/>
      <c r="H177" s="1974"/>
      <c r="I177" s="1974"/>
    </row>
    <row r="178" spans="2:9">
      <c r="B178" s="1973"/>
      <c r="C178" s="1973"/>
      <c r="D178" s="1974"/>
      <c r="E178" s="1974"/>
      <c r="F178" s="1974"/>
      <c r="G178" s="1974"/>
      <c r="H178" s="1974"/>
      <c r="I178" s="1974"/>
    </row>
    <row r="179" spans="2:9">
      <c r="B179" s="1973"/>
      <c r="C179" s="1973"/>
      <c r="D179" s="1974"/>
      <c r="E179" s="1974"/>
      <c r="F179" s="1974"/>
      <c r="G179" s="1974"/>
      <c r="H179" s="1974"/>
      <c r="I179" s="1976"/>
    </row>
    <row r="180" spans="2:9">
      <c r="B180" s="1973"/>
      <c r="C180" s="1973"/>
      <c r="D180" s="1974"/>
      <c r="E180" s="1974"/>
      <c r="F180" s="1974"/>
      <c r="G180" s="1974"/>
      <c r="H180" s="1974"/>
      <c r="I180" s="1976"/>
    </row>
    <row r="181" spans="2:9">
      <c r="B181" s="1973"/>
      <c r="C181" s="1973"/>
      <c r="D181" s="1974"/>
      <c r="E181" s="1974"/>
      <c r="F181" s="1974"/>
      <c r="G181" s="1974"/>
      <c r="H181" s="1974"/>
      <c r="I181" s="1976"/>
    </row>
    <row r="182" spans="2:9">
      <c r="B182" s="1973"/>
      <c r="C182" s="1973"/>
      <c r="D182" s="1974"/>
      <c r="E182" s="1974"/>
      <c r="F182" s="1974"/>
      <c r="G182" s="1974"/>
      <c r="H182" s="1974"/>
      <c r="I182" s="1976"/>
    </row>
    <row r="183" spans="2:9">
      <c r="B183" s="1973"/>
      <c r="C183" s="1973"/>
      <c r="D183" s="1974"/>
      <c r="E183" s="1974"/>
      <c r="F183" s="1974"/>
      <c r="G183" s="1974"/>
      <c r="H183" s="1974"/>
      <c r="I183" s="1976"/>
    </row>
    <row r="184" spans="2:9">
      <c r="B184" s="1973"/>
      <c r="C184" s="1973"/>
      <c r="D184" s="1974"/>
      <c r="E184" s="1974"/>
      <c r="F184" s="1974"/>
      <c r="G184" s="1974"/>
      <c r="H184" s="1974"/>
      <c r="I184" s="1976"/>
    </row>
    <row r="185" spans="2:9">
      <c r="B185" s="1973"/>
      <c r="C185" s="1973"/>
      <c r="D185" s="1974"/>
      <c r="E185" s="1974"/>
      <c r="F185" s="1974"/>
      <c r="G185" s="1974"/>
      <c r="H185" s="1974"/>
      <c r="I185" s="1976"/>
    </row>
    <row r="186" spans="2:9">
      <c r="B186" s="1973"/>
      <c r="C186" s="1973"/>
      <c r="D186" s="1974"/>
      <c r="E186" s="1974"/>
      <c r="F186" s="1974"/>
      <c r="G186" s="1974"/>
      <c r="H186" s="1974"/>
      <c r="I186" s="1976"/>
    </row>
    <row r="187" spans="2:9">
      <c r="B187" s="1973"/>
      <c r="C187" s="1973"/>
      <c r="D187" s="1974"/>
      <c r="E187" s="1974"/>
      <c r="F187" s="1974"/>
      <c r="G187" s="1974"/>
      <c r="H187" s="1974"/>
      <c r="I187" s="1976"/>
    </row>
    <row r="188" spans="2:9">
      <c r="B188" s="1973"/>
      <c r="C188" s="1973"/>
      <c r="D188" s="1974"/>
      <c r="E188" s="1974"/>
      <c r="F188" s="1974"/>
      <c r="G188" s="1974"/>
      <c r="H188" s="1974"/>
      <c r="I188" s="1976"/>
    </row>
    <row r="189" spans="2:9">
      <c r="B189" s="1973"/>
      <c r="C189" s="1973"/>
      <c r="D189" s="1974"/>
      <c r="E189" s="1974"/>
      <c r="F189" s="1974"/>
      <c r="G189" s="1974"/>
      <c r="H189" s="1974"/>
      <c r="I189" s="1976"/>
    </row>
    <row r="190" spans="2:9">
      <c r="B190" s="1973"/>
      <c r="C190" s="1973"/>
      <c r="D190" s="1974"/>
      <c r="E190" s="1974"/>
      <c r="F190" s="1974"/>
      <c r="G190" s="1974"/>
      <c r="H190" s="1974"/>
      <c r="I190" s="1976"/>
    </row>
    <row r="191" spans="2:9">
      <c r="B191" s="1973"/>
      <c r="C191" s="1973"/>
      <c r="D191" s="1974"/>
      <c r="E191" s="1974"/>
      <c r="F191" s="1974"/>
      <c r="G191" s="1974"/>
      <c r="H191" s="1974"/>
      <c r="I191" s="1976"/>
    </row>
    <row r="192" spans="2:9">
      <c r="B192" s="1973"/>
      <c r="C192" s="1973"/>
      <c r="D192" s="1974"/>
      <c r="E192" s="1974"/>
      <c r="F192" s="1974"/>
      <c r="G192" s="1974"/>
      <c r="H192" s="1974"/>
      <c r="I192" s="1976"/>
    </row>
    <row r="193" spans="2:9">
      <c r="B193" s="1973"/>
      <c r="C193" s="1973"/>
      <c r="D193" s="1974"/>
      <c r="E193" s="1974"/>
      <c r="F193" s="1974"/>
      <c r="G193" s="1974"/>
      <c r="H193" s="1974"/>
      <c r="I193" s="1976"/>
    </row>
    <row r="194" spans="2:9">
      <c r="B194" s="1973"/>
      <c r="C194" s="1973"/>
      <c r="D194" s="1974"/>
      <c r="E194" s="1974"/>
      <c r="F194" s="1974"/>
      <c r="G194" s="1974"/>
      <c r="H194" s="1974"/>
      <c r="I194" s="1976"/>
    </row>
    <row r="195" spans="2:9">
      <c r="B195" s="1973"/>
      <c r="C195" s="1973"/>
      <c r="D195" s="1974"/>
      <c r="E195" s="1974"/>
      <c r="F195" s="1974"/>
      <c r="G195" s="1974"/>
      <c r="H195" s="1974"/>
      <c r="I195" s="1976"/>
    </row>
    <row r="196" spans="2:9">
      <c r="B196" s="1973"/>
      <c r="C196" s="1973"/>
      <c r="D196" s="1974"/>
      <c r="E196" s="1974"/>
      <c r="F196" s="1974"/>
      <c r="G196" s="1974"/>
      <c r="H196" s="1974"/>
      <c r="I196" s="1976"/>
    </row>
    <row r="197" spans="2:9">
      <c r="B197" s="1973"/>
      <c r="C197" s="1973"/>
      <c r="D197" s="1974"/>
      <c r="E197" s="1974"/>
      <c r="F197" s="1974"/>
      <c r="G197" s="1974"/>
      <c r="H197" s="1974"/>
      <c r="I197" s="1976"/>
    </row>
    <row r="198" spans="2:9">
      <c r="B198" s="1973"/>
      <c r="C198" s="1973"/>
      <c r="D198" s="1974"/>
      <c r="E198" s="1974"/>
      <c r="F198" s="1974"/>
      <c r="G198" s="1974"/>
      <c r="H198" s="1974"/>
      <c r="I198" s="1976"/>
    </row>
    <row r="199" spans="2:9">
      <c r="B199" s="1973"/>
      <c r="C199" s="1973"/>
      <c r="D199" s="1974"/>
      <c r="E199" s="1974"/>
      <c r="F199" s="1974"/>
      <c r="G199" s="1974"/>
      <c r="H199" s="1974"/>
      <c r="I199" s="1976"/>
    </row>
    <row r="200" spans="2:9">
      <c r="B200" s="1973"/>
      <c r="C200" s="1973"/>
      <c r="D200" s="1974"/>
      <c r="E200" s="1974"/>
      <c r="F200" s="1974"/>
      <c r="G200" s="1974"/>
      <c r="H200" s="1974"/>
      <c r="I200" s="1976"/>
    </row>
    <row r="201" spans="2:9">
      <c r="B201" s="1973"/>
      <c r="C201" s="1973"/>
      <c r="D201" s="1974"/>
      <c r="E201" s="1974"/>
      <c r="F201" s="1974"/>
      <c r="G201" s="1974"/>
      <c r="H201" s="1974"/>
      <c r="I201" s="1976"/>
    </row>
    <row r="202" spans="2:9">
      <c r="B202" s="1973"/>
      <c r="C202" s="1973"/>
      <c r="D202" s="1974"/>
      <c r="E202" s="1974"/>
      <c r="F202" s="1974"/>
      <c r="G202" s="1974"/>
      <c r="H202" s="1974"/>
      <c r="I202" s="1976"/>
    </row>
    <row r="203" spans="2:9">
      <c r="B203" s="1973"/>
      <c r="C203" s="1973"/>
      <c r="D203" s="1974"/>
      <c r="E203" s="1974"/>
      <c r="F203" s="1974"/>
      <c r="G203" s="1974"/>
      <c r="H203" s="1974"/>
      <c r="I203" s="1976"/>
    </row>
    <row r="204" spans="2:9">
      <c r="B204" s="1973"/>
      <c r="C204" s="1973"/>
      <c r="D204" s="1974"/>
      <c r="E204" s="1974"/>
      <c r="F204" s="1974"/>
      <c r="G204" s="1974"/>
      <c r="H204" s="1974"/>
      <c r="I204" s="1976"/>
    </row>
    <row r="205" spans="2:9">
      <c r="B205" s="1973"/>
      <c r="C205" s="1973"/>
      <c r="D205" s="1974"/>
      <c r="E205" s="1974"/>
      <c r="F205" s="1974"/>
      <c r="G205" s="1974"/>
      <c r="H205" s="1974"/>
      <c r="I205" s="1976"/>
    </row>
    <row r="206" spans="2:9">
      <c r="B206" s="1973"/>
      <c r="C206" s="1973"/>
      <c r="D206" s="1974"/>
      <c r="E206" s="1974"/>
      <c r="F206" s="1974"/>
      <c r="G206" s="1974"/>
      <c r="H206" s="1974"/>
      <c r="I206" s="1976"/>
    </row>
    <row r="207" spans="2:9">
      <c r="B207" s="1973"/>
      <c r="C207" s="1973"/>
      <c r="D207" s="1974"/>
      <c r="E207" s="1974"/>
      <c r="F207" s="1974"/>
      <c r="G207" s="1974"/>
      <c r="H207" s="1974"/>
      <c r="I207" s="1976"/>
    </row>
    <row r="208" spans="2:9">
      <c r="B208" s="1973"/>
      <c r="C208" s="1973"/>
      <c r="D208" s="1974"/>
      <c r="E208" s="1974"/>
      <c r="F208" s="1974"/>
      <c r="G208" s="1974"/>
      <c r="H208" s="1974"/>
      <c r="I208" s="1976"/>
    </row>
    <row r="209" spans="2:9">
      <c r="B209" s="1973"/>
      <c r="C209" s="1973"/>
      <c r="D209" s="1974"/>
      <c r="E209" s="1974"/>
      <c r="F209" s="1974"/>
      <c r="G209" s="1974"/>
      <c r="H209" s="1974"/>
      <c r="I209" s="1976"/>
    </row>
    <row r="210" spans="2:9">
      <c r="B210" s="1973"/>
      <c r="C210" s="1973"/>
      <c r="D210" s="1974"/>
      <c r="E210" s="1974"/>
      <c r="F210" s="1974"/>
      <c r="G210" s="1974"/>
      <c r="H210" s="1974"/>
      <c r="I210" s="1976"/>
    </row>
    <row r="211" spans="2:9">
      <c r="B211" s="1973"/>
      <c r="C211" s="1973"/>
      <c r="D211" s="1974"/>
      <c r="E211" s="1974"/>
      <c r="F211" s="1974"/>
      <c r="G211" s="1974"/>
      <c r="H211" s="1974"/>
      <c r="I211" s="1976"/>
    </row>
    <row r="212" spans="2:9">
      <c r="B212" s="1973"/>
      <c r="C212" s="1973"/>
      <c r="D212" s="1974"/>
      <c r="E212" s="1974"/>
      <c r="F212" s="1974"/>
      <c r="G212" s="1974"/>
      <c r="H212" s="1974"/>
      <c r="I212" s="1976"/>
    </row>
    <row r="213" spans="2:9">
      <c r="B213" s="1973"/>
      <c r="C213" s="1973"/>
      <c r="D213" s="1974"/>
      <c r="E213" s="1974"/>
      <c r="F213" s="1974"/>
      <c r="G213" s="1974"/>
      <c r="H213" s="1974"/>
      <c r="I213" s="1976"/>
    </row>
    <row r="214" spans="2:9">
      <c r="B214" s="1973"/>
      <c r="C214" s="1973"/>
      <c r="D214" s="1974"/>
      <c r="E214" s="1974"/>
      <c r="F214" s="1974"/>
      <c r="G214" s="1974"/>
      <c r="H214" s="1974"/>
      <c r="I214" s="1976"/>
    </row>
    <row r="215" spans="2:9">
      <c r="B215" s="1973"/>
      <c r="C215" s="1973"/>
      <c r="D215" s="1974"/>
      <c r="E215" s="1974"/>
      <c r="F215" s="1974"/>
      <c r="G215" s="1974"/>
      <c r="H215" s="1974"/>
      <c r="I215" s="1976"/>
    </row>
    <row r="216" spans="2:9">
      <c r="B216" s="1973"/>
      <c r="C216" s="1973"/>
      <c r="D216" s="1974"/>
      <c r="E216" s="1974"/>
      <c r="F216" s="1974"/>
      <c r="G216" s="1974"/>
      <c r="H216" s="1974"/>
      <c r="I216" s="1976"/>
    </row>
    <row r="217" spans="2:9">
      <c r="B217" s="1973"/>
      <c r="C217" s="1973"/>
      <c r="D217" s="1974"/>
      <c r="E217" s="1974"/>
      <c r="F217" s="1974"/>
      <c r="G217" s="1974"/>
      <c r="H217" s="1974"/>
      <c r="I217" s="1976"/>
    </row>
    <row r="218" spans="2:9">
      <c r="B218" s="1973"/>
      <c r="C218" s="1973"/>
      <c r="D218" s="1974"/>
      <c r="E218" s="1974"/>
      <c r="F218" s="1974"/>
      <c r="G218" s="1974"/>
      <c r="H218" s="1974"/>
      <c r="I218" s="1976"/>
    </row>
    <row r="219" spans="2:9">
      <c r="B219" s="1973"/>
      <c r="C219" s="1973"/>
      <c r="D219" s="1974"/>
      <c r="E219" s="1974"/>
      <c r="F219" s="1974"/>
      <c r="G219" s="1974"/>
      <c r="H219" s="1974"/>
      <c r="I219" s="1976"/>
    </row>
    <row r="220" spans="2:9">
      <c r="B220" s="1973"/>
      <c r="C220" s="1973"/>
      <c r="D220" s="1974"/>
      <c r="E220" s="1974"/>
      <c r="F220" s="1974"/>
      <c r="G220" s="1974"/>
      <c r="H220" s="1974"/>
      <c r="I220" s="1976"/>
    </row>
    <row r="221" spans="2:9">
      <c r="B221" s="1973"/>
      <c r="C221" s="1973"/>
      <c r="D221" s="1974"/>
      <c r="E221" s="1974"/>
      <c r="F221" s="1974"/>
      <c r="G221" s="1974"/>
      <c r="H221" s="1974"/>
      <c r="I221" s="1976"/>
    </row>
    <row r="222" spans="2:9">
      <c r="B222" s="1973"/>
      <c r="C222" s="1973"/>
      <c r="D222" s="1974"/>
      <c r="E222" s="1974"/>
      <c r="F222" s="1974"/>
      <c r="G222" s="1974"/>
      <c r="H222" s="1974"/>
      <c r="I222" s="1976"/>
    </row>
    <row r="223" spans="2:9">
      <c r="B223" s="1973"/>
      <c r="C223" s="1973"/>
      <c r="D223" s="1974"/>
      <c r="E223" s="1974"/>
      <c r="F223" s="1974"/>
      <c r="G223" s="1974"/>
      <c r="H223" s="1974"/>
      <c r="I223" s="1976"/>
    </row>
    <row r="224" spans="2:9">
      <c r="B224" s="1973"/>
      <c r="C224" s="1973"/>
      <c r="D224" s="1974"/>
      <c r="E224" s="1974"/>
      <c r="F224" s="1974"/>
      <c r="G224" s="1974"/>
      <c r="H224" s="1974"/>
      <c r="I224" s="1976"/>
    </row>
    <row r="225" spans="2:9">
      <c r="B225" s="1973"/>
      <c r="C225" s="1973"/>
      <c r="D225" s="1974"/>
      <c r="E225" s="1974"/>
      <c r="F225" s="1974"/>
      <c r="G225" s="1974"/>
      <c r="H225" s="1974"/>
      <c r="I225" s="1976"/>
    </row>
    <row r="226" spans="2:9">
      <c r="B226" s="1973"/>
      <c r="C226" s="1973"/>
      <c r="D226" s="1974"/>
      <c r="E226" s="1974"/>
      <c r="F226" s="1974"/>
      <c r="G226" s="1974"/>
      <c r="H226" s="1974"/>
      <c r="I226" s="1976"/>
    </row>
    <row r="227" spans="2:9">
      <c r="B227" s="1973"/>
      <c r="C227" s="1973"/>
      <c r="D227" s="1974"/>
      <c r="E227" s="1974"/>
      <c r="F227" s="1974"/>
      <c r="G227" s="1974"/>
      <c r="H227" s="1974"/>
      <c r="I227" s="1976"/>
    </row>
    <row r="228" spans="2:9">
      <c r="B228" s="1973"/>
      <c r="C228" s="1973"/>
      <c r="D228" s="1974"/>
      <c r="E228" s="1974"/>
      <c r="F228" s="1974"/>
      <c r="G228" s="1974"/>
      <c r="H228" s="1974"/>
      <c r="I228" s="1976"/>
    </row>
    <row r="229" spans="2:9">
      <c r="B229" s="1973"/>
      <c r="C229" s="1973"/>
      <c r="D229" s="1974"/>
      <c r="E229" s="1974"/>
      <c r="F229" s="1974"/>
      <c r="G229" s="1974"/>
      <c r="H229" s="1974"/>
      <c r="I229" s="1976"/>
    </row>
    <row r="230" spans="2:9">
      <c r="B230" s="1973"/>
      <c r="C230" s="1973"/>
      <c r="D230" s="1974"/>
      <c r="E230" s="1974"/>
      <c r="F230" s="1974"/>
      <c r="G230" s="1974"/>
      <c r="H230" s="1974"/>
      <c r="I230" s="1976"/>
    </row>
    <row r="231" spans="2:9">
      <c r="B231" s="1973"/>
      <c r="C231" s="1973"/>
      <c r="D231" s="1974"/>
      <c r="E231" s="1974"/>
      <c r="F231" s="1974"/>
      <c r="G231" s="1974"/>
      <c r="H231" s="1974"/>
      <c r="I231" s="1976"/>
    </row>
    <row r="232" spans="2:9">
      <c r="B232" s="1973"/>
      <c r="C232" s="1973"/>
      <c r="D232" s="1974"/>
      <c r="E232" s="1974"/>
      <c r="F232" s="1974"/>
      <c r="G232" s="1974"/>
      <c r="H232" s="1974"/>
      <c r="I232" s="1976"/>
    </row>
    <row r="233" spans="2:9">
      <c r="B233" s="1973"/>
      <c r="C233" s="1973"/>
      <c r="D233" s="1974"/>
      <c r="E233" s="1974"/>
      <c r="F233" s="1974"/>
      <c r="G233" s="1974"/>
      <c r="H233" s="1974"/>
      <c r="I233" s="1976"/>
    </row>
    <row r="234" spans="2:9">
      <c r="B234" s="1973"/>
      <c r="C234" s="1973"/>
      <c r="D234" s="1974"/>
      <c r="E234" s="1974"/>
      <c r="F234" s="1974"/>
      <c r="G234" s="1974"/>
      <c r="H234" s="1974"/>
      <c r="I234" s="1976"/>
    </row>
    <row r="235" spans="2:9">
      <c r="B235" s="1973"/>
      <c r="C235" s="1973"/>
      <c r="D235" s="1974"/>
      <c r="E235" s="1974"/>
      <c r="F235" s="1974"/>
      <c r="G235" s="1974"/>
      <c r="H235" s="1974"/>
      <c r="I235" s="1976"/>
    </row>
    <row r="236" spans="2:9">
      <c r="B236" s="1973"/>
      <c r="C236" s="1973"/>
      <c r="D236" s="1974"/>
      <c r="E236" s="1974"/>
      <c r="F236" s="1974"/>
      <c r="G236" s="1974"/>
      <c r="H236" s="1974"/>
      <c r="I236" s="1976"/>
    </row>
    <row r="237" spans="2:9">
      <c r="B237" s="1973"/>
      <c r="C237" s="1973"/>
      <c r="D237" s="1974"/>
      <c r="E237" s="1974"/>
      <c r="F237" s="1974"/>
      <c r="G237" s="1974"/>
      <c r="H237" s="1974"/>
      <c r="I237" s="1976"/>
    </row>
    <row r="238" spans="2:9">
      <c r="B238" s="1973"/>
      <c r="C238" s="1973"/>
      <c r="D238" s="1974"/>
      <c r="E238" s="1974"/>
      <c r="F238" s="1974"/>
      <c r="G238" s="1974"/>
      <c r="H238" s="1974"/>
      <c r="I238" s="1976"/>
    </row>
    <row r="239" spans="2:9">
      <c r="B239" s="1973"/>
      <c r="C239" s="1973"/>
      <c r="D239" s="1974"/>
      <c r="E239" s="1974"/>
      <c r="F239" s="1974"/>
      <c r="G239" s="1974"/>
      <c r="H239" s="1974"/>
      <c r="I239" s="1976"/>
    </row>
    <row r="240" spans="2:9">
      <c r="B240" s="1973"/>
      <c r="C240" s="1973"/>
      <c r="D240" s="1974"/>
      <c r="E240" s="1974"/>
      <c r="F240" s="1974"/>
      <c r="G240" s="1974"/>
      <c r="H240" s="1974"/>
      <c r="I240" s="1976"/>
    </row>
    <row r="241" spans="2:9">
      <c r="B241" s="1973"/>
      <c r="C241" s="1973"/>
      <c r="D241" s="1974"/>
      <c r="E241" s="1974"/>
      <c r="F241" s="1974"/>
      <c r="G241" s="1974"/>
      <c r="H241" s="1974"/>
      <c r="I241" s="1976"/>
    </row>
    <row r="242" spans="2:9">
      <c r="B242" s="1973"/>
      <c r="C242" s="1973"/>
      <c r="D242" s="1974"/>
      <c r="E242" s="1974"/>
      <c r="F242" s="1974"/>
      <c r="G242" s="1974"/>
      <c r="H242" s="1974"/>
      <c r="I242" s="1976"/>
    </row>
    <row r="243" spans="2:9">
      <c r="B243" s="1973"/>
      <c r="C243" s="1973"/>
      <c r="D243" s="1974"/>
      <c r="E243" s="1974"/>
      <c r="F243" s="1974"/>
      <c r="G243" s="1974"/>
      <c r="H243" s="1974"/>
      <c r="I243" s="1976"/>
    </row>
    <row r="244" spans="2:9">
      <c r="B244" s="1973"/>
      <c r="C244" s="1973"/>
      <c r="D244" s="1974"/>
      <c r="E244" s="1974"/>
      <c r="F244" s="1974"/>
      <c r="G244" s="1974"/>
      <c r="H244" s="1974"/>
      <c r="I244" s="1976"/>
    </row>
    <row r="245" spans="2:9">
      <c r="B245" s="1973"/>
      <c r="C245" s="1973"/>
      <c r="D245" s="1974"/>
      <c r="E245" s="1974"/>
      <c r="F245" s="1974"/>
      <c r="G245" s="1974"/>
      <c r="H245" s="1974"/>
      <c r="I245" s="1976"/>
    </row>
    <row r="246" spans="2:9">
      <c r="B246" s="1973"/>
      <c r="C246" s="1973"/>
      <c r="D246" s="1974"/>
      <c r="E246" s="1974"/>
      <c r="F246" s="1974"/>
      <c r="G246" s="1974"/>
      <c r="H246" s="1974"/>
      <c r="I246" s="1976"/>
    </row>
    <row r="247" spans="2:9">
      <c r="B247" s="1973"/>
      <c r="C247" s="1973"/>
      <c r="D247" s="1974"/>
      <c r="E247" s="1974"/>
      <c r="F247" s="1974"/>
      <c r="G247" s="1974"/>
      <c r="H247" s="1974"/>
      <c r="I247" s="1976"/>
    </row>
    <row r="248" spans="2:9">
      <c r="B248" s="1973"/>
      <c r="C248" s="1973"/>
      <c r="D248" s="1974"/>
      <c r="E248" s="1974"/>
      <c r="F248" s="1974"/>
      <c r="G248" s="1974"/>
      <c r="H248" s="1974"/>
      <c r="I248" s="1976"/>
    </row>
    <row r="249" spans="2:9">
      <c r="B249" s="1973"/>
      <c r="C249" s="1973"/>
      <c r="D249" s="1974"/>
      <c r="E249" s="1974"/>
      <c r="F249" s="1974"/>
      <c r="G249" s="1974"/>
      <c r="H249" s="1974"/>
      <c r="I249" s="1976"/>
    </row>
    <row r="250" spans="2:9">
      <c r="B250" s="1973"/>
      <c r="C250" s="1973"/>
      <c r="D250" s="1974"/>
      <c r="E250" s="1974"/>
      <c r="F250" s="1974"/>
      <c r="G250" s="1974"/>
      <c r="H250" s="1974"/>
      <c r="I250" s="1976"/>
    </row>
    <row r="251" spans="2:9">
      <c r="B251" s="1973"/>
      <c r="C251" s="1973"/>
      <c r="D251" s="1974"/>
      <c r="E251" s="1974"/>
      <c r="F251" s="1974"/>
      <c r="G251" s="1974"/>
      <c r="H251" s="1974"/>
      <c r="I251" s="1976"/>
    </row>
    <row r="252" spans="2:9">
      <c r="B252" s="1973"/>
      <c r="C252" s="1973"/>
      <c r="D252" s="1974"/>
      <c r="E252" s="1974"/>
      <c r="F252" s="1974"/>
      <c r="G252" s="1974"/>
      <c r="H252" s="1974"/>
      <c r="I252" s="1976"/>
    </row>
    <row r="253" spans="2:9">
      <c r="B253" s="1973"/>
      <c r="C253" s="1973"/>
      <c r="D253" s="1974"/>
      <c r="E253" s="1974"/>
      <c r="F253" s="1974"/>
      <c r="G253" s="1974"/>
      <c r="H253" s="1974"/>
      <c r="I253" s="1976"/>
    </row>
    <row r="254" spans="2:9">
      <c r="B254" s="1973"/>
      <c r="C254" s="1973"/>
      <c r="D254" s="1974"/>
      <c r="E254" s="1974"/>
      <c r="F254" s="1974"/>
      <c r="G254" s="1974"/>
      <c r="H254" s="1974"/>
      <c r="I254" s="1976"/>
    </row>
    <row r="255" spans="2:9">
      <c r="B255" s="1973"/>
      <c r="C255" s="1973"/>
      <c r="D255" s="1974"/>
      <c r="E255" s="1974"/>
      <c r="F255" s="1974"/>
      <c r="G255" s="1974"/>
      <c r="H255" s="1974"/>
      <c r="I255" s="1976"/>
    </row>
    <row r="256" spans="2:9">
      <c r="B256" s="1973"/>
      <c r="C256" s="1973"/>
      <c r="D256" s="1974"/>
      <c r="E256" s="1974"/>
      <c r="F256" s="1974"/>
      <c r="G256" s="1974"/>
      <c r="H256" s="1974"/>
      <c r="I256" s="1976"/>
    </row>
    <row r="257" spans="2:9">
      <c r="B257" s="1973"/>
      <c r="C257" s="1973"/>
      <c r="D257" s="1974"/>
      <c r="E257" s="1974"/>
      <c r="F257" s="1974"/>
      <c r="G257" s="1974"/>
      <c r="H257" s="1974"/>
      <c r="I257" s="1976"/>
    </row>
    <row r="258" spans="2:9">
      <c r="B258" s="1973"/>
      <c r="C258" s="1973"/>
      <c r="D258" s="1974"/>
      <c r="E258" s="1974"/>
      <c r="F258" s="1974"/>
      <c r="G258" s="1974"/>
      <c r="H258" s="1974"/>
      <c r="I258" s="1976"/>
    </row>
    <row r="259" spans="2:9">
      <c r="B259" s="1973"/>
      <c r="C259" s="1973"/>
      <c r="D259" s="1974"/>
      <c r="E259" s="1974"/>
      <c r="F259" s="1974"/>
      <c r="G259" s="1974"/>
      <c r="H259" s="1974"/>
      <c r="I259" s="1976"/>
    </row>
    <row r="260" spans="2:9">
      <c r="B260" s="1973"/>
      <c r="C260" s="1973"/>
      <c r="D260" s="1974"/>
      <c r="E260" s="1974"/>
      <c r="F260" s="1974"/>
      <c r="G260" s="1974"/>
      <c r="H260" s="1974"/>
      <c r="I260" s="1976"/>
    </row>
    <row r="261" spans="2:9">
      <c r="B261" s="1973"/>
      <c r="C261" s="1973"/>
      <c r="D261" s="1974"/>
      <c r="E261" s="1974"/>
      <c r="F261" s="1974"/>
      <c r="G261" s="1974"/>
      <c r="H261" s="1974"/>
      <c r="I261" s="1976"/>
    </row>
    <row r="262" spans="2:9">
      <c r="B262" s="1973"/>
      <c r="C262" s="1973"/>
      <c r="D262" s="1974"/>
      <c r="E262" s="1974"/>
      <c r="F262" s="1974"/>
      <c r="G262" s="1974"/>
      <c r="H262" s="1974"/>
      <c r="I262" s="1976"/>
    </row>
    <row r="263" spans="2:9">
      <c r="B263" s="1973"/>
      <c r="C263" s="1973"/>
      <c r="D263" s="1974"/>
      <c r="E263" s="1974"/>
      <c r="F263" s="1974"/>
      <c r="G263" s="1974"/>
      <c r="H263" s="1974"/>
      <c r="I263" s="1976"/>
    </row>
    <row r="264" spans="2:9">
      <c r="B264" s="1973"/>
      <c r="C264" s="1973"/>
      <c r="D264" s="1974"/>
      <c r="E264" s="1974"/>
      <c r="F264" s="1974"/>
      <c r="G264" s="1974"/>
      <c r="H264" s="1974"/>
      <c r="I264" s="1976"/>
    </row>
    <row r="265" spans="2:9">
      <c r="B265" s="1973"/>
      <c r="C265" s="1973"/>
      <c r="D265" s="1974"/>
      <c r="E265" s="1974"/>
      <c r="F265" s="1974"/>
      <c r="G265" s="1974"/>
      <c r="H265" s="1974"/>
      <c r="I265" s="1976"/>
    </row>
    <row r="266" spans="2:9">
      <c r="B266" s="1973"/>
      <c r="C266" s="1973"/>
      <c r="D266" s="1974"/>
      <c r="E266" s="1974"/>
      <c r="F266" s="1974"/>
      <c r="G266" s="1974"/>
      <c r="H266" s="1974"/>
      <c r="I266" s="1976"/>
    </row>
    <row r="267" spans="2:9">
      <c r="B267" s="1973"/>
      <c r="C267" s="1973"/>
      <c r="D267" s="1974"/>
      <c r="E267" s="1974"/>
      <c r="F267" s="1974"/>
      <c r="G267" s="1974"/>
      <c r="H267" s="1974"/>
      <c r="I267" s="1976"/>
    </row>
    <row r="268" spans="2:9">
      <c r="B268" s="1973"/>
      <c r="C268" s="1973"/>
      <c r="D268" s="1974"/>
      <c r="E268" s="1974"/>
      <c r="F268" s="1974"/>
      <c r="G268" s="1974"/>
      <c r="H268" s="1974"/>
      <c r="I268" s="1976"/>
    </row>
    <row r="269" spans="2:9">
      <c r="B269" s="1973"/>
      <c r="C269" s="1973"/>
      <c r="D269" s="1974"/>
      <c r="E269" s="1974"/>
      <c r="F269" s="1974"/>
      <c r="G269" s="1974"/>
      <c r="H269" s="1974"/>
      <c r="I269" s="1976"/>
    </row>
    <row r="270" spans="2:9">
      <c r="B270" s="1973"/>
      <c r="C270" s="1973"/>
      <c r="D270" s="1974"/>
      <c r="E270" s="1974"/>
      <c r="F270" s="1974"/>
      <c r="G270" s="1974"/>
      <c r="H270" s="1974"/>
      <c r="I270" s="1976"/>
    </row>
    <row r="271" spans="2:9">
      <c r="B271" s="1973"/>
      <c r="C271" s="1973"/>
      <c r="D271" s="1974"/>
      <c r="E271" s="1974"/>
      <c r="F271" s="1974"/>
      <c r="G271" s="1974"/>
      <c r="H271" s="1974"/>
      <c r="I271" s="1976"/>
    </row>
    <row r="272" spans="2:9">
      <c r="B272" s="1973"/>
      <c r="C272" s="1973"/>
      <c r="D272" s="1974"/>
      <c r="E272" s="1974"/>
      <c r="F272" s="1974"/>
      <c r="G272" s="1974"/>
      <c r="H272" s="1974"/>
      <c r="I272" s="1976"/>
    </row>
    <row r="273" spans="2:9">
      <c r="B273" s="1973"/>
      <c r="C273" s="1973"/>
      <c r="D273" s="1974"/>
      <c r="E273" s="1974"/>
      <c r="F273" s="1974"/>
      <c r="G273" s="1974"/>
      <c r="H273" s="1974"/>
      <c r="I273" s="1976"/>
    </row>
    <row r="274" spans="2:9">
      <c r="B274" s="1973"/>
      <c r="C274" s="1973"/>
      <c r="D274" s="1974"/>
      <c r="E274" s="1974"/>
      <c r="F274" s="1974"/>
      <c r="G274" s="1974"/>
      <c r="H274" s="1974"/>
      <c r="I274" s="1976"/>
    </row>
    <row r="275" spans="2:9">
      <c r="B275" s="1973"/>
      <c r="C275" s="1973"/>
      <c r="D275" s="1974"/>
      <c r="E275" s="1974"/>
      <c r="F275" s="1974"/>
      <c r="G275" s="1974"/>
      <c r="H275" s="1974"/>
      <c r="I275" s="1976"/>
    </row>
    <row r="276" spans="2:9">
      <c r="B276" s="1973"/>
      <c r="C276" s="1973"/>
      <c r="D276" s="1974"/>
      <c r="E276" s="1974"/>
      <c r="F276" s="1974"/>
      <c r="G276" s="1974"/>
      <c r="H276" s="1974"/>
      <c r="I276" s="1976"/>
    </row>
    <row r="277" spans="2:9">
      <c r="B277" s="1973"/>
      <c r="C277" s="1973"/>
      <c r="D277" s="1974"/>
      <c r="E277" s="1974"/>
      <c r="F277" s="1974"/>
      <c r="G277" s="1974"/>
      <c r="H277" s="1974"/>
      <c r="I277" s="1976"/>
    </row>
    <row r="278" spans="2:9">
      <c r="B278" s="1973"/>
      <c r="C278" s="1973"/>
      <c r="D278" s="1974"/>
      <c r="E278" s="1974"/>
      <c r="F278" s="1974"/>
      <c r="G278" s="1974"/>
      <c r="H278" s="1974"/>
      <c r="I278" s="1976"/>
    </row>
    <row r="279" spans="2:9">
      <c r="B279" s="1973"/>
      <c r="C279" s="1973"/>
      <c r="D279" s="1974"/>
      <c r="E279" s="1974"/>
      <c r="F279" s="1974"/>
      <c r="G279" s="1974"/>
      <c r="H279" s="1974"/>
      <c r="I279" s="1976"/>
    </row>
    <row r="280" spans="2:9">
      <c r="B280" s="1973"/>
      <c r="C280" s="1973"/>
      <c r="D280" s="1974"/>
      <c r="E280" s="1974"/>
      <c r="F280" s="1974"/>
      <c r="G280" s="1974"/>
      <c r="H280" s="1974"/>
      <c r="I280" s="1976"/>
    </row>
    <row r="281" spans="2:9">
      <c r="B281" s="1973"/>
      <c r="C281" s="1973"/>
      <c r="D281" s="1974"/>
      <c r="E281" s="1974"/>
      <c r="F281" s="1974"/>
      <c r="G281" s="1974"/>
      <c r="H281" s="1974"/>
      <c r="I281" s="1976"/>
    </row>
    <row r="282" spans="2:9">
      <c r="B282" s="1973"/>
      <c r="C282" s="1973"/>
      <c r="D282" s="1974"/>
      <c r="E282" s="1974"/>
      <c r="F282" s="1974"/>
      <c r="G282" s="1974"/>
      <c r="H282" s="1974"/>
      <c r="I282" s="1976"/>
    </row>
    <row r="283" spans="2:9">
      <c r="B283" s="1973"/>
      <c r="C283" s="1973"/>
      <c r="D283" s="1974"/>
      <c r="E283" s="1974"/>
      <c r="F283" s="1974"/>
      <c r="G283" s="1974"/>
      <c r="H283" s="1974"/>
      <c r="I283" s="1976"/>
    </row>
    <row r="284" spans="2:9">
      <c r="B284" s="1973"/>
      <c r="C284" s="1973"/>
      <c r="D284" s="1974"/>
      <c r="E284" s="1974"/>
      <c r="F284" s="1974"/>
      <c r="G284" s="1974"/>
      <c r="H284" s="1974"/>
      <c r="I284" s="1976"/>
    </row>
    <row r="285" spans="2:9">
      <c r="B285" s="1973"/>
      <c r="C285" s="1973"/>
      <c r="D285" s="1974"/>
      <c r="E285" s="1974"/>
      <c r="F285" s="1974"/>
      <c r="G285" s="1974"/>
      <c r="H285" s="1974"/>
      <c r="I285" s="1976"/>
    </row>
    <row r="286" spans="2:9">
      <c r="B286" s="1973"/>
      <c r="C286" s="1973"/>
      <c r="D286" s="1974"/>
      <c r="E286" s="1974"/>
      <c r="F286" s="1974"/>
      <c r="G286" s="1974"/>
      <c r="H286" s="1974"/>
      <c r="I286" s="1976"/>
    </row>
    <row r="287" spans="2:9">
      <c r="B287" s="1973"/>
      <c r="C287" s="1973"/>
      <c r="D287" s="1974"/>
      <c r="E287" s="1974"/>
      <c r="F287" s="1974"/>
      <c r="G287" s="1974"/>
      <c r="H287" s="1974"/>
      <c r="I287" s="1976"/>
    </row>
    <row r="288" spans="2:9">
      <c r="B288" s="1973"/>
      <c r="C288" s="1973"/>
      <c r="D288" s="1974"/>
      <c r="E288" s="1974"/>
      <c r="F288" s="1974"/>
      <c r="G288" s="1974"/>
      <c r="H288" s="1974"/>
      <c r="I288" s="1976"/>
    </row>
    <row r="289" spans="2:9">
      <c r="B289" s="1973"/>
      <c r="C289" s="1973"/>
      <c r="D289" s="1974"/>
      <c r="E289" s="1974"/>
      <c r="F289" s="1974"/>
      <c r="G289" s="1974"/>
      <c r="H289" s="1974"/>
      <c r="I289" s="1976"/>
    </row>
    <row r="290" spans="2:9">
      <c r="B290" s="1973"/>
      <c r="C290" s="1973"/>
      <c r="D290" s="1974"/>
      <c r="E290" s="1974"/>
      <c r="F290" s="1974"/>
      <c r="G290" s="1974"/>
      <c r="H290" s="1974"/>
      <c r="I290" s="1976"/>
    </row>
    <row r="291" spans="2:9">
      <c r="B291" s="1973"/>
      <c r="C291" s="1973"/>
      <c r="D291" s="1974"/>
      <c r="E291" s="1974"/>
      <c r="F291" s="1974"/>
      <c r="G291" s="1974"/>
      <c r="H291" s="1974"/>
      <c r="I291" s="1976"/>
    </row>
    <row r="292" spans="2:9">
      <c r="B292" s="1973"/>
      <c r="C292" s="1973"/>
      <c r="D292" s="1974"/>
      <c r="E292" s="1974"/>
      <c r="F292" s="1974"/>
      <c r="G292" s="1974"/>
      <c r="H292" s="1974"/>
      <c r="I292" s="1976"/>
    </row>
    <row r="293" spans="2:9">
      <c r="B293" s="1973"/>
      <c r="C293" s="1973"/>
      <c r="D293" s="1974"/>
      <c r="E293" s="1974"/>
      <c r="F293" s="1974"/>
      <c r="G293" s="1974"/>
      <c r="H293" s="1974"/>
      <c r="I293" s="1976"/>
    </row>
    <row r="294" spans="2:9">
      <c r="B294" s="1973"/>
      <c r="C294" s="1973"/>
      <c r="D294" s="1974"/>
      <c r="E294" s="1974"/>
      <c r="F294" s="1974"/>
      <c r="G294" s="1974"/>
      <c r="H294" s="1974"/>
      <c r="I294" s="1976"/>
    </row>
    <row r="295" spans="2:9">
      <c r="B295" s="1973"/>
      <c r="C295" s="1973"/>
      <c r="D295" s="1974"/>
      <c r="E295" s="1974"/>
      <c r="F295" s="1974"/>
      <c r="G295" s="1974"/>
      <c r="H295" s="1974"/>
      <c r="I295" s="1976"/>
    </row>
    <row r="296" spans="2:9">
      <c r="B296" s="1973"/>
      <c r="C296" s="1973"/>
      <c r="D296" s="1974"/>
      <c r="E296" s="1974"/>
      <c r="F296" s="1974"/>
      <c r="G296" s="1974"/>
      <c r="H296" s="1974"/>
      <c r="I296" s="1976"/>
    </row>
    <row r="297" spans="2:9">
      <c r="B297" s="1973"/>
      <c r="C297" s="1973"/>
      <c r="D297" s="1974"/>
      <c r="E297" s="1974"/>
      <c r="F297" s="1974"/>
      <c r="G297" s="1974"/>
      <c r="H297" s="1974"/>
      <c r="I297" s="1976"/>
    </row>
    <row r="298" spans="2:9">
      <c r="B298" s="1973"/>
      <c r="C298" s="1973"/>
      <c r="D298" s="1974"/>
      <c r="E298" s="1974"/>
      <c r="F298" s="1974"/>
      <c r="G298" s="1974"/>
      <c r="H298" s="1974"/>
      <c r="I298" s="1976"/>
    </row>
    <row r="299" spans="2:9">
      <c r="B299" s="1973"/>
      <c r="C299" s="1973"/>
      <c r="D299" s="1974"/>
      <c r="E299" s="1974"/>
      <c r="F299" s="1974"/>
      <c r="G299" s="1974"/>
      <c r="H299" s="1974"/>
      <c r="I299" s="1976"/>
    </row>
  </sheetData>
  <mergeCells count="14">
    <mergeCell ref="I1:J1"/>
    <mergeCell ref="G2:H2"/>
    <mergeCell ref="G3:I3"/>
    <mergeCell ref="B86:I86"/>
    <mergeCell ref="B5:B6"/>
    <mergeCell ref="C5:C6"/>
    <mergeCell ref="D5:D6"/>
    <mergeCell ref="E5:G5"/>
    <mergeCell ref="H5:I5"/>
    <mergeCell ref="B15:D15"/>
    <mergeCell ref="B32:D32"/>
    <mergeCell ref="B36:D36"/>
    <mergeCell ref="B48:D48"/>
    <mergeCell ref="B51:D51"/>
  </mergeCells>
  <printOptions horizontalCentered="1"/>
  <pageMargins left="0.5" right="0.25" top="0.9" bottom="0.4" header="0.35" footer="0.09"/>
  <pageSetup scale="84" orientation="landscape" horizontalDpi="300" verticalDpi="300" r:id="rId1"/>
  <headerFooter alignWithMargins="0">
    <oddFooter>&amp;LContractor_________________&amp;CSupervisor_________________&amp;RConsultant_________________</oddFooter>
  </headerFooter>
  <rowBreaks count="6" manualBreakCount="6">
    <brk id="32" max="9" man="1"/>
    <brk id="51" max="9" man="1"/>
    <brk id="80" max="9" man="1"/>
    <brk id="85" max="9" man="1"/>
    <brk id="113" max="9" man="1"/>
    <brk id="146" max="9"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3"/>
  <sheetViews>
    <sheetView view="pageBreakPreview" zoomScale="85" zoomScaleNormal="115" zoomScaleSheetLayoutView="85" zoomScalePageLayoutView="85" workbookViewId="0">
      <selection activeCell="I8" sqref="I8"/>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331"/>
      <c r="H1" s="821" t="s">
        <v>1918</v>
      </c>
      <c r="I1" s="1332">
        <f ca="1">TODAY()</f>
        <v>42423</v>
      </c>
      <c r="J1" s="820"/>
    </row>
    <row r="2" spans="1:10">
      <c r="A2" s="834"/>
      <c r="B2" s="2059" t="s">
        <v>1917</v>
      </c>
      <c r="C2" s="2059"/>
      <c r="D2" s="2059"/>
      <c r="E2" s="2059"/>
      <c r="F2" s="819"/>
      <c r="G2" s="1331"/>
      <c r="J2" s="834"/>
    </row>
    <row r="3" spans="1:10">
      <c r="A3" s="834"/>
      <c r="B3" s="2059" t="s">
        <v>1920</v>
      </c>
      <c r="C3" s="2059"/>
      <c r="D3" s="2059"/>
      <c r="E3" s="2059"/>
      <c r="F3" s="2059"/>
      <c r="G3" s="1331"/>
      <c r="H3" s="2060" t="s">
        <v>3235</v>
      </c>
      <c r="I3" s="2060"/>
      <c r="J3" s="834"/>
    </row>
    <row r="4" spans="1:10">
      <c r="A4" s="834"/>
      <c r="B4" s="2059" t="s">
        <v>1921</v>
      </c>
      <c r="C4" s="2059"/>
      <c r="D4" s="2059"/>
      <c r="E4" s="2059"/>
      <c r="F4" s="819"/>
      <c r="G4" s="1331"/>
      <c r="H4" s="2061"/>
      <c r="I4" s="2061"/>
      <c r="J4" s="834"/>
    </row>
    <row r="5" spans="1:10">
      <c r="A5" s="834"/>
      <c r="B5" s="824"/>
      <c r="C5" s="1331"/>
      <c r="D5" s="1331"/>
      <c r="E5" s="825"/>
      <c r="F5" s="819"/>
      <c r="G5" s="1330"/>
      <c r="H5" s="827"/>
      <c r="I5" s="1330"/>
      <c r="J5" s="834"/>
    </row>
    <row r="6" spans="1:10">
      <c r="A6" s="1162"/>
      <c r="B6" s="909" t="s">
        <v>1884</v>
      </c>
      <c r="C6" s="911" t="s">
        <v>526</v>
      </c>
      <c r="D6" s="910" t="s">
        <v>1885</v>
      </c>
      <c r="E6" s="911" t="s">
        <v>1886</v>
      </c>
      <c r="F6" s="909" t="s">
        <v>1884</v>
      </c>
      <c r="G6" s="911" t="s">
        <v>526</v>
      </c>
      <c r="H6" s="910" t="s">
        <v>1885</v>
      </c>
      <c r="I6" s="911" t="s">
        <v>1886</v>
      </c>
      <c r="J6" s="1162"/>
    </row>
    <row r="7" spans="1:10">
      <c r="A7" s="834"/>
      <c r="B7" s="831"/>
      <c r="C7" s="829"/>
      <c r="D7" s="832"/>
      <c r="E7" s="844" t="s">
        <v>1887</v>
      </c>
      <c r="F7" s="831"/>
      <c r="G7" s="829"/>
      <c r="H7" s="832"/>
      <c r="I7" s="844" t="s">
        <v>3541</v>
      </c>
    </row>
    <row r="8" spans="1:10">
      <c r="A8" s="834"/>
      <c r="B8" s="831"/>
      <c r="C8" s="829"/>
      <c r="D8" s="832"/>
      <c r="E8" s="844" t="s">
        <v>1888</v>
      </c>
      <c r="F8" s="831">
        <v>1</v>
      </c>
      <c r="G8" s="829">
        <v>7.4</v>
      </c>
      <c r="H8" s="832"/>
      <c r="I8" s="833"/>
    </row>
    <row r="9" spans="1:10">
      <c r="A9" s="834"/>
      <c r="B9" s="831"/>
      <c r="C9" s="829"/>
      <c r="D9" s="832"/>
      <c r="E9" s="844" t="s">
        <v>1889</v>
      </c>
      <c r="F9" s="831"/>
      <c r="G9" s="829">
        <v>5.95</v>
      </c>
      <c r="H9" s="832"/>
      <c r="I9" s="833"/>
    </row>
    <row r="10" spans="1:10">
      <c r="A10" s="834"/>
      <c r="B10" s="831"/>
      <c r="C10" s="829"/>
      <c r="D10" s="832"/>
      <c r="E10" s="833" t="s">
        <v>3236</v>
      </c>
      <c r="F10" s="831"/>
      <c r="G10" s="829">
        <v>0.3</v>
      </c>
      <c r="H10" s="832">
        <f>F8*G8*G9*G10</f>
        <v>13.209</v>
      </c>
      <c r="I10" s="833" t="s">
        <v>1936</v>
      </c>
    </row>
    <row r="11" spans="1:10">
      <c r="A11" s="834"/>
      <c r="B11" s="831">
        <v>1</v>
      </c>
      <c r="C11" s="829">
        <v>7.4</v>
      </c>
      <c r="D11" s="832"/>
      <c r="E11" s="833" t="s">
        <v>3237</v>
      </c>
      <c r="F11" s="435"/>
      <c r="G11" s="435"/>
      <c r="H11" s="435"/>
      <c r="I11" s="435"/>
    </row>
    <row r="12" spans="1:10">
      <c r="A12" s="834"/>
      <c r="B12" s="831"/>
      <c r="C12" s="829">
        <v>5.95</v>
      </c>
      <c r="D12" s="832">
        <f>C12*C11*B11</f>
        <v>44.03</v>
      </c>
      <c r="E12" s="833"/>
      <c r="F12" s="831"/>
      <c r="G12" s="829"/>
      <c r="H12" s="832">
        <v>7.8</v>
      </c>
      <c r="I12" s="833" t="s">
        <v>1937</v>
      </c>
    </row>
    <row r="13" spans="1:10">
      <c r="A13" s="834"/>
      <c r="B13" s="435"/>
      <c r="C13" s="435"/>
      <c r="D13" s="435"/>
      <c r="E13" s="435"/>
      <c r="F13" s="435"/>
      <c r="G13" s="435"/>
      <c r="H13" s="435"/>
      <c r="I13" s="435"/>
    </row>
    <row r="14" spans="1:10" ht="18">
      <c r="A14" s="834"/>
      <c r="B14" s="831"/>
      <c r="C14" s="829"/>
      <c r="D14" s="838">
        <f>D12</f>
        <v>44.03</v>
      </c>
      <c r="E14" s="845" t="s">
        <v>3185</v>
      </c>
      <c r="F14" s="831"/>
      <c r="G14" s="829"/>
      <c r="H14" s="832">
        <v>13.03</v>
      </c>
      <c r="I14" s="833" t="s">
        <v>1938</v>
      </c>
    </row>
    <row r="15" spans="1:10">
      <c r="A15" s="834"/>
      <c r="B15" s="435"/>
      <c r="C15" s="435"/>
      <c r="D15" s="832"/>
      <c r="E15" s="833"/>
      <c r="F15" s="831"/>
      <c r="G15" s="435"/>
      <c r="H15" s="435"/>
      <c r="I15" s="435"/>
    </row>
    <row r="16" spans="1:10" ht="18">
      <c r="A16" s="834"/>
      <c r="B16" s="831"/>
      <c r="C16" s="829"/>
      <c r="D16" s="832"/>
      <c r="E16" s="844" t="s">
        <v>1890</v>
      </c>
      <c r="F16" s="839"/>
      <c r="G16" s="839"/>
      <c r="H16" s="838">
        <f>SUM(H10:H14)</f>
        <v>34.039000000000001</v>
      </c>
      <c r="I16" s="845" t="s">
        <v>3183</v>
      </c>
    </row>
    <row r="17" spans="1:10">
      <c r="A17" s="834"/>
      <c r="B17" s="831">
        <v>1</v>
      </c>
      <c r="C17" s="829">
        <v>5</v>
      </c>
      <c r="D17" s="832"/>
      <c r="E17" s="833"/>
      <c r="F17" s="831"/>
      <c r="G17" s="829"/>
      <c r="H17" s="832"/>
      <c r="I17" s="833"/>
    </row>
    <row r="18" spans="1:10">
      <c r="A18" s="834"/>
      <c r="B18" s="831"/>
      <c r="C18" s="829">
        <v>3.75</v>
      </c>
      <c r="D18" s="832"/>
      <c r="E18" s="833"/>
      <c r="F18" s="831"/>
      <c r="G18" s="829"/>
      <c r="H18" s="832"/>
      <c r="I18" s="833" t="s">
        <v>2557</v>
      </c>
    </row>
    <row r="19" spans="1:10" ht="18">
      <c r="A19" s="834"/>
      <c r="B19" s="831"/>
      <c r="C19" s="829">
        <v>0.6</v>
      </c>
      <c r="D19" s="838">
        <f>B17*C17*C18*C19</f>
        <v>11.25</v>
      </c>
      <c r="E19" s="845" t="s">
        <v>3162</v>
      </c>
      <c r="F19" s="831">
        <v>1</v>
      </c>
      <c r="G19" s="829">
        <v>4.5999999999999996</v>
      </c>
      <c r="H19" s="832"/>
      <c r="I19" s="833"/>
    </row>
    <row r="20" spans="1:10" ht="18">
      <c r="A20" s="834"/>
      <c r="B20" s="831"/>
      <c r="C20" s="829"/>
      <c r="D20" s="832"/>
      <c r="E20" s="833"/>
      <c r="F20" s="831"/>
      <c r="G20" s="829">
        <v>3.15</v>
      </c>
      <c r="H20" s="832">
        <f>F19*G19*G20</f>
        <v>14.489999999999998</v>
      </c>
      <c r="I20" s="833" t="s">
        <v>3199</v>
      </c>
    </row>
    <row r="21" spans="1:10">
      <c r="A21" s="834"/>
      <c r="B21" s="831">
        <v>2</v>
      </c>
      <c r="C21" s="829">
        <v>5.9</v>
      </c>
      <c r="D21" s="832"/>
      <c r="E21" s="844" t="s">
        <v>3238</v>
      </c>
      <c r="F21" s="831"/>
      <c r="G21" s="829"/>
      <c r="H21" s="832"/>
      <c r="I21" s="833"/>
    </row>
    <row r="22" spans="1:10" ht="18.75" customHeight="1">
      <c r="A22" s="834"/>
      <c r="B22" s="831"/>
      <c r="C22" s="829">
        <v>0.9</v>
      </c>
      <c r="D22" s="832"/>
      <c r="E22" s="833"/>
      <c r="F22" s="831"/>
      <c r="G22" s="829"/>
      <c r="H22" s="832"/>
      <c r="I22" s="833" t="s">
        <v>1894</v>
      </c>
    </row>
    <row r="23" spans="1:10">
      <c r="A23" s="834"/>
      <c r="B23" s="831"/>
      <c r="C23" s="829">
        <v>0.7</v>
      </c>
      <c r="D23" s="832">
        <f>B21*C21*C22*C23</f>
        <v>7.4340000000000002</v>
      </c>
      <c r="E23" s="833"/>
      <c r="F23" s="831"/>
      <c r="G23" s="829"/>
      <c r="H23" s="832"/>
      <c r="I23" s="833" t="s">
        <v>1939</v>
      </c>
      <c r="J23" s="834"/>
    </row>
    <row r="24" spans="1:10">
      <c r="A24" s="834"/>
      <c r="B24" s="435"/>
      <c r="C24" s="435"/>
      <c r="D24" s="435"/>
      <c r="E24" s="435"/>
      <c r="F24" s="831">
        <v>2</v>
      </c>
      <c r="G24" s="829">
        <v>5.4</v>
      </c>
      <c r="H24" s="832"/>
      <c r="I24" s="833"/>
      <c r="J24" s="834"/>
    </row>
    <row r="25" spans="1:10">
      <c r="A25" s="834"/>
      <c r="B25" s="831">
        <v>2</v>
      </c>
      <c r="C25" s="829">
        <v>4.45</v>
      </c>
      <c r="D25" s="832"/>
      <c r="E25" s="833"/>
      <c r="F25" s="831"/>
      <c r="G25" s="829">
        <v>0.4</v>
      </c>
      <c r="H25" s="832">
        <f>G25*G24*F24</f>
        <v>4.32</v>
      </c>
      <c r="I25" s="833"/>
      <c r="J25" s="834"/>
    </row>
    <row r="26" spans="1:10">
      <c r="A26" s="834"/>
      <c r="B26" s="831"/>
      <c r="C26" s="829">
        <v>0.9</v>
      </c>
      <c r="D26" s="832"/>
      <c r="E26" s="833"/>
      <c r="F26" s="831"/>
      <c r="G26" s="829"/>
      <c r="H26" s="832"/>
      <c r="I26" s="833"/>
      <c r="J26" s="834"/>
    </row>
    <row r="27" spans="1:10">
      <c r="A27" s="834"/>
      <c r="B27" s="831"/>
      <c r="C27" s="829">
        <v>0.7</v>
      </c>
      <c r="D27" s="832">
        <f>B25*C25*C26*C27</f>
        <v>5.6069999999999993</v>
      </c>
      <c r="E27" s="833"/>
      <c r="F27" s="831">
        <v>2</v>
      </c>
      <c r="G27" s="829">
        <v>3.15</v>
      </c>
      <c r="H27" s="832"/>
      <c r="I27" s="833" t="s">
        <v>3139</v>
      </c>
      <c r="J27" s="834"/>
    </row>
    <row r="28" spans="1:10">
      <c r="A28" s="834"/>
      <c r="B28" s="435"/>
      <c r="C28" s="435"/>
      <c r="D28" s="435"/>
      <c r="E28" s="435"/>
      <c r="F28" s="831"/>
      <c r="G28" s="829">
        <v>0.4</v>
      </c>
      <c r="H28" s="832">
        <f>G28*G27*F27</f>
        <v>2.52</v>
      </c>
      <c r="I28" s="833"/>
      <c r="J28" s="834"/>
    </row>
    <row r="29" spans="1:10" ht="18">
      <c r="A29" s="834"/>
      <c r="B29" s="839"/>
      <c r="C29" s="839"/>
      <c r="D29" s="838">
        <f>SUM(D23:D27)</f>
        <v>13.041</v>
      </c>
      <c r="E29" s="845" t="s">
        <v>3164</v>
      </c>
      <c r="F29" s="435"/>
      <c r="G29" s="435"/>
      <c r="H29" s="435"/>
      <c r="I29" s="435"/>
      <c r="J29" s="834"/>
    </row>
    <row r="30" spans="1:10" ht="18">
      <c r="A30" s="834"/>
      <c r="B30" s="831"/>
      <c r="C30" s="829"/>
      <c r="D30" s="832"/>
      <c r="E30" s="833"/>
      <c r="F30" s="839"/>
      <c r="G30" s="839"/>
      <c r="H30" s="838">
        <f>SUM(H25:H28)</f>
        <v>6.84</v>
      </c>
      <c r="I30" s="845" t="s">
        <v>3189</v>
      </c>
      <c r="J30" s="834"/>
    </row>
    <row r="31" spans="1:10">
      <c r="A31" s="834"/>
      <c r="B31" s="831"/>
      <c r="C31" s="829"/>
      <c r="D31" s="832"/>
      <c r="E31" s="844" t="s">
        <v>1903</v>
      </c>
      <c r="F31" s="1657"/>
      <c r="G31" s="848"/>
      <c r="H31" s="843"/>
      <c r="I31" s="435"/>
      <c r="J31" s="834"/>
    </row>
    <row r="32" spans="1:10">
      <c r="A32" s="834"/>
      <c r="B32" s="831"/>
      <c r="C32" s="829"/>
      <c r="D32" s="832"/>
      <c r="E32" s="844" t="s">
        <v>2907</v>
      </c>
      <c r="F32" s="435"/>
      <c r="G32" s="829"/>
      <c r="H32" s="832"/>
      <c r="I32" s="844" t="s">
        <v>3022</v>
      </c>
      <c r="J32" s="834"/>
    </row>
    <row r="33" spans="1:10" ht="18.75" customHeight="1">
      <c r="A33" s="834"/>
      <c r="B33" s="831">
        <v>1</v>
      </c>
      <c r="C33" s="829">
        <v>5.7</v>
      </c>
      <c r="D33" s="832"/>
      <c r="E33" s="833"/>
      <c r="F33" s="435">
        <v>1</v>
      </c>
      <c r="G33" s="829">
        <v>4.9000000000000004</v>
      </c>
      <c r="H33" s="832"/>
      <c r="I33" s="833" t="s">
        <v>3140</v>
      </c>
      <c r="J33" s="834"/>
    </row>
    <row r="34" spans="1:10">
      <c r="A34" s="834"/>
      <c r="B34" s="831"/>
      <c r="C34" s="829">
        <v>0.9</v>
      </c>
      <c r="D34" s="832"/>
      <c r="E34" s="833"/>
      <c r="F34" s="435"/>
      <c r="G34" s="829">
        <v>3.45</v>
      </c>
      <c r="H34" s="832">
        <f>F33*G33*G34</f>
        <v>16.905000000000001</v>
      </c>
      <c r="I34" s="833" t="s">
        <v>3141</v>
      </c>
      <c r="J34" s="834"/>
    </row>
    <row r="35" spans="1:10">
      <c r="A35" s="834"/>
      <c r="B35" s="831"/>
      <c r="C35" s="829">
        <v>0.5</v>
      </c>
      <c r="D35" s="832">
        <f>B33*C33*C34*C35</f>
        <v>2.5649999999999999</v>
      </c>
      <c r="E35" s="833"/>
      <c r="F35" s="1657"/>
      <c r="G35" s="848"/>
      <c r="H35" s="843"/>
      <c r="I35" s="435"/>
      <c r="J35" s="834"/>
    </row>
    <row r="36" spans="1:10" ht="18.75" customHeight="1">
      <c r="A36" s="834"/>
      <c r="B36" s="435"/>
      <c r="C36" s="435"/>
      <c r="D36" s="435"/>
      <c r="E36" s="435"/>
      <c r="F36" s="839"/>
      <c r="G36" s="839"/>
      <c r="H36" s="838">
        <f>H34</f>
        <v>16.905000000000001</v>
      </c>
      <c r="I36" s="845" t="s">
        <v>3178</v>
      </c>
      <c r="J36" s="834"/>
    </row>
    <row r="37" spans="1:10">
      <c r="A37" s="834"/>
      <c r="B37" s="831">
        <v>2</v>
      </c>
      <c r="C37" s="829">
        <v>3.95</v>
      </c>
      <c r="D37" s="832"/>
      <c r="E37" s="435"/>
      <c r="F37" s="1657"/>
      <c r="G37" s="848"/>
      <c r="H37" s="843"/>
      <c r="I37" s="435"/>
      <c r="J37" s="834"/>
    </row>
    <row r="38" spans="1:10">
      <c r="A38" s="834"/>
      <c r="B38" s="831"/>
      <c r="C38" s="829">
        <v>0.9</v>
      </c>
      <c r="D38" s="832"/>
      <c r="E38" s="435"/>
      <c r="F38" s="1657"/>
      <c r="G38" s="848"/>
      <c r="H38" s="843"/>
      <c r="I38" s="435"/>
      <c r="J38" s="834"/>
    </row>
    <row r="39" spans="1:10">
      <c r="A39" s="834"/>
      <c r="B39" s="831"/>
      <c r="C39" s="829">
        <v>0.5</v>
      </c>
      <c r="D39" s="832">
        <f>B37*C37*C38*C39</f>
        <v>3.5550000000000002</v>
      </c>
      <c r="E39" s="435"/>
      <c r="F39" s="1657"/>
      <c r="G39" s="848"/>
      <c r="H39" s="843"/>
      <c r="I39" s="435"/>
      <c r="J39" s="834"/>
    </row>
    <row r="40" spans="1:10">
      <c r="A40" s="834"/>
      <c r="B40" s="435"/>
      <c r="C40" s="1657"/>
      <c r="D40" s="1657"/>
      <c r="E40" s="435"/>
      <c r="F40" s="1657"/>
      <c r="G40" s="848"/>
      <c r="H40" s="843"/>
      <c r="I40" s="435"/>
      <c r="J40" s="834"/>
    </row>
    <row r="41" spans="1:10">
      <c r="A41" s="834"/>
      <c r="B41" s="435"/>
      <c r="C41" s="1657"/>
      <c r="D41" s="848">
        <f>SUM(D35:D39)</f>
        <v>6.12</v>
      </c>
      <c r="E41" s="435"/>
      <c r="F41" s="1657"/>
      <c r="G41" s="848"/>
      <c r="H41" s="843"/>
      <c r="I41" s="435"/>
      <c r="J41" s="834"/>
    </row>
    <row r="42" spans="1:10">
      <c r="A42" s="834"/>
      <c r="B42" s="435"/>
      <c r="C42" s="1657"/>
      <c r="D42" s="1657"/>
      <c r="E42" s="435"/>
      <c r="F42" s="1657"/>
      <c r="G42" s="848"/>
      <c r="H42" s="843"/>
      <c r="I42" s="435"/>
      <c r="J42" s="834"/>
    </row>
    <row r="43" spans="1:10">
      <c r="A43" s="834"/>
      <c r="B43" s="435"/>
      <c r="C43" s="1657"/>
      <c r="D43" s="1657"/>
      <c r="E43" s="435" t="s">
        <v>3420</v>
      </c>
      <c r="F43" s="1657"/>
      <c r="G43" s="848"/>
      <c r="H43" s="843"/>
      <c r="I43" s="435"/>
      <c r="J43" s="834"/>
    </row>
    <row r="44" spans="1:10">
      <c r="A44" s="834"/>
      <c r="B44" s="831">
        <v>4</v>
      </c>
      <c r="C44" s="829">
        <v>5.2</v>
      </c>
      <c r="D44" s="832"/>
      <c r="E44" s="435"/>
      <c r="F44" s="1657"/>
      <c r="G44" s="848"/>
      <c r="H44" s="843"/>
      <c r="I44" s="435"/>
      <c r="J44" s="834"/>
    </row>
    <row r="45" spans="1:10">
      <c r="A45" s="834"/>
      <c r="B45" s="831"/>
      <c r="C45" s="829">
        <v>0.25</v>
      </c>
      <c r="D45" s="832"/>
      <c r="E45" s="435"/>
      <c r="F45" s="1657"/>
      <c r="G45" s="848"/>
      <c r="H45" s="843"/>
      <c r="I45" s="435"/>
      <c r="J45" s="834"/>
    </row>
    <row r="46" spans="1:10">
      <c r="A46" s="834"/>
      <c r="B46" s="831"/>
      <c r="C46" s="829">
        <v>0.6</v>
      </c>
      <c r="D46" s="832">
        <f>B44*C44*C45*C46</f>
        <v>3.12</v>
      </c>
      <c r="E46" s="435"/>
      <c r="F46" s="1657"/>
      <c r="G46" s="848"/>
      <c r="H46" s="843"/>
      <c r="I46" s="435"/>
      <c r="J46" s="834"/>
    </row>
    <row r="47" spans="1:10">
      <c r="A47" s="834"/>
      <c r="B47" s="435"/>
      <c r="C47" s="435"/>
      <c r="D47" s="435"/>
      <c r="E47" s="435"/>
      <c r="F47" s="1657"/>
      <c r="G47" s="848"/>
      <c r="H47" s="843"/>
      <c r="I47" s="435"/>
      <c r="J47" s="834"/>
    </row>
    <row r="48" spans="1:10">
      <c r="A48" s="834"/>
      <c r="B48" s="831">
        <v>4</v>
      </c>
      <c r="C48" s="829">
        <v>3.95</v>
      </c>
      <c r="D48" s="832"/>
      <c r="E48" s="435"/>
      <c r="F48" s="1657"/>
      <c r="G48" s="848"/>
      <c r="H48" s="843"/>
      <c r="I48" s="435"/>
      <c r="J48" s="834"/>
    </row>
    <row r="49" spans="1:10">
      <c r="A49" s="834"/>
      <c r="B49" s="831"/>
      <c r="C49" s="829">
        <v>0.25</v>
      </c>
      <c r="D49" s="832"/>
      <c r="E49" s="435"/>
      <c r="F49" s="1657"/>
      <c r="G49" s="848"/>
      <c r="H49" s="843"/>
      <c r="I49" s="435"/>
      <c r="J49" s="834"/>
    </row>
    <row r="50" spans="1:10">
      <c r="A50" s="834"/>
      <c r="B50" s="831"/>
      <c r="C50" s="829">
        <v>0.6</v>
      </c>
      <c r="D50" s="832">
        <f>B48*C48*C49*C50</f>
        <v>2.37</v>
      </c>
      <c r="E50" s="435"/>
      <c r="F50" s="1657"/>
      <c r="G50" s="848"/>
      <c r="H50" s="843"/>
      <c r="I50" s="435"/>
      <c r="J50" s="834"/>
    </row>
    <row r="51" spans="1:10">
      <c r="A51" s="834"/>
      <c r="B51" s="435"/>
      <c r="C51" s="1657"/>
      <c r="D51" s="1657"/>
      <c r="E51" s="435"/>
      <c r="F51" s="1657"/>
      <c r="G51" s="848"/>
      <c r="H51" s="843"/>
      <c r="I51" s="435"/>
      <c r="J51" s="834"/>
    </row>
    <row r="52" spans="1:10">
      <c r="A52" s="834"/>
      <c r="B52" s="435"/>
      <c r="C52" s="1657"/>
      <c r="D52" s="848">
        <f>SUM(D46:D50)</f>
        <v>5.49</v>
      </c>
      <c r="E52" s="435"/>
      <c r="F52" s="1657"/>
      <c r="G52" s="848"/>
      <c r="H52" s="843"/>
      <c r="I52" s="435"/>
      <c r="J52" s="834"/>
    </row>
    <row r="53" spans="1:10">
      <c r="A53" s="834"/>
      <c r="B53" s="435"/>
      <c r="C53" s="1657"/>
      <c r="D53" s="1657"/>
      <c r="E53" s="435"/>
      <c r="F53" s="1657"/>
      <c r="G53" s="848"/>
      <c r="H53" s="843"/>
      <c r="I53" s="435"/>
      <c r="J53" s="834"/>
    </row>
    <row r="54" spans="1:10">
      <c r="A54" s="834"/>
      <c r="B54" s="435"/>
      <c r="C54" s="1657"/>
      <c r="D54" s="1657"/>
      <c r="E54" s="435" t="s">
        <v>3421</v>
      </c>
      <c r="F54" s="1657"/>
      <c r="G54" s="848"/>
      <c r="H54" s="843"/>
      <c r="I54" s="435"/>
      <c r="J54" s="834"/>
    </row>
    <row r="55" spans="1:10">
      <c r="A55" s="834"/>
      <c r="B55" s="831">
        <v>1</v>
      </c>
      <c r="C55" s="829">
        <v>5</v>
      </c>
      <c r="D55" s="832"/>
      <c r="E55" s="435"/>
      <c r="F55" s="1657"/>
      <c r="G55" s="848"/>
      <c r="H55" s="843"/>
      <c r="I55" s="435"/>
      <c r="J55" s="834"/>
    </row>
    <row r="56" spans="1:10">
      <c r="A56" s="834"/>
      <c r="B56" s="831"/>
      <c r="C56" s="829">
        <v>3.75</v>
      </c>
      <c r="D56" s="832"/>
      <c r="E56" s="435"/>
      <c r="F56" s="1657"/>
      <c r="G56" s="848"/>
      <c r="H56" s="843"/>
      <c r="I56" s="435"/>
      <c r="J56" s="834"/>
    </row>
    <row r="57" spans="1:10">
      <c r="A57" s="834"/>
      <c r="B57" s="831"/>
      <c r="C57" s="829">
        <v>0.5</v>
      </c>
      <c r="D57" s="832">
        <f>B55*C55*C56*C57</f>
        <v>9.375</v>
      </c>
      <c r="E57" s="435"/>
      <c r="F57" s="1657"/>
      <c r="G57" s="848"/>
      <c r="H57" s="843"/>
      <c r="I57" s="435"/>
      <c r="J57" s="834"/>
    </row>
    <row r="58" spans="1:10">
      <c r="A58" s="834"/>
      <c r="B58" s="435"/>
      <c r="C58" s="1657"/>
      <c r="D58" s="1657"/>
      <c r="E58" s="435"/>
      <c r="F58" s="1657"/>
      <c r="G58" s="848"/>
      <c r="H58" s="843"/>
      <c r="I58" s="435"/>
      <c r="J58" s="834"/>
    </row>
    <row r="59" spans="1:10">
      <c r="A59" s="834"/>
      <c r="B59" s="839"/>
      <c r="C59" s="839"/>
      <c r="D59" s="838">
        <f>D57+D52+D41</f>
        <v>20.984999999999999</v>
      </c>
      <c r="E59" s="845" t="s">
        <v>2878</v>
      </c>
      <c r="F59" s="1657"/>
      <c r="G59" s="848"/>
      <c r="H59" s="843"/>
      <c r="I59" s="435"/>
      <c r="J59" s="834"/>
    </row>
    <row r="60" spans="1:10">
      <c r="A60" s="834"/>
      <c r="B60" s="435"/>
      <c r="C60" s="1657"/>
      <c r="D60" s="1657"/>
      <c r="E60" s="435"/>
      <c r="F60" s="1657"/>
      <c r="G60" s="848"/>
      <c r="H60" s="843"/>
      <c r="I60" s="435"/>
      <c r="J60" s="834"/>
    </row>
    <row r="61" spans="1:10">
      <c r="A61" s="834"/>
      <c r="B61" s="435"/>
      <c r="C61" s="1657"/>
      <c r="D61" s="1657"/>
      <c r="E61" s="435"/>
      <c r="F61" s="435"/>
      <c r="G61" s="829"/>
      <c r="H61" s="832"/>
      <c r="I61" s="844"/>
      <c r="J61" s="834"/>
    </row>
    <row r="62" spans="1:10">
      <c r="A62" s="834"/>
      <c r="B62" s="435"/>
      <c r="C62" s="1657"/>
      <c r="D62" s="1657"/>
      <c r="E62" s="435"/>
      <c r="F62" s="435"/>
      <c r="G62" s="829"/>
      <c r="H62" s="832"/>
      <c r="I62" s="844"/>
      <c r="J62" s="834"/>
    </row>
    <row r="63" spans="1:10">
      <c r="A63" s="834"/>
      <c r="B63" s="435"/>
      <c r="C63" s="1657"/>
      <c r="D63" s="1657"/>
      <c r="E63" s="435"/>
      <c r="F63" s="435"/>
      <c r="G63" s="829"/>
      <c r="H63" s="832"/>
      <c r="I63" s="844"/>
      <c r="J63" s="834"/>
    </row>
    <row r="64" spans="1:10">
      <c r="A64" s="834"/>
      <c r="B64" s="435"/>
      <c r="C64" s="1657"/>
      <c r="D64" s="1657"/>
      <c r="E64" s="435"/>
      <c r="F64" s="109"/>
      <c r="G64" s="850"/>
      <c r="H64" s="851"/>
      <c r="I64" s="974"/>
      <c r="J64" s="834"/>
    </row>
    <row r="65" spans="1:10">
      <c r="A65" s="1162"/>
      <c r="B65" s="909" t="s">
        <v>1884</v>
      </c>
      <c r="C65" s="911" t="s">
        <v>526</v>
      </c>
      <c r="D65" s="910" t="s">
        <v>1885</v>
      </c>
      <c r="E65" s="911" t="s">
        <v>1886</v>
      </c>
      <c r="F65" s="909" t="s">
        <v>1884</v>
      </c>
      <c r="G65" s="911" t="s">
        <v>526</v>
      </c>
      <c r="H65" s="910" t="s">
        <v>1885</v>
      </c>
      <c r="I65" s="911" t="s">
        <v>1886</v>
      </c>
      <c r="J65" s="1162"/>
    </row>
    <row r="66" spans="1:10">
      <c r="A66" s="834"/>
      <c r="B66" s="831"/>
      <c r="C66" s="829"/>
      <c r="D66" s="832"/>
      <c r="E66" s="844" t="s">
        <v>3239</v>
      </c>
      <c r="F66" s="831"/>
      <c r="G66" s="829"/>
      <c r="H66" s="832"/>
      <c r="I66" s="844" t="s">
        <v>1843</v>
      </c>
    </row>
    <row r="67" spans="1:10">
      <c r="A67" s="834"/>
      <c r="B67" s="831">
        <v>2</v>
      </c>
      <c r="C67" s="829">
        <v>5.4</v>
      </c>
      <c r="D67" s="832"/>
      <c r="E67" s="833"/>
      <c r="F67" s="831"/>
      <c r="G67" s="829"/>
      <c r="H67" s="832"/>
      <c r="I67" s="844" t="s">
        <v>2558</v>
      </c>
    </row>
    <row r="68" spans="1:10">
      <c r="A68" s="834"/>
      <c r="B68" s="831"/>
      <c r="C68" s="829">
        <v>0.25</v>
      </c>
      <c r="D68" s="832"/>
      <c r="E68" s="833"/>
      <c r="F68" s="831">
        <v>2</v>
      </c>
      <c r="G68" s="829">
        <v>5.2</v>
      </c>
      <c r="H68" s="832"/>
      <c r="I68" s="844" t="s">
        <v>3242</v>
      </c>
    </row>
    <row r="69" spans="1:10">
      <c r="A69" s="834"/>
      <c r="B69" s="831"/>
      <c r="C69" s="829">
        <v>0.4</v>
      </c>
      <c r="D69" s="832">
        <f>B67*C67*C68*C69</f>
        <v>1.08</v>
      </c>
      <c r="E69" s="833"/>
      <c r="F69" s="831"/>
      <c r="G69" s="829">
        <v>0.4</v>
      </c>
      <c r="H69" s="832"/>
      <c r="I69" s="844"/>
    </row>
    <row r="70" spans="1:10">
      <c r="A70" s="834"/>
      <c r="B70" s="831"/>
      <c r="C70" s="829"/>
      <c r="D70" s="832"/>
      <c r="E70" s="833"/>
      <c r="F70" s="831"/>
      <c r="G70" s="829">
        <v>0.7</v>
      </c>
      <c r="H70" s="832">
        <f>G70*G69*G68*F68</f>
        <v>2.9119999999999999</v>
      </c>
      <c r="I70" s="833"/>
    </row>
    <row r="71" spans="1:10">
      <c r="A71" s="834"/>
      <c r="B71" s="831">
        <v>2</v>
      </c>
      <c r="C71" s="829">
        <v>3.95</v>
      </c>
      <c r="D71" s="832"/>
      <c r="E71" s="833"/>
      <c r="F71" s="831"/>
      <c r="G71" s="829"/>
      <c r="H71" s="832"/>
      <c r="I71" s="833"/>
    </row>
    <row r="72" spans="1:10">
      <c r="A72" s="834"/>
      <c r="B72" s="831"/>
      <c r="C72" s="829">
        <v>0.25</v>
      </c>
      <c r="D72" s="832"/>
      <c r="E72" s="833"/>
      <c r="F72" s="831">
        <v>2</v>
      </c>
      <c r="G72" s="829">
        <v>3.15</v>
      </c>
      <c r="H72" s="832"/>
      <c r="I72" s="833"/>
    </row>
    <row r="73" spans="1:10">
      <c r="A73" s="834"/>
      <c r="B73" s="831"/>
      <c r="C73" s="829">
        <v>0.4</v>
      </c>
      <c r="D73" s="832">
        <f>B71*C71*C72*C73</f>
        <v>0.79</v>
      </c>
      <c r="E73" s="833"/>
      <c r="F73" s="831"/>
      <c r="G73" s="829">
        <v>0.4</v>
      </c>
      <c r="H73" s="832"/>
      <c r="I73" s="833"/>
    </row>
    <row r="74" spans="1:10">
      <c r="A74" s="834"/>
      <c r="B74" s="831"/>
      <c r="C74" s="829"/>
      <c r="D74" s="435"/>
      <c r="E74" s="833"/>
      <c r="F74" s="831"/>
      <c r="G74" s="829">
        <v>0.7</v>
      </c>
      <c r="H74" s="832">
        <f>G74*G73*G72*F72</f>
        <v>1.7639999999999998</v>
      </c>
      <c r="I74" s="833"/>
    </row>
    <row r="75" spans="1:10" ht="18">
      <c r="A75" s="834"/>
      <c r="B75" s="839"/>
      <c r="C75" s="839"/>
      <c r="D75" s="838">
        <f>SUM(D69:D73)</f>
        <v>1.87</v>
      </c>
      <c r="E75" s="845" t="s">
        <v>3245</v>
      </c>
      <c r="F75" s="831"/>
      <c r="G75" s="829"/>
      <c r="H75" s="832"/>
      <c r="I75" s="833"/>
    </row>
    <row r="76" spans="1:10" ht="18.75" customHeight="1">
      <c r="A76" s="834"/>
      <c r="B76" s="435"/>
      <c r="C76" s="435"/>
      <c r="D76" s="435"/>
      <c r="E76" s="435"/>
      <c r="F76" s="839"/>
      <c r="G76" s="839"/>
      <c r="H76" s="838">
        <f>SUM(H70:H74)</f>
        <v>4.6760000000000002</v>
      </c>
      <c r="I76" s="845" t="s">
        <v>3205</v>
      </c>
    </row>
    <row r="77" spans="1:10">
      <c r="A77" s="834"/>
      <c r="B77" s="831"/>
      <c r="C77" s="829"/>
      <c r="D77" s="832"/>
      <c r="E77" s="844" t="s">
        <v>3246</v>
      </c>
      <c r="F77" s="831"/>
      <c r="G77" s="829"/>
      <c r="H77" s="832"/>
      <c r="I77" s="833"/>
    </row>
    <row r="78" spans="1:10">
      <c r="A78" s="834"/>
      <c r="B78" s="831"/>
      <c r="C78" s="829"/>
      <c r="D78" s="832"/>
      <c r="E78" s="844" t="s">
        <v>3240</v>
      </c>
      <c r="F78" s="831"/>
      <c r="G78" s="829"/>
      <c r="H78" s="832"/>
      <c r="I78" s="833" t="s">
        <v>3243</v>
      </c>
    </row>
    <row r="79" spans="1:10">
      <c r="A79" s="834"/>
      <c r="B79" s="831">
        <v>4</v>
      </c>
      <c r="C79" s="829">
        <v>5.4</v>
      </c>
      <c r="D79" s="832"/>
      <c r="E79" s="833"/>
      <c r="F79" s="831">
        <v>2</v>
      </c>
      <c r="G79" s="829">
        <v>5.2</v>
      </c>
      <c r="H79" s="832"/>
      <c r="I79" s="833"/>
    </row>
    <row r="80" spans="1:10">
      <c r="A80" s="834"/>
      <c r="B80" s="831"/>
      <c r="C80" s="829">
        <v>0.4</v>
      </c>
      <c r="D80" s="832">
        <f>B79*C79*C80</f>
        <v>8.64</v>
      </c>
      <c r="E80" s="833"/>
      <c r="F80" s="831"/>
      <c r="G80" s="829">
        <v>0.4</v>
      </c>
      <c r="H80" s="832"/>
      <c r="I80" s="833"/>
    </row>
    <row r="81" spans="1:10">
      <c r="A81" s="834"/>
      <c r="B81" s="831"/>
      <c r="C81" s="829"/>
      <c r="D81" s="832"/>
      <c r="E81" s="833"/>
      <c r="F81" s="831"/>
      <c r="G81" s="829">
        <v>0.35</v>
      </c>
      <c r="H81" s="832">
        <f>F79*G79*G80*G81</f>
        <v>1.456</v>
      </c>
      <c r="I81" s="833"/>
    </row>
    <row r="82" spans="1:10">
      <c r="A82" s="834"/>
      <c r="B82" s="831">
        <v>4</v>
      </c>
      <c r="C82" s="829">
        <v>3.95</v>
      </c>
      <c r="D82" s="832"/>
      <c r="E82" s="833"/>
      <c r="F82" s="831"/>
      <c r="G82" s="829"/>
      <c r="H82" s="832"/>
      <c r="I82" s="833"/>
      <c r="J82" s="834"/>
    </row>
    <row r="83" spans="1:10">
      <c r="A83" s="834"/>
      <c r="B83" s="831"/>
      <c r="C83" s="829">
        <v>0.4</v>
      </c>
      <c r="D83" s="832">
        <f>B82*C82*C83</f>
        <v>6.32</v>
      </c>
      <c r="E83" s="833"/>
      <c r="F83" s="831">
        <v>2</v>
      </c>
      <c r="G83" s="829">
        <v>3.15</v>
      </c>
      <c r="H83" s="832"/>
      <c r="I83" s="833"/>
      <c r="J83" s="834"/>
    </row>
    <row r="84" spans="1:10">
      <c r="A84" s="834"/>
      <c r="B84" s="831"/>
      <c r="C84" s="829"/>
      <c r="D84" s="435"/>
      <c r="E84" s="833"/>
      <c r="F84" s="831"/>
      <c r="G84" s="829">
        <v>0.4</v>
      </c>
      <c r="H84" s="832"/>
      <c r="I84" s="833"/>
      <c r="J84" s="834"/>
    </row>
    <row r="85" spans="1:10">
      <c r="A85" s="834"/>
      <c r="B85" s="831">
        <v>-4</v>
      </c>
      <c r="C85" s="829">
        <v>0.25</v>
      </c>
      <c r="D85" s="832"/>
      <c r="E85" s="833" t="s">
        <v>3241</v>
      </c>
      <c r="F85" s="831"/>
      <c r="G85" s="829">
        <v>0.35</v>
      </c>
      <c r="H85" s="832">
        <f>F83*G83*G84*G85</f>
        <v>0.8819999999999999</v>
      </c>
      <c r="I85" s="833"/>
      <c r="J85" s="834"/>
    </row>
    <row r="86" spans="1:10">
      <c r="A86" s="834"/>
      <c r="B86" s="831"/>
      <c r="C86" s="829">
        <v>0.4</v>
      </c>
      <c r="D86" s="832">
        <f>C86*C85*B85</f>
        <v>-0.4</v>
      </c>
      <c r="E86" s="833"/>
      <c r="F86" s="435"/>
      <c r="G86" s="435"/>
      <c r="H86" s="435"/>
      <c r="I86" s="435"/>
      <c r="J86" s="834"/>
    </row>
    <row r="87" spans="1:10" ht="19.5" customHeight="1">
      <c r="A87" s="834"/>
      <c r="B87" s="435"/>
      <c r="C87" s="435"/>
      <c r="D87" s="435"/>
      <c r="E87" s="435"/>
      <c r="F87" s="839"/>
      <c r="G87" s="839"/>
      <c r="H87" s="838">
        <f>SUM(H81:H85)</f>
        <v>2.3380000000000001</v>
      </c>
      <c r="I87" s="845" t="s">
        <v>3167</v>
      </c>
      <c r="J87" s="834"/>
    </row>
    <row r="88" spans="1:10" ht="18">
      <c r="A88" s="834"/>
      <c r="B88" s="839"/>
      <c r="C88" s="839"/>
      <c r="D88" s="838">
        <f>D86+D83+D80</f>
        <v>14.56</v>
      </c>
      <c r="E88" s="845" t="s">
        <v>3191</v>
      </c>
      <c r="F88" s="831"/>
      <c r="G88" s="829"/>
      <c r="H88" s="832"/>
      <c r="I88" s="833"/>
      <c r="J88" s="834"/>
    </row>
    <row r="89" spans="1:10">
      <c r="A89" s="834"/>
      <c r="B89" s="831"/>
      <c r="C89" s="829"/>
      <c r="D89" s="832"/>
      <c r="E89" s="833"/>
      <c r="F89" s="831"/>
      <c r="G89" s="829"/>
      <c r="H89" s="832"/>
      <c r="I89" s="833"/>
      <c r="J89" s="834"/>
    </row>
    <row r="90" spans="1:10">
      <c r="A90" s="834"/>
      <c r="B90" s="435"/>
      <c r="C90" s="829"/>
      <c r="D90" s="832"/>
      <c r="E90" s="844" t="s">
        <v>3422</v>
      </c>
      <c r="F90" s="831"/>
      <c r="G90" s="829"/>
      <c r="H90" s="832"/>
      <c r="I90" s="833"/>
      <c r="J90" s="834"/>
    </row>
    <row r="91" spans="1:10">
      <c r="A91" s="834"/>
      <c r="B91" s="435"/>
      <c r="C91" s="829"/>
      <c r="D91" s="832"/>
      <c r="E91" s="833" t="s">
        <v>1916</v>
      </c>
      <c r="F91" s="831"/>
      <c r="G91" s="829"/>
      <c r="H91" s="832"/>
      <c r="I91" s="833"/>
      <c r="J91" s="834"/>
    </row>
    <row r="92" spans="1:10">
      <c r="A92" s="834"/>
      <c r="B92" s="435">
        <v>2</v>
      </c>
      <c r="C92" s="829">
        <v>5</v>
      </c>
      <c r="D92" s="832"/>
      <c r="E92" s="833" t="s">
        <v>3145</v>
      </c>
      <c r="F92" s="831"/>
      <c r="G92" s="829"/>
      <c r="H92" s="832"/>
      <c r="I92" s="833"/>
      <c r="J92" s="834"/>
    </row>
    <row r="93" spans="1:10">
      <c r="A93" s="834"/>
      <c r="B93" s="435"/>
      <c r="C93" s="829"/>
      <c r="D93" s="832">
        <f>B92*C92</f>
        <v>10</v>
      </c>
      <c r="E93" s="833"/>
      <c r="F93" s="831"/>
      <c r="G93" s="829"/>
      <c r="H93" s="832"/>
      <c r="I93" s="833"/>
      <c r="J93" s="834"/>
    </row>
    <row r="94" spans="1:10">
      <c r="A94" s="834"/>
      <c r="B94" s="435"/>
      <c r="C94" s="829"/>
      <c r="D94" s="832"/>
      <c r="E94" s="833" t="s">
        <v>1914</v>
      </c>
      <c r="F94" s="831"/>
      <c r="G94" s="829"/>
      <c r="H94" s="832"/>
      <c r="I94" s="833"/>
      <c r="J94" s="834"/>
    </row>
    <row r="95" spans="1:10">
      <c r="A95" s="834"/>
      <c r="B95" s="435">
        <v>2</v>
      </c>
      <c r="C95" s="829">
        <v>3.75</v>
      </c>
      <c r="D95" s="832"/>
      <c r="E95" s="833" t="s">
        <v>3142</v>
      </c>
      <c r="F95" s="831"/>
      <c r="G95" s="829"/>
      <c r="H95" s="832"/>
      <c r="I95" s="833"/>
      <c r="J95" s="834"/>
    </row>
    <row r="96" spans="1:10">
      <c r="A96" s="834"/>
      <c r="B96" s="435"/>
      <c r="C96" s="829"/>
      <c r="D96" s="832">
        <f>B95*C95</f>
        <v>7.5</v>
      </c>
      <c r="E96" s="833"/>
      <c r="F96" s="831"/>
      <c r="G96" s="829"/>
      <c r="H96" s="832"/>
      <c r="I96" s="833"/>
      <c r="J96" s="834"/>
    </row>
    <row r="97" spans="1:10">
      <c r="A97" s="834"/>
      <c r="B97" s="435"/>
      <c r="C97" s="829"/>
      <c r="D97" s="832"/>
      <c r="E97" s="833"/>
      <c r="F97" s="831"/>
      <c r="G97" s="829"/>
      <c r="H97" s="832"/>
      <c r="I97" s="833"/>
      <c r="J97" s="834"/>
    </row>
    <row r="98" spans="1:10">
      <c r="A98" s="834"/>
      <c r="B98" s="839"/>
      <c r="C98" s="839"/>
      <c r="D98" s="838">
        <f>D96+D93</f>
        <v>17.5</v>
      </c>
      <c r="E98" s="845" t="s">
        <v>3031</v>
      </c>
      <c r="F98" s="831"/>
      <c r="G98" s="829"/>
      <c r="H98" s="832"/>
      <c r="I98" s="833"/>
      <c r="J98" s="834"/>
    </row>
    <row r="99" spans="1:10">
      <c r="A99" s="834"/>
      <c r="B99" s="435"/>
      <c r="C99" s="1657"/>
      <c r="D99" s="1657"/>
      <c r="E99" s="435"/>
      <c r="F99" s="831"/>
      <c r="G99" s="829"/>
      <c r="H99" s="832"/>
      <c r="I99" s="833"/>
      <c r="J99" s="834"/>
    </row>
    <row r="100" spans="1:10">
      <c r="A100" s="834"/>
      <c r="B100" s="435"/>
      <c r="C100" s="1657"/>
      <c r="D100" s="1657"/>
      <c r="E100" s="435"/>
      <c r="F100" s="831"/>
      <c r="G100" s="829"/>
      <c r="H100" s="832"/>
      <c r="I100" s="833"/>
      <c r="J100" s="834"/>
    </row>
    <row r="101" spans="1:10">
      <c r="A101" s="834"/>
      <c r="B101" s="435"/>
      <c r="C101" s="1657"/>
      <c r="D101" s="1657"/>
      <c r="E101" s="435"/>
      <c r="F101" s="831"/>
      <c r="G101" s="829"/>
      <c r="H101" s="832"/>
      <c r="I101" s="833"/>
      <c r="J101" s="834"/>
    </row>
    <row r="102" spans="1:10">
      <c r="A102" s="834"/>
      <c r="B102" s="435"/>
      <c r="C102" s="1657"/>
      <c r="D102" s="1657"/>
      <c r="E102" s="435"/>
      <c r="F102" s="831"/>
      <c r="G102" s="829"/>
      <c r="H102" s="832"/>
      <c r="I102" s="833"/>
      <c r="J102" s="834"/>
    </row>
    <row r="103" spans="1:10">
      <c r="A103" s="834"/>
      <c r="B103" s="435"/>
      <c r="C103" s="1657"/>
      <c r="D103" s="1657"/>
      <c r="E103" s="435"/>
      <c r="F103" s="831"/>
      <c r="G103" s="829"/>
      <c r="H103" s="832"/>
      <c r="I103" s="833"/>
      <c r="J103" s="834"/>
    </row>
    <row r="104" spans="1:10">
      <c r="A104" s="834"/>
      <c r="B104" s="435"/>
      <c r="C104" s="1657"/>
      <c r="D104" s="1657"/>
      <c r="E104" s="435"/>
      <c r="F104" s="831"/>
      <c r="G104" s="829"/>
      <c r="H104" s="832"/>
      <c r="I104" s="833"/>
      <c r="J104" s="834"/>
    </row>
    <row r="105" spans="1:10">
      <c r="A105" s="834"/>
      <c r="B105" s="435"/>
      <c r="C105" s="1657"/>
      <c r="D105" s="1657"/>
      <c r="E105" s="435"/>
      <c r="F105" s="831"/>
      <c r="G105" s="829"/>
      <c r="H105" s="832"/>
      <c r="I105" s="833"/>
      <c r="J105" s="834"/>
    </row>
    <row r="106" spans="1:10">
      <c r="A106" s="834"/>
      <c r="B106" s="435"/>
      <c r="C106" s="1657"/>
      <c r="D106" s="1657"/>
      <c r="E106" s="435"/>
      <c r="F106" s="831"/>
      <c r="G106" s="829"/>
      <c r="H106" s="832"/>
      <c r="I106" s="833"/>
      <c r="J106" s="834" t="e">
        <f>#REF!*#REF!</f>
        <v>#REF!</v>
      </c>
    </row>
    <row r="107" spans="1:10">
      <c r="A107" s="834"/>
      <c r="B107" s="435"/>
      <c r="C107" s="1657"/>
      <c r="D107" s="1657"/>
      <c r="E107" s="435"/>
      <c r="F107" s="831"/>
      <c r="G107" s="829"/>
      <c r="H107" s="832"/>
      <c r="I107" s="435"/>
      <c r="J107" s="834"/>
    </row>
    <row r="108" spans="1:10">
      <c r="A108" s="834"/>
      <c r="B108" s="435"/>
      <c r="C108" s="1657"/>
      <c r="D108" s="1657"/>
      <c r="E108" s="435"/>
      <c r="F108" s="831"/>
      <c r="G108" s="829"/>
      <c r="H108" s="832"/>
      <c r="I108" s="435"/>
      <c r="J108" s="834"/>
    </row>
    <row r="109" spans="1:10">
      <c r="A109" s="834"/>
      <c r="B109" s="435"/>
      <c r="C109" s="1657"/>
      <c r="D109" s="1657"/>
      <c r="E109" s="435"/>
      <c r="F109" s="831"/>
      <c r="G109" s="829"/>
      <c r="H109" s="832"/>
      <c r="I109" s="435"/>
      <c r="J109" s="834"/>
    </row>
    <row r="110" spans="1:10">
      <c r="A110" s="834"/>
      <c r="B110" s="435"/>
      <c r="C110" s="1657"/>
      <c r="D110" s="1657"/>
      <c r="E110" s="435"/>
      <c r="F110" s="831"/>
      <c r="G110" s="829"/>
      <c r="H110" s="832"/>
      <c r="I110" s="435"/>
      <c r="J110" s="834"/>
    </row>
    <row r="111" spans="1:10">
      <c r="A111" s="834"/>
      <c r="B111" s="435"/>
      <c r="C111" s="1657"/>
      <c r="D111" s="1657"/>
      <c r="E111" s="435"/>
      <c r="F111" s="831"/>
      <c r="G111" s="829"/>
      <c r="H111" s="832"/>
      <c r="I111" s="435"/>
      <c r="J111" s="834"/>
    </row>
    <row r="112" spans="1:10">
      <c r="A112" s="834"/>
      <c r="B112" s="831"/>
      <c r="C112" s="829"/>
      <c r="D112" s="832"/>
      <c r="E112" s="833"/>
      <c r="F112" s="1657"/>
      <c r="G112" s="848"/>
      <c r="H112" s="843"/>
      <c r="I112" s="435"/>
      <c r="J112" s="834"/>
    </row>
    <row r="113" spans="1:11">
      <c r="A113" s="834"/>
      <c r="B113" s="831"/>
      <c r="C113" s="829"/>
      <c r="D113" s="832"/>
      <c r="E113" s="833"/>
      <c r="F113" s="1657"/>
      <c r="G113" s="848"/>
      <c r="H113" s="843"/>
      <c r="I113" s="435"/>
      <c r="J113" s="834"/>
    </row>
    <row r="114" spans="1:11">
      <c r="A114" s="834"/>
      <c r="B114" s="831"/>
      <c r="C114" s="829"/>
      <c r="D114" s="832"/>
      <c r="E114" s="833"/>
      <c r="F114" s="1657"/>
      <c r="G114" s="848"/>
      <c r="H114" s="843"/>
      <c r="I114" s="435"/>
      <c r="J114" s="834"/>
    </row>
    <row r="115" spans="1:11">
      <c r="A115" s="834"/>
      <c r="B115" s="831"/>
      <c r="C115" s="829"/>
      <c r="D115" s="832"/>
      <c r="E115" s="833"/>
      <c r="F115" s="1657"/>
      <c r="G115" s="848"/>
      <c r="H115" s="843"/>
      <c r="I115" s="435"/>
      <c r="J115" s="834"/>
    </row>
    <row r="116" spans="1:11">
      <c r="A116" s="834"/>
      <c r="B116" s="849"/>
      <c r="C116" s="850"/>
      <c r="D116" s="851"/>
      <c r="E116" s="852"/>
      <c r="F116" s="860"/>
      <c r="G116" s="927"/>
      <c r="H116" s="928"/>
      <c r="I116" s="109"/>
      <c r="J116" s="834"/>
    </row>
    <row r="117" spans="1:11">
      <c r="A117" s="834"/>
      <c r="B117" s="841"/>
      <c r="C117" s="840"/>
      <c r="D117" s="830"/>
      <c r="E117" s="842"/>
      <c r="J117" s="834"/>
      <c r="K117" s="834"/>
    </row>
    <row r="118" spans="1:11">
      <c r="C118" s="840"/>
      <c r="D118" s="830"/>
      <c r="E118" s="1980"/>
    </row>
    <row r="119" spans="1:11">
      <c r="C119" s="840"/>
      <c r="D119" s="830"/>
      <c r="E119" s="1980"/>
    </row>
    <row r="120" spans="1:11">
      <c r="C120" s="840"/>
      <c r="D120" s="830"/>
      <c r="E120" s="1980"/>
    </row>
    <row r="121" spans="1:11">
      <c r="C121" s="840"/>
      <c r="D121" s="830"/>
      <c r="E121" s="1980"/>
    </row>
    <row r="122" spans="1:11">
      <c r="C122" s="840"/>
      <c r="D122" s="830"/>
      <c r="E122" s="1980"/>
    </row>
    <row r="123" spans="1:11">
      <c r="C123" s="840"/>
      <c r="D123" s="830"/>
      <c r="E123" s="1980"/>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4" max="9"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1"/>
  <sheetViews>
    <sheetView view="pageBreakPreview" zoomScale="85" zoomScaleNormal="115" zoomScaleSheetLayoutView="85" zoomScalePageLayoutView="85" workbookViewId="0">
      <selection activeCell="H1" sqref="H1:I1"/>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41"/>
      <c r="H1" s="941"/>
      <c r="I1" s="942"/>
      <c r="J1" s="820"/>
    </row>
    <row r="2" spans="1:10">
      <c r="A2" s="818"/>
      <c r="B2" s="2059" t="s">
        <v>1917</v>
      </c>
      <c r="C2" s="2059"/>
      <c r="D2" s="2059"/>
      <c r="E2" s="2059"/>
      <c r="F2" s="819"/>
      <c r="G2" s="941"/>
      <c r="J2" s="818"/>
    </row>
    <row r="3" spans="1:10">
      <c r="A3" s="818"/>
      <c r="B3" s="2059" t="s">
        <v>1920</v>
      </c>
      <c r="C3" s="2059"/>
      <c r="D3" s="2059"/>
      <c r="E3" s="2059"/>
      <c r="F3" s="2059"/>
      <c r="G3" s="941"/>
      <c r="H3" s="2060" t="s">
        <v>2456</v>
      </c>
      <c r="I3" s="2060"/>
      <c r="J3" s="818"/>
    </row>
    <row r="4" spans="1:10">
      <c r="A4" s="818"/>
      <c r="B4" s="2059" t="s">
        <v>1921</v>
      </c>
      <c r="C4" s="2059"/>
      <c r="D4" s="2059"/>
      <c r="E4" s="2059"/>
      <c r="F4" s="819"/>
      <c r="G4" s="941"/>
      <c r="H4" s="2089"/>
      <c r="I4" s="2089"/>
      <c r="J4" s="818"/>
    </row>
    <row r="5" spans="1:10">
      <c r="A5" s="818"/>
      <c r="B5" s="824"/>
      <c r="C5" s="941"/>
      <c r="D5" s="941"/>
      <c r="E5" s="825"/>
      <c r="F5" s="819"/>
      <c r="G5" s="941"/>
      <c r="H5" s="827"/>
      <c r="I5" s="940"/>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v>5</v>
      </c>
      <c r="G7" s="829">
        <v>0.8</v>
      </c>
      <c r="H7" s="832"/>
      <c r="I7" s="833"/>
    </row>
    <row r="8" spans="1:10">
      <c r="A8" s="818"/>
      <c r="B8" s="831"/>
      <c r="C8" s="829"/>
      <c r="D8" s="832"/>
      <c r="E8" s="844" t="s">
        <v>25</v>
      </c>
      <c r="F8" s="831"/>
      <c r="G8" s="829">
        <v>0.9</v>
      </c>
      <c r="H8" s="832">
        <f>-G7*G8*F7</f>
        <v>-3.6000000000000005</v>
      </c>
      <c r="I8" s="833" t="s">
        <v>1077</v>
      </c>
    </row>
    <row r="9" spans="1:10">
      <c r="A9" s="818"/>
      <c r="B9" s="831">
        <v>4</v>
      </c>
      <c r="C9" s="829">
        <v>2.73</v>
      </c>
      <c r="D9" s="832"/>
      <c r="E9" s="844" t="s">
        <v>27</v>
      </c>
      <c r="F9" s="831"/>
      <c r="G9" s="829"/>
      <c r="H9" s="832"/>
      <c r="I9" s="833"/>
    </row>
    <row r="10" spans="1:10">
      <c r="A10" s="818"/>
      <c r="B10" s="831"/>
      <c r="C10" s="829">
        <v>0.2</v>
      </c>
      <c r="D10" s="832"/>
      <c r="E10" s="833"/>
      <c r="F10" s="831">
        <v>1</v>
      </c>
      <c r="G10" s="829">
        <v>1.5</v>
      </c>
      <c r="H10" s="832"/>
      <c r="I10" s="833"/>
    </row>
    <row r="11" spans="1:10">
      <c r="A11" s="818"/>
      <c r="B11" s="831"/>
      <c r="C11" s="829">
        <v>0.2</v>
      </c>
      <c r="D11" s="832"/>
      <c r="E11" s="833" t="s">
        <v>738</v>
      </c>
      <c r="F11" s="831"/>
      <c r="G11" s="829">
        <v>2.73</v>
      </c>
      <c r="H11" s="832">
        <f>-G10*G11*F10</f>
        <v>-4.0949999999999998</v>
      </c>
      <c r="I11" s="833" t="s">
        <v>574</v>
      </c>
    </row>
    <row r="12" spans="1:10">
      <c r="A12" s="818"/>
      <c r="B12" s="839"/>
      <c r="C12" s="935"/>
      <c r="D12" s="838">
        <f>B9*C9*C10*C11</f>
        <v>0.43680000000000008</v>
      </c>
      <c r="E12" s="839" t="s">
        <v>2116</v>
      </c>
      <c r="F12" s="831"/>
      <c r="G12" s="829"/>
      <c r="H12" s="832"/>
      <c r="I12" s="833"/>
    </row>
    <row r="13" spans="1:10">
      <c r="A13" s="818"/>
      <c r="B13" s="831"/>
      <c r="C13" s="829"/>
      <c r="D13" s="832"/>
      <c r="E13" s="833"/>
      <c r="F13" s="839"/>
      <c r="G13" s="935"/>
      <c r="H13" s="838">
        <f>SUM(H8:H12)+D51+D54+D57+D60</f>
        <v>46.36</v>
      </c>
      <c r="I13" s="839" t="s">
        <v>2122</v>
      </c>
    </row>
    <row r="14" spans="1:10">
      <c r="A14" s="818"/>
      <c r="B14" s="831"/>
      <c r="C14" s="829"/>
      <c r="D14" s="832"/>
      <c r="E14" s="844" t="s">
        <v>1074</v>
      </c>
      <c r="F14" s="943"/>
      <c r="G14" s="848"/>
      <c r="H14" s="843"/>
      <c r="I14" s="435"/>
    </row>
    <row r="15" spans="1:10">
      <c r="A15" s="818"/>
      <c r="B15" s="831">
        <v>2</v>
      </c>
      <c r="C15" s="829">
        <v>5.4</v>
      </c>
      <c r="D15" s="832"/>
      <c r="E15" s="833" t="s">
        <v>30</v>
      </c>
      <c r="F15" s="831"/>
      <c r="G15" s="829"/>
      <c r="H15" s="832"/>
      <c r="I15" s="844" t="s">
        <v>124</v>
      </c>
    </row>
    <row r="16" spans="1:10">
      <c r="A16" s="818"/>
      <c r="B16" s="831"/>
      <c r="C16" s="829">
        <v>0.3</v>
      </c>
      <c r="D16" s="832"/>
      <c r="E16" s="833" t="s">
        <v>1075</v>
      </c>
      <c r="F16" s="831"/>
      <c r="G16" s="829"/>
      <c r="H16" s="832"/>
      <c r="I16" s="844" t="s">
        <v>125</v>
      </c>
    </row>
    <row r="17" spans="1:9">
      <c r="A17" s="818"/>
      <c r="B17" s="831"/>
      <c r="C17" s="829">
        <v>0.2</v>
      </c>
      <c r="D17" s="832">
        <f>B15*C15*C16*C17</f>
        <v>0.64800000000000013</v>
      </c>
      <c r="E17" s="833"/>
      <c r="F17" s="831">
        <v>1</v>
      </c>
      <c r="G17" s="829">
        <v>6.6</v>
      </c>
      <c r="H17" s="832"/>
      <c r="I17" s="833" t="s">
        <v>1079</v>
      </c>
    </row>
    <row r="18" spans="1:9">
      <c r="A18" s="818"/>
      <c r="B18" s="831"/>
      <c r="C18" s="829"/>
      <c r="D18" s="832"/>
      <c r="E18" s="833"/>
      <c r="F18" s="831"/>
      <c r="G18" s="829">
        <v>5.15</v>
      </c>
      <c r="H18" s="832"/>
      <c r="I18" s="833" t="s">
        <v>1081</v>
      </c>
    </row>
    <row r="19" spans="1:9">
      <c r="A19" s="818"/>
      <c r="B19" s="831">
        <v>2</v>
      </c>
      <c r="C19" s="829">
        <v>3.55</v>
      </c>
      <c r="D19" s="832"/>
      <c r="E19" s="833" t="s">
        <v>496</v>
      </c>
      <c r="F19" s="839"/>
      <c r="G19" s="935"/>
      <c r="H19" s="838">
        <f>G17*G18</f>
        <v>33.99</v>
      </c>
      <c r="I19" s="839" t="s">
        <v>2124</v>
      </c>
    </row>
    <row r="20" spans="1:9">
      <c r="A20" s="818"/>
      <c r="B20" s="831"/>
      <c r="C20" s="829">
        <v>0.3</v>
      </c>
      <c r="D20" s="832"/>
      <c r="E20" s="833" t="s">
        <v>1076</v>
      </c>
      <c r="F20" s="943"/>
      <c r="G20" s="848"/>
      <c r="H20" s="843"/>
      <c r="I20" s="435"/>
    </row>
    <row r="21" spans="1:9">
      <c r="A21" s="818"/>
      <c r="B21" s="831"/>
      <c r="C21" s="829">
        <v>0.2</v>
      </c>
      <c r="D21" s="832">
        <f>B19*C19*C20*C21</f>
        <v>0.42599999999999999</v>
      </c>
      <c r="E21" s="833"/>
      <c r="F21" s="943"/>
      <c r="G21" s="848"/>
      <c r="H21" s="843"/>
      <c r="I21" s="435"/>
    </row>
    <row r="22" spans="1:9">
      <c r="A22" s="818"/>
      <c r="B22" s="435"/>
      <c r="C22" s="943"/>
      <c r="D22" s="943"/>
      <c r="E22" s="435"/>
      <c r="F22" s="831"/>
      <c r="G22" s="829"/>
      <c r="H22" s="832"/>
      <c r="I22" s="844" t="s">
        <v>2457</v>
      </c>
    </row>
    <row r="23" spans="1:9">
      <c r="A23" s="818"/>
      <c r="B23" s="839"/>
      <c r="C23" s="935"/>
      <c r="D23" s="838">
        <f>SUM(D16:D21)</f>
        <v>1.0740000000000001</v>
      </c>
      <c r="E23" s="839" t="s">
        <v>2142</v>
      </c>
      <c r="F23" s="831">
        <v>2</v>
      </c>
      <c r="G23" s="829">
        <v>6.4</v>
      </c>
      <c r="H23" s="832"/>
      <c r="I23" s="833" t="s">
        <v>2100</v>
      </c>
    </row>
    <row r="24" spans="1:9">
      <c r="A24" s="818"/>
      <c r="B24" s="831"/>
      <c r="C24" s="829"/>
      <c r="D24" s="832"/>
      <c r="E24" s="833"/>
      <c r="F24" s="831"/>
      <c r="G24" s="829">
        <v>0.6</v>
      </c>
      <c r="H24" s="832">
        <f>G24*G23*F23</f>
        <v>7.68</v>
      </c>
      <c r="I24" s="833"/>
    </row>
    <row r="25" spans="1:9">
      <c r="A25" s="818"/>
      <c r="B25" s="831"/>
      <c r="C25" s="829"/>
      <c r="D25" s="832"/>
      <c r="E25" s="844" t="s">
        <v>32</v>
      </c>
      <c r="F25" s="831"/>
      <c r="G25" s="829"/>
      <c r="H25" s="832"/>
      <c r="I25" s="833"/>
    </row>
    <row r="26" spans="1:9">
      <c r="A26" s="818"/>
      <c r="B26" s="831">
        <v>4</v>
      </c>
      <c r="C26" s="829">
        <v>2.73</v>
      </c>
      <c r="D26" s="832"/>
      <c r="E26" s="844" t="s">
        <v>462</v>
      </c>
      <c r="F26" s="831">
        <v>4</v>
      </c>
      <c r="G26" s="829">
        <v>7.42</v>
      </c>
      <c r="H26" s="832"/>
      <c r="I26" s="833" t="s">
        <v>80</v>
      </c>
    </row>
    <row r="27" spans="1:9">
      <c r="A27" s="818"/>
      <c r="B27" s="831"/>
      <c r="C27" s="829">
        <v>0.8</v>
      </c>
      <c r="D27" s="832"/>
      <c r="E27" s="833" t="s">
        <v>1078</v>
      </c>
      <c r="F27" s="831"/>
      <c r="G27" s="829">
        <v>0.6</v>
      </c>
      <c r="H27" s="832">
        <f>G27*G26*F26</f>
        <v>17.808</v>
      </c>
      <c r="I27" s="833" t="s">
        <v>2458</v>
      </c>
    </row>
    <row r="28" spans="1:9">
      <c r="A28" s="818"/>
      <c r="B28" s="839"/>
      <c r="C28" s="935"/>
      <c r="D28" s="838">
        <f>C26*C27*B26</f>
        <v>8.7360000000000007</v>
      </c>
      <c r="E28" s="839" t="s">
        <v>2459</v>
      </c>
      <c r="F28" s="831"/>
      <c r="G28" s="829"/>
      <c r="H28" s="832"/>
      <c r="I28" s="833"/>
    </row>
    <row r="29" spans="1:9">
      <c r="A29" s="818"/>
      <c r="B29" s="831"/>
      <c r="C29" s="829"/>
      <c r="D29" s="832"/>
      <c r="E29" s="833"/>
      <c r="F29" s="839"/>
      <c r="G29" s="935"/>
      <c r="H29" s="838">
        <f>H27+H24</f>
        <v>25.488</v>
      </c>
      <c r="I29" s="839" t="s">
        <v>2129</v>
      </c>
    </row>
    <row r="30" spans="1:9">
      <c r="A30" s="818"/>
      <c r="B30" s="831"/>
      <c r="C30" s="829"/>
      <c r="D30" s="832"/>
      <c r="E30" s="844" t="s">
        <v>1242</v>
      </c>
      <c r="F30" s="831"/>
      <c r="G30" s="829"/>
      <c r="H30" s="832"/>
      <c r="I30" s="833"/>
    </row>
    <row r="31" spans="1:9">
      <c r="A31" s="818"/>
      <c r="B31" s="831">
        <v>2</v>
      </c>
      <c r="C31" s="829">
        <v>5</v>
      </c>
      <c r="D31" s="832"/>
      <c r="E31" s="833" t="s">
        <v>30</v>
      </c>
      <c r="F31" s="831"/>
      <c r="G31" s="829"/>
      <c r="H31" s="832"/>
      <c r="I31" s="844" t="s">
        <v>2097</v>
      </c>
    </row>
    <row r="32" spans="1:9">
      <c r="A32" s="818"/>
      <c r="B32" s="831"/>
      <c r="C32" s="829">
        <v>0.8</v>
      </c>
      <c r="D32" s="832">
        <f>C31*C32*B31</f>
        <v>8</v>
      </c>
      <c r="E32" s="833" t="s">
        <v>1080</v>
      </c>
      <c r="F32" s="831">
        <v>4</v>
      </c>
      <c r="G32" s="829">
        <v>7.42</v>
      </c>
      <c r="H32" s="832"/>
      <c r="I32" s="833"/>
    </row>
    <row r="33" spans="1:9">
      <c r="A33" s="818"/>
      <c r="B33" s="831"/>
      <c r="C33" s="829"/>
      <c r="D33" s="832"/>
      <c r="E33" s="833"/>
      <c r="F33" s="839"/>
      <c r="G33" s="935"/>
      <c r="H33" s="838">
        <f>G32*F32</f>
        <v>29.68</v>
      </c>
      <c r="I33" s="839" t="s">
        <v>2347</v>
      </c>
    </row>
    <row r="34" spans="1:9">
      <c r="A34" s="818"/>
      <c r="B34" s="831">
        <v>2</v>
      </c>
      <c r="C34" s="829">
        <v>3.55</v>
      </c>
      <c r="D34" s="832"/>
      <c r="E34" s="833" t="s">
        <v>496</v>
      </c>
      <c r="F34" s="831"/>
      <c r="G34" s="829"/>
      <c r="H34" s="832"/>
      <c r="I34" s="833"/>
    </row>
    <row r="35" spans="1:9">
      <c r="A35" s="818"/>
      <c r="B35" s="831"/>
      <c r="C35" s="829">
        <v>0.8</v>
      </c>
      <c r="D35" s="832">
        <f>C34*C35*B34</f>
        <v>5.68</v>
      </c>
      <c r="E35" s="833" t="s">
        <v>740</v>
      </c>
      <c r="F35" s="831"/>
      <c r="G35" s="829"/>
      <c r="H35" s="832"/>
      <c r="I35" s="844" t="s">
        <v>2099</v>
      </c>
    </row>
    <row r="36" spans="1:9">
      <c r="A36" s="818"/>
      <c r="B36" s="831"/>
      <c r="C36" s="829"/>
      <c r="D36" s="832"/>
      <c r="E36" s="833"/>
      <c r="F36" s="831">
        <v>2</v>
      </c>
      <c r="G36" s="829">
        <v>6.4</v>
      </c>
      <c r="H36" s="832"/>
      <c r="I36" s="833"/>
    </row>
    <row r="37" spans="1:9">
      <c r="A37" s="818"/>
      <c r="B37" s="831">
        <v>8</v>
      </c>
      <c r="C37" s="829">
        <v>0.2</v>
      </c>
      <c r="D37" s="832"/>
      <c r="E37" s="833"/>
      <c r="F37" s="839"/>
      <c r="G37" s="935"/>
      <c r="H37" s="838">
        <f>G36*F36</f>
        <v>12.8</v>
      </c>
      <c r="I37" s="839" t="s">
        <v>2126</v>
      </c>
    </row>
    <row r="38" spans="1:9">
      <c r="A38" s="818"/>
      <c r="B38" s="831"/>
      <c r="C38" s="829">
        <v>0.3</v>
      </c>
      <c r="D38" s="832">
        <f>C37*C38*B37</f>
        <v>0.48</v>
      </c>
      <c r="E38" s="833"/>
      <c r="F38" s="831"/>
      <c r="G38" s="829"/>
      <c r="H38" s="832"/>
      <c r="I38" s="844"/>
    </row>
    <row r="39" spans="1:9">
      <c r="A39" s="818"/>
      <c r="B39" s="831"/>
      <c r="C39" s="829"/>
      <c r="D39" s="832"/>
      <c r="E39" s="833"/>
      <c r="F39" s="831"/>
      <c r="G39" s="829"/>
      <c r="H39" s="832"/>
      <c r="I39" s="844" t="s">
        <v>109</v>
      </c>
    </row>
    <row r="40" spans="1:9">
      <c r="A40" s="818"/>
      <c r="B40" s="839"/>
      <c r="C40" s="935"/>
      <c r="D40" s="838">
        <f>SUM(D32:D38)</f>
        <v>14.16</v>
      </c>
      <c r="E40" s="839" t="s">
        <v>2117</v>
      </c>
      <c r="F40" s="831"/>
      <c r="G40" s="829"/>
      <c r="H40" s="832"/>
      <c r="I40" s="844" t="s">
        <v>110</v>
      </c>
    </row>
    <row r="41" spans="1:9">
      <c r="A41" s="818"/>
      <c r="B41" s="435"/>
      <c r="C41" s="943"/>
      <c r="D41" s="943"/>
      <c r="E41" s="435"/>
      <c r="F41" s="831">
        <v>6</v>
      </c>
      <c r="G41" s="829">
        <v>10.49</v>
      </c>
      <c r="H41" s="832"/>
      <c r="I41" s="844"/>
    </row>
    <row r="42" spans="1:9">
      <c r="A42" s="818"/>
      <c r="B42" s="831"/>
      <c r="C42" s="829"/>
      <c r="D42" s="832"/>
      <c r="E42" s="833" t="s">
        <v>1082</v>
      </c>
      <c r="F42" s="839"/>
      <c r="G42" s="839"/>
      <c r="H42" s="838">
        <f>G41*F41</f>
        <v>62.94</v>
      </c>
      <c r="I42" s="839" t="s">
        <v>2128</v>
      </c>
    </row>
    <row r="43" spans="1:9">
      <c r="A43" s="818"/>
      <c r="B43" s="839"/>
      <c r="C43" s="935"/>
      <c r="D43" s="838">
        <f>'Gen Reinf'!M55</f>
        <v>183.38976000000002</v>
      </c>
      <c r="E43" s="839" t="s">
        <v>2462</v>
      </c>
      <c r="F43" s="831"/>
      <c r="G43" s="829"/>
      <c r="H43" s="832"/>
      <c r="I43" s="833"/>
    </row>
    <row r="44" spans="1:9">
      <c r="A44" s="818"/>
      <c r="B44" s="831"/>
      <c r="C44" s="829"/>
      <c r="D44" s="832"/>
      <c r="E44" s="833"/>
      <c r="F44" s="831"/>
      <c r="G44" s="829"/>
      <c r="H44" s="832"/>
      <c r="I44" s="833" t="s">
        <v>114</v>
      </c>
    </row>
    <row r="45" spans="1:9">
      <c r="A45" s="818"/>
      <c r="B45" s="831"/>
      <c r="C45" s="829"/>
      <c r="D45" s="832"/>
      <c r="E45" s="833" t="s">
        <v>1084</v>
      </c>
      <c r="F45" s="831">
        <v>5</v>
      </c>
      <c r="G45" s="829">
        <v>7.5</v>
      </c>
      <c r="H45" s="832"/>
      <c r="I45" s="833"/>
    </row>
    <row r="46" spans="1:9">
      <c r="A46" s="818"/>
      <c r="B46" s="839"/>
      <c r="C46" s="935"/>
      <c r="D46" s="838">
        <f>'Gen Reinf'!K55</f>
        <v>58.539000000000001</v>
      </c>
      <c r="E46" s="839" t="s">
        <v>2463</v>
      </c>
      <c r="F46" s="839"/>
      <c r="G46" s="839"/>
      <c r="H46" s="838">
        <f>G45*F45</f>
        <v>37.5</v>
      </c>
      <c r="I46" s="839" t="s">
        <v>2128</v>
      </c>
    </row>
    <row r="47" spans="1:9">
      <c r="A47" s="818"/>
      <c r="B47" s="831"/>
      <c r="C47" s="829"/>
      <c r="D47" s="832"/>
      <c r="E47" s="833"/>
      <c r="F47" s="831"/>
      <c r="G47" s="829"/>
      <c r="H47" s="832"/>
      <c r="I47" s="844"/>
    </row>
    <row r="48" spans="1:9">
      <c r="A48" s="818"/>
      <c r="B48" s="831"/>
      <c r="C48" s="829"/>
      <c r="D48" s="832"/>
      <c r="E48" s="844" t="s">
        <v>350</v>
      </c>
      <c r="F48" s="831"/>
      <c r="G48" s="829"/>
      <c r="H48" s="832"/>
      <c r="I48" s="844" t="s">
        <v>117</v>
      </c>
    </row>
    <row r="49" spans="1:9">
      <c r="A49" s="818"/>
      <c r="B49" s="831"/>
      <c r="C49" s="829"/>
      <c r="D49" s="832"/>
      <c r="E49" s="844" t="s">
        <v>65</v>
      </c>
      <c r="F49" s="831"/>
      <c r="G49" s="829"/>
      <c r="H49" s="832"/>
      <c r="I49" s="833" t="s">
        <v>1086</v>
      </c>
    </row>
    <row r="50" spans="1:9">
      <c r="A50" s="818"/>
      <c r="B50" s="831">
        <v>2</v>
      </c>
      <c r="C50" s="829">
        <v>5</v>
      </c>
      <c r="D50" s="832"/>
      <c r="E50" s="833"/>
      <c r="F50" s="831">
        <v>8</v>
      </c>
      <c r="G50" s="829">
        <v>6.6</v>
      </c>
      <c r="H50" s="832"/>
      <c r="I50" s="833" t="s">
        <v>1087</v>
      </c>
    </row>
    <row r="51" spans="1:9">
      <c r="A51" s="818"/>
      <c r="B51" s="831"/>
      <c r="C51" s="829">
        <v>2.73</v>
      </c>
      <c r="D51" s="832">
        <f>C50*C51*B50</f>
        <v>27.3</v>
      </c>
      <c r="E51" s="833" t="s">
        <v>1072</v>
      </c>
      <c r="F51" s="839"/>
      <c r="G51" s="839"/>
      <c r="H51" s="838">
        <f>G50*F50</f>
        <v>52.8</v>
      </c>
      <c r="I51" s="839" t="s">
        <v>2349</v>
      </c>
    </row>
    <row r="52" spans="1:9">
      <c r="A52" s="818"/>
      <c r="B52" s="831"/>
      <c r="C52" s="829"/>
      <c r="D52" s="832"/>
      <c r="E52" s="833"/>
      <c r="F52" s="831"/>
      <c r="G52" s="829"/>
      <c r="H52" s="832"/>
      <c r="I52" s="844"/>
    </row>
    <row r="53" spans="1:9">
      <c r="A53" s="818"/>
      <c r="B53" s="831">
        <v>2</v>
      </c>
      <c r="C53" s="829">
        <v>3.55</v>
      </c>
      <c r="D53" s="832"/>
      <c r="E53" s="833"/>
      <c r="F53" s="831"/>
      <c r="G53" s="829"/>
      <c r="H53" s="832"/>
      <c r="I53" s="844" t="s">
        <v>2461</v>
      </c>
    </row>
    <row r="54" spans="1:9">
      <c r="A54" s="818"/>
      <c r="B54" s="831"/>
      <c r="C54" s="829">
        <v>2.73</v>
      </c>
      <c r="D54" s="832">
        <f>C53*C54*B53</f>
        <v>19.382999999999999</v>
      </c>
      <c r="E54" s="833" t="s">
        <v>1073</v>
      </c>
      <c r="F54" s="831">
        <v>1</v>
      </c>
      <c r="G54" s="829">
        <v>6.4</v>
      </c>
      <c r="H54" s="832"/>
      <c r="I54" s="833" t="s">
        <v>2440</v>
      </c>
    </row>
    <row r="55" spans="1:9">
      <c r="A55" s="818"/>
      <c r="B55" s="831"/>
      <c r="C55" s="829"/>
      <c r="D55" s="832"/>
      <c r="E55" s="833"/>
      <c r="F55" s="831"/>
      <c r="G55" s="829"/>
      <c r="H55" s="832">
        <f>G54*F54</f>
        <v>6.4</v>
      </c>
      <c r="I55" s="833"/>
    </row>
    <row r="56" spans="1:9">
      <c r="A56" s="818"/>
      <c r="B56" s="831">
        <v>2</v>
      </c>
      <c r="C56" s="829">
        <v>0.68</v>
      </c>
      <c r="D56" s="832"/>
      <c r="E56" s="833"/>
      <c r="F56" s="831"/>
      <c r="G56" s="829"/>
      <c r="H56" s="832"/>
      <c r="I56" s="844"/>
    </row>
    <row r="57" spans="1:9">
      <c r="A57" s="818"/>
      <c r="B57" s="831"/>
      <c r="C57" s="829">
        <v>3.95</v>
      </c>
      <c r="D57" s="832">
        <f>C56*C57*B56</f>
        <v>5.3720000000000008</v>
      </c>
      <c r="E57" s="833" t="s">
        <v>338</v>
      </c>
      <c r="F57" s="831">
        <v>4</v>
      </c>
      <c r="G57" s="829">
        <v>7.42</v>
      </c>
      <c r="H57" s="832"/>
      <c r="I57" s="833" t="s">
        <v>2460</v>
      </c>
    </row>
    <row r="58" spans="1:9">
      <c r="A58" s="818"/>
      <c r="B58" s="831"/>
      <c r="C58" s="829"/>
      <c r="D58" s="832"/>
      <c r="E58" s="833"/>
      <c r="F58" s="831"/>
      <c r="G58" s="829"/>
      <c r="H58" s="832">
        <f>G57*F57</f>
        <v>29.68</v>
      </c>
      <c r="I58" s="833"/>
    </row>
    <row r="59" spans="1:9">
      <c r="A59" s="818"/>
      <c r="B59" s="831">
        <v>2</v>
      </c>
      <c r="C59" s="829">
        <v>5</v>
      </c>
      <c r="D59" s="832"/>
      <c r="E59" s="833"/>
      <c r="F59" s="831"/>
      <c r="G59" s="829"/>
      <c r="H59" s="832"/>
      <c r="I59" s="844"/>
    </row>
    <row r="60" spans="1:9">
      <c r="A60" s="818"/>
      <c r="B60" s="435"/>
      <c r="C60" s="829">
        <v>0.2</v>
      </c>
      <c r="D60" s="832">
        <f>C59*C60*B59</f>
        <v>2</v>
      </c>
      <c r="E60" s="833" t="s">
        <v>3148</v>
      </c>
      <c r="F60" s="839"/>
      <c r="G60" s="839"/>
      <c r="H60" s="838">
        <f>H58+H55</f>
        <v>36.08</v>
      </c>
      <c r="I60" s="839" t="s">
        <v>2350</v>
      </c>
    </row>
    <row r="61" spans="1:9">
      <c r="A61" s="818"/>
      <c r="B61" s="831"/>
      <c r="C61" s="829"/>
      <c r="D61" s="943"/>
      <c r="E61" s="833"/>
      <c r="F61" s="943"/>
      <c r="G61" s="848"/>
      <c r="H61" s="843"/>
      <c r="I61" s="435"/>
    </row>
    <row r="62" spans="1:9">
      <c r="A62" s="818"/>
      <c r="B62" s="849"/>
      <c r="C62" s="850"/>
      <c r="D62" s="851"/>
      <c r="E62" s="852"/>
      <c r="F62" s="849"/>
      <c r="G62" s="850"/>
      <c r="H62" s="851"/>
      <c r="I62" s="974"/>
    </row>
    <row r="63" spans="1:9">
      <c r="B63" s="853" t="s">
        <v>1884</v>
      </c>
      <c r="C63" s="854" t="s">
        <v>526</v>
      </c>
      <c r="D63" s="855" t="s">
        <v>1885</v>
      </c>
      <c r="E63" s="854" t="s">
        <v>1886</v>
      </c>
      <c r="F63" s="853" t="s">
        <v>1884</v>
      </c>
      <c r="G63" s="854" t="s">
        <v>526</v>
      </c>
      <c r="H63" s="855" t="s">
        <v>1885</v>
      </c>
      <c r="I63" s="854" t="s">
        <v>1886</v>
      </c>
    </row>
    <row r="64" spans="1:9">
      <c r="B64" s="831"/>
      <c r="C64" s="829"/>
      <c r="D64" s="832"/>
      <c r="E64" s="844" t="s">
        <v>141</v>
      </c>
      <c r="F64" s="839"/>
      <c r="G64" s="935"/>
      <c r="H64" s="838">
        <f>SUM(D90:D111)</f>
        <v>46.983000000000004</v>
      </c>
      <c r="I64" s="839" t="s">
        <v>2184</v>
      </c>
    </row>
    <row r="65" spans="2:9">
      <c r="B65" s="831"/>
      <c r="C65" s="829"/>
      <c r="D65" s="832"/>
      <c r="E65" s="844" t="s">
        <v>142</v>
      </c>
      <c r="F65" s="435"/>
      <c r="G65" s="943"/>
      <c r="H65" s="943"/>
      <c r="I65" s="435"/>
    </row>
    <row r="66" spans="2:9">
      <c r="B66" s="831">
        <v>2</v>
      </c>
      <c r="C66" s="829">
        <v>5</v>
      </c>
      <c r="D66" s="832"/>
      <c r="E66" s="833" t="s">
        <v>1072</v>
      </c>
      <c r="F66" s="831"/>
      <c r="G66" s="829"/>
      <c r="H66" s="832"/>
      <c r="I66" s="844" t="s">
        <v>2465</v>
      </c>
    </row>
    <row r="67" spans="2:9">
      <c r="B67" s="831"/>
      <c r="C67" s="829">
        <v>2.73</v>
      </c>
      <c r="D67" s="832">
        <f>C66*C67*B66</f>
        <v>27.3</v>
      </c>
      <c r="E67" s="833"/>
      <c r="F67" s="831">
        <v>2</v>
      </c>
      <c r="G67" s="829">
        <v>7.6</v>
      </c>
      <c r="H67" s="832"/>
      <c r="I67" s="833" t="s">
        <v>2440</v>
      </c>
    </row>
    <row r="68" spans="2:9">
      <c r="B68" s="831"/>
      <c r="C68" s="829"/>
      <c r="D68" s="832"/>
      <c r="E68" s="833"/>
      <c r="F68" s="831"/>
      <c r="G68" s="829">
        <v>1.2</v>
      </c>
      <c r="H68" s="832"/>
      <c r="I68" s="833"/>
    </row>
    <row r="69" spans="2:9">
      <c r="B69" s="831">
        <v>2</v>
      </c>
      <c r="C69" s="829">
        <v>3.55</v>
      </c>
      <c r="D69" s="832"/>
      <c r="E69" s="833" t="s">
        <v>1073</v>
      </c>
      <c r="F69" s="831"/>
      <c r="G69" s="829"/>
      <c r="H69" s="832">
        <f>G68*G67*F67</f>
        <v>18.239999999999998</v>
      </c>
      <c r="I69" s="833"/>
    </row>
    <row r="70" spans="2:9">
      <c r="B70" s="831"/>
      <c r="C70" s="829">
        <v>2.73</v>
      </c>
      <c r="D70" s="832">
        <f>C69*C70*B69</f>
        <v>19.382999999999999</v>
      </c>
      <c r="E70" s="833"/>
      <c r="F70" s="831"/>
      <c r="G70" s="829"/>
      <c r="H70" s="832"/>
      <c r="I70" s="833"/>
    </row>
    <row r="71" spans="2:9">
      <c r="B71" s="831"/>
      <c r="C71" s="829"/>
      <c r="D71" s="832"/>
      <c r="E71" s="833"/>
      <c r="F71" s="831">
        <v>2</v>
      </c>
      <c r="G71" s="829">
        <v>2.7</v>
      </c>
      <c r="H71" s="832"/>
      <c r="I71" s="833" t="s">
        <v>2466</v>
      </c>
    </row>
    <row r="72" spans="2:9">
      <c r="B72" s="831">
        <v>1</v>
      </c>
      <c r="C72" s="829">
        <v>0.83</v>
      </c>
      <c r="D72" s="832"/>
      <c r="E72" s="833" t="s">
        <v>1076</v>
      </c>
      <c r="F72" s="831"/>
      <c r="G72" s="829">
        <v>1.2</v>
      </c>
      <c r="H72" s="832"/>
      <c r="I72" s="833"/>
    </row>
    <row r="73" spans="2:9">
      <c r="B73" s="831"/>
      <c r="C73" s="829">
        <v>3.55</v>
      </c>
      <c r="D73" s="832">
        <f>C72*C73*B72</f>
        <v>2.9464999999999999</v>
      </c>
      <c r="E73" s="833" t="s">
        <v>217</v>
      </c>
      <c r="F73" s="831"/>
      <c r="G73" s="829"/>
      <c r="H73" s="832">
        <f>G72*G71*F71</f>
        <v>6.48</v>
      </c>
      <c r="I73" s="833"/>
    </row>
    <row r="74" spans="2:9">
      <c r="B74" s="435"/>
      <c r="C74" s="943"/>
      <c r="D74" s="943"/>
      <c r="E74" s="435"/>
      <c r="F74" s="831"/>
      <c r="G74" s="829"/>
      <c r="H74" s="832"/>
      <c r="I74" s="833"/>
    </row>
    <row r="75" spans="2:9">
      <c r="B75" s="831">
        <v>1</v>
      </c>
      <c r="C75" s="829">
        <v>5</v>
      </c>
      <c r="D75" s="832"/>
      <c r="E75" s="833" t="s">
        <v>121</v>
      </c>
      <c r="F75" s="839"/>
      <c r="G75" s="935"/>
      <c r="H75" s="838">
        <f>H73+H69</f>
        <v>24.72</v>
      </c>
      <c r="I75" s="839" t="s">
        <v>2183</v>
      </c>
    </row>
    <row r="76" spans="2:9">
      <c r="B76" s="831"/>
      <c r="C76" s="829">
        <v>0.2</v>
      </c>
      <c r="D76" s="832">
        <f>C75*C76*B75</f>
        <v>1</v>
      </c>
      <c r="E76" s="833"/>
      <c r="F76" s="435"/>
      <c r="G76" s="943"/>
      <c r="H76" s="943"/>
      <c r="I76" s="435"/>
    </row>
    <row r="77" spans="2:9">
      <c r="B77" s="831"/>
      <c r="C77" s="829"/>
      <c r="D77" s="832"/>
      <c r="E77" s="833"/>
      <c r="F77" s="831"/>
      <c r="G77" s="829"/>
      <c r="H77" s="832"/>
      <c r="I77" s="844" t="s">
        <v>2101</v>
      </c>
    </row>
    <row r="78" spans="2:9">
      <c r="B78" s="831">
        <v>5</v>
      </c>
      <c r="C78" s="829">
        <v>1.5</v>
      </c>
      <c r="D78" s="832"/>
      <c r="E78" s="833" t="s">
        <v>1085</v>
      </c>
      <c r="F78" s="831">
        <v>1</v>
      </c>
      <c r="G78" s="829">
        <v>2.4</v>
      </c>
      <c r="H78" s="832"/>
      <c r="I78" s="833" t="s">
        <v>2443</v>
      </c>
    </row>
    <row r="79" spans="2:9">
      <c r="B79" s="831"/>
      <c r="C79" s="829">
        <v>1.63</v>
      </c>
      <c r="D79" s="832">
        <f>-C78*C79*B78</f>
        <v>-12.225</v>
      </c>
      <c r="E79" s="833"/>
      <c r="F79" s="831"/>
      <c r="G79" s="829">
        <v>1.2</v>
      </c>
      <c r="H79" s="832"/>
      <c r="I79" s="833"/>
    </row>
    <row r="80" spans="2:9">
      <c r="B80" s="831"/>
      <c r="C80" s="829"/>
      <c r="D80" s="832"/>
      <c r="E80" s="844"/>
      <c r="F80" s="831"/>
      <c r="G80" s="829"/>
      <c r="H80" s="832"/>
      <c r="I80" s="833"/>
    </row>
    <row r="81" spans="2:9">
      <c r="B81" s="831">
        <v>1</v>
      </c>
      <c r="C81" s="829">
        <v>1.5</v>
      </c>
      <c r="D81" s="832"/>
      <c r="E81" s="844"/>
      <c r="F81" s="831"/>
      <c r="G81" s="829"/>
      <c r="H81" s="832">
        <f>G79*G78*F78</f>
        <v>2.88</v>
      </c>
      <c r="I81" s="833" t="s">
        <v>2467</v>
      </c>
    </row>
    <row r="82" spans="2:9">
      <c r="B82" s="831"/>
      <c r="C82" s="829">
        <v>2.63</v>
      </c>
      <c r="D82" s="832"/>
      <c r="E82" s="833" t="s">
        <v>573</v>
      </c>
      <c r="F82" s="831"/>
      <c r="G82" s="829"/>
      <c r="H82" s="832"/>
      <c r="I82" s="833"/>
    </row>
    <row r="83" spans="2:9">
      <c r="B83" s="831"/>
      <c r="C83" s="829"/>
      <c r="D83" s="832">
        <f>-C81*C82*B81</f>
        <v>-3.9449999999999998</v>
      </c>
      <c r="E83" s="844"/>
      <c r="F83" s="839"/>
      <c r="G83" s="935"/>
      <c r="H83" s="838">
        <f>H75-H81</f>
        <v>21.84</v>
      </c>
      <c r="I83" s="839" t="s">
        <v>2472</v>
      </c>
    </row>
    <row r="84" spans="2:9">
      <c r="B84" s="831"/>
      <c r="C84" s="829"/>
      <c r="D84" s="832"/>
      <c r="E84" s="844"/>
      <c r="F84" s="943"/>
      <c r="G84" s="848"/>
      <c r="H84" s="843"/>
      <c r="I84" s="435"/>
    </row>
    <row r="85" spans="2:9">
      <c r="B85" s="839"/>
      <c r="C85" s="935"/>
      <c r="D85" s="838">
        <f>SUM(D67:D73)+SUM(D76:D83)</f>
        <v>34.459499999999998</v>
      </c>
      <c r="E85" s="839" t="s">
        <v>2182</v>
      </c>
      <c r="F85" s="831"/>
      <c r="G85" s="829"/>
      <c r="H85" s="832"/>
      <c r="I85" s="844" t="s">
        <v>2468</v>
      </c>
    </row>
    <row r="86" spans="2:9">
      <c r="B86" s="435"/>
      <c r="C86" s="943"/>
      <c r="D86" s="943"/>
      <c r="E86" s="435"/>
      <c r="F86" s="831">
        <v>2</v>
      </c>
      <c r="G86" s="829">
        <v>8.1999999999999993</v>
      </c>
      <c r="H86" s="832"/>
      <c r="I86" s="833" t="s">
        <v>2440</v>
      </c>
    </row>
    <row r="87" spans="2:9">
      <c r="B87" s="831"/>
      <c r="C87" s="829"/>
      <c r="D87" s="832"/>
      <c r="E87" s="844" t="s">
        <v>358</v>
      </c>
      <c r="F87" s="831"/>
      <c r="G87" s="829"/>
      <c r="H87" s="832">
        <f>G86*F86</f>
        <v>16.399999999999999</v>
      </c>
      <c r="I87" s="833"/>
    </row>
    <row r="88" spans="2:9">
      <c r="B88" s="435"/>
      <c r="C88" s="943"/>
      <c r="D88" s="943"/>
      <c r="E88" s="844" t="s">
        <v>359</v>
      </c>
      <c r="F88" s="831"/>
      <c r="G88" s="829"/>
      <c r="H88" s="832"/>
      <c r="I88" s="833"/>
    </row>
    <row r="89" spans="2:9">
      <c r="B89" s="831">
        <v>1</v>
      </c>
      <c r="C89" s="829">
        <v>15.5</v>
      </c>
      <c r="D89" s="832"/>
      <c r="E89" s="833" t="s">
        <v>2464</v>
      </c>
      <c r="F89" s="831">
        <v>2</v>
      </c>
      <c r="G89" s="829">
        <v>5.0999999999999996</v>
      </c>
      <c r="H89" s="832"/>
      <c r="I89" s="833" t="s">
        <v>2466</v>
      </c>
    </row>
    <row r="90" spans="2:9">
      <c r="B90" s="831"/>
      <c r="C90" s="829">
        <v>3.03</v>
      </c>
      <c r="D90" s="832">
        <f>C90*C89*B89</f>
        <v>46.964999999999996</v>
      </c>
      <c r="E90" s="833"/>
      <c r="F90" s="831"/>
      <c r="G90" s="829"/>
      <c r="H90" s="832">
        <f>G89*F89</f>
        <v>10.199999999999999</v>
      </c>
      <c r="I90" s="833"/>
    </row>
    <row r="91" spans="2:9">
      <c r="B91" s="831"/>
      <c r="C91" s="829"/>
      <c r="D91" s="832"/>
      <c r="E91" s="833"/>
      <c r="F91" s="831"/>
      <c r="G91" s="829"/>
      <c r="H91" s="832"/>
      <c r="I91" s="833"/>
    </row>
    <row r="92" spans="2:9">
      <c r="B92" s="831">
        <v>5</v>
      </c>
      <c r="C92" s="829">
        <v>1.5</v>
      </c>
      <c r="D92" s="832"/>
      <c r="E92" s="833" t="s">
        <v>907</v>
      </c>
      <c r="F92" s="831"/>
      <c r="G92" s="829"/>
      <c r="H92" s="832"/>
      <c r="I92" s="833" t="s">
        <v>2469</v>
      </c>
    </row>
    <row r="93" spans="2:9">
      <c r="B93" s="831"/>
      <c r="C93" s="829">
        <v>1.63</v>
      </c>
      <c r="D93" s="832">
        <f>-C92*C93*B92</f>
        <v>-12.225</v>
      </c>
      <c r="E93" s="833"/>
      <c r="F93" s="831">
        <v>2</v>
      </c>
      <c r="G93" s="829">
        <v>3.6</v>
      </c>
      <c r="H93" s="832"/>
      <c r="I93" s="833"/>
    </row>
    <row r="94" spans="2:9">
      <c r="B94" s="831"/>
      <c r="C94" s="829"/>
      <c r="D94" s="832"/>
      <c r="E94" s="833"/>
      <c r="F94" s="831"/>
      <c r="G94" s="829"/>
      <c r="H94" s="832">
        <f>G93*F93</f>
        <v>7.2</v>
      </c>
      <c r="I94" s="833"/>
    </row>
    <row r="95" spans="2:9">
      <c r="B95" s="831">
        <v>1</v>
      </c>
      <c r="C95" s="829">
        <v>1.5</v>
      </c>
      <c r="D95" s="832"/>
      <c r="E95" s="833" t="s">
        <v>573</v>
      </c>
      <c r="F95" s="831"/>
      <c r="G95" s="829"/>
      <c r="H95" s="832"/>
      <c r="I95" s="833"/>
    </row>
    <row r="96" spans="2:9">
      <c r="B96" s="831"/>
      <c r="C96" s="829">
        <v>2.73</v>
      </c>
      <c r="D96" s="832">
        <f>-C95*C96*B95</f>
        <v>-4.0949999999999998</v>
      </c>
      <c r="E96" s="833"/>
      <c r="F96" s="839"/>
      <c r="G96" s="935"/>
      <c r="H96" s="838">
        <f>H94+H90+H87</f>
        <v>33.799999999999997</v>
      </c>
      <c r="I96" s="839" t="s">
        <v>2442</v>
      </c>
    </row>
    <row r="97" spans="2:9">
      <c r="B97" s="831"/>
      <c r="C97" s="829"/>
      <c r="D97" s="832"/>
      <c r="E97" s="833"/>
      <c r="F97" s="831"/>
      <c r="G97" s="829"/>
      <c r="H97" s="832"/>
      <c r="I97" s="833"/>
    </row>
    <row r="98" spans="2:9">
      <c r="B98" s="831">
        <v>2</v>
      </c>
      <c r="C98" s="829">
        <v>5</v>
      </c>
      <c r="D98" s="832"/>
      <c r="E98" s="833" t="s">
        <v>1088</v>
      </c>
      <c r="F98" s="831">
        <v>1</v>
      </c>
      <c r="G98" s="829">
        <v>2.4</v>
      </c>
      <c r="H98" s="832"/>
      <c r="I98" s="844" t="s">
        <v>2470</v>
      </c>
    </row>
    <row r="99" spans="2:9">
      <c r="B99" s="831"/>
      <c r="C99" s="829">
        <v>0.4</v>
      </c>
      <c r="D99" s="832">
        <f>C99*C98*B98</f>
        <v>4</v>
      </c>
      <c r="E99" s="435"/>
      <c r="F99" s="831"/>
      <c r="G99" s="829"/>
      <c r="H99" s="832"/>
      <c r="I99" s="833"/>
    </row>
    <row r="100" spans="2:9">
      <c r="B100" s="831"/>
      <c r="C100" s="829"/>
      <c r="D100" s="832"/>
      <c r="E100" s="833"/>
      <c r="F100" s="839"/>
      <c r="G100" s="935"/>
      <c r="H100" s="838">
        <f>G98*F98</f>
        <v>2.4</v>
      </c>
      <c r="I100" s="839" t="s">
        <v>2471</v>
      </c>
    </row>
    <row r="101" spans="2:9">
      <c r="B101" s="831">
        <v>2</v>
      </c>
      <c r="C101" s="829">
        <v>3.55</v>
      </c>
      <c r="D101" s="832"/>
      <c r="E101" s="833"/>
      <c r="F101" s="831"/>
      <c r="G101" s="829"/>
      <c r="H101" s="832"/>
      <c r="I101" s="833"/>
    </row>
    <row r="102" spans="2:9">
      <c r="B102" s="831"/>
      <c r="C102" s="829">
        <v>0.4</v>
      </c>
      <c r="D102" s="832">
        <f>C102*C101*B101</f>
        <v>2.84</v>
      </c>
      <c r="E102" s="833"/>
      <c r="F102" s="839"/>
      <c r="G102" s="935"/>
      <c r="H102" s="838">
        <f>H96-H100</f>
        <v>31.4</v>
      </c>
      <c r="I102" s="839" t="s">
        <v>2473</v>
      </c>
    </row>
    <row r="103" spans="2:9">
      <c r="B103" s="435"/>
      <c r="C103" s="435"/>
      <c r="D103" s="435"/>
      <c r="E103" s="435"/>
      <c r="F103" s="435"/>
      <c r="G103" s="435"/>
      <c r="H103" s="435"/>
      <c r="I103" s="435"/>
    </row>
    <row r="104" spans="2:9">
      <c r="B104" s="831">
        <v>2</v>
      </c>
      <c r="C104" s="829">
        <v>5</v>
      </c>
      <c r="D104" s="832"/>
      <c r="E104" s="833" t="s">
        <v>338</v>
      </c>
      <c r="F104" s="831"/>
      <c r="G104" s="829"/>
      <c r="H104" s="832"/>
      <c r="I104" s="844" t="s">
        <v>369</v>
      </c>
    </row>
    <row r="105" spans="2:9">
      <c r="B105" s="831"/>
      <c r="C105" s="829">
        <v>0.3</v>
      </c>
      <c r="D105" s="832">
        <f>C105*C104*B104</f>
        <v>3</v>
      </c>
      <c r="E105" s="833"/>
      <c r="F105" s="831"/>
      <c r="G105" s="829"/>
      <c r="H105" s="832"/>
      <c r="I105" s="844" t="s">
        <v>273</v>
      </c>
    </row>
    <row r="106" spans="2:9">
      <c r="B106" s="831"/>
      <c r="C106" s="829"/>
      <c r="D106" s="832"/>
      <c r="E106" s="833"/>
      <c r="F106" s="839"/>
      <c r="G106" s="839"/>
      <c r="H106" s="838">
        <f>D85</f>
        <v>34.459499999999998</v>
      </c>
      <c r="I106" s="845" t="s">
        <v>2158</v>
      </c>
    </row>
    <row r="107" spans="2:9">
      <c r="B107" s="831">
        <v>2</v>
      </c>
      <c r="C107" s="829">
        <v>3.55</v>
      </c>
      <c r="D107" s="832"/>
      <c r="E107" s="833" t="s">
        <v>338</v>
      </c>
      <c r="F107" s="435"/>
      <c r="G107" s="435"/>
      <c r="H107" s="435"/>
      <c r="I107" s="435"/>
    </row>
    <row r="108" spans="2:9">
      <c r="B108" s="831"/>
      <c r="C108" s="829">
        <v>0.3</v>
      </c>
      <c r="D108" s="832">
        <f>C108*C107*B107</f>
        <v>2.13</v>
      </c>
      <c r="E108" s="833"/>
      <c r="F108" s="435"/>
      <c r="G108" s="435"/>
      <c r="H108" s="435"/>
      <c r="I108" s="435"/>
    </row>
    <row r="109" spans="2:9">
      <c r="B109" s="831"/>
      <c r="C109" s="829"/>
      <c r="D109" s="832"/>
      <c r="E109" s="833"/>
      <c r="F109" s="435"/>
      <c r="G109" s="435"/>
      <c r="H109" s="435"/>
      <c r="I109" s="435"/>
    </row>
    <row r="110" spans="2:9">
      <c r="B110" s="831">
        <v>8</v>
      </c>
      <c r="C110" s="829">
        <v>2.73</v>
      </c>
      <c r="D110" s="832"/>
      <c r="E110" s="833" t="s">
        <v>1089</v>
      </c>
      <c r="F110" s="435"/>
      <c r="G110" s="435"/>
      <c r="H110" s="435"/>
      <c r="I110" s="435"/>
    </row>
    <row r="111" spans="2:9">
      <c r="B111" s="831"/>
      <c r="C111" s="829">
        <v>0.2</v>
      </c>
      <c r="D111" s="832">
        <f>C111*C110*B110</f>
        <v>4.3680000000000003</v>
      </c>
      <c r="E111" s="833"/>
      <c r="F111" s="435"/>
      <c r="G111" s="435"/>
      <c r="H111" s="435"/>
      <c r="I111" s="435"/>
    </row>
    <row r="112" spans="2:9">
      <c r="B112" s="435"/>
      <c r="C112" s="435"/>
      <c r="D112" s="435"/>
      <c r="E112" s="435"/>
      <c r="F112" s="435"/>
      <c r="G112" s="435"/>
      <c r="H112" s="435"/>
      <c r="I112" s="435"/>
    </row>
    <row r="113" spans="2:9">
      <c r="B113" s="435"/>
      <c r="C113" s="435"/>
      <c r="D113" s="435"/>
      <c r="E113" s="435"/>
      <c r="F113" s="435"/>
      <c r="G113" s="435"/>
      <c r="H113" s="435"/>
      <c r="I113" s="435"/>
    </row>
    <row r="114" spans="2:9">
      <c r="B114" s="435"/>
      <c r="C114" s="435"/>
      <c r="D114" s="435"/>
      <c r="E114" s="435"/>
      <c r="F114" s="435"/>
      <c r="G114" s="435"/>
      <c r="H114" s="435"/>
      <c r="I114" s="435"/>
    </row>
    <row r="115" spans="2:9">
      <c r="B115" s="435"/>
      <c r="C115" s="943"/>
      <c r="D115" s="943"/>
      <c r="E115" s="435"/>
      <c r="F115" s="435"/>
      <c r="G115" s="435"/>
      <c r="H115" s="435"/>
      <c r="I115" s="435"/>
    </row>
    <row r="116" spans="2:9">
      <c r="B116" s="435"/>
      <c r="C116" s="943"/>
      <c r="D116" s="943"/>
      <c r="E116" s="435"/>
      <c r="F116" s="435"/>
      <c r="G116" s="435"/>
      <c r="H116" s="435"/>
      <c r="I116" s="435"/>
    </row>
    <row r="117" spans="2:9">
      <c r="B117" s="435"/>
      <c r="C117" s="943"/>
      <c r="D117" s="943"/>
      <c r="E117" s="435"/>
      <c r="F117" s="435"/>
      <c r="G117" s="435"/>
      <c r="H117" s="435"/>
      <c r="I117" s="435"/>
    </row>
    <row r="118" spans="2:9">
      <c r="B118" s="435"/>
      <c r="C118" s="943"/>
      <c r="D118" s="943"/>
      <c r="E118" s="435"/>
      <c r="F118" s="37"/>
      <c r="G118" s="971"/>
      <c r="H118" s="972"/>
      <c r="I118" s="14"/>
    </row>
    <row r="119" spans="2:9">
      <c r="B119" s="435"/>
      <c r="C119" s="943"/>
      <c r="D119" s="943"/>
      <c r="E119" s="435"/>
      <c r="F119" s="17"/>
      <c r="G119" s="9"/>
      <c r="H119" s="967"/>
      <c r="I119" s="973"/>
    </row>
    <row r="120" spans="2:9">
      <c r="B120" s="435"/>
      <c r="C120" s="943"/>
      <c r="D120" s="943"/>
      <c r="E120" s="435"/>
      <c r="F120" s="943"/>
      <c r="G120" s="848"/>
      <c r="H120" s="843"/>
      <c r="I120" s="435"/>
    </row>
    <row r="121" spans="2:9">
      <c r="B121" s="109"/>
      <c r="C121" s="860"/>
      <c r="D121" s="860"/>
      <c r="E121" s="109"/>
      <c r="F121" s="860"/>
      <c r="G121" s="927"/>
      <c r="H121" s="928"/>
      <c r="I121" s="109"/>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1" manualBreakCount="1">
    <brk id="62" max="9"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view="pageBreakPreview" topLeftCell="A68" zoomScaleNormal="115" zoomScaleSheetLayoutView="100" zoomScalePageLayoutView="85" workbookViewId="0">
      <selection activeCell="B95" sqref="B95:F114"/>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331"/>
      <c r="H1" s="821"/>
      <c r="I1" s="1332"/>
      <c r="J1" s="820"/>
    </row>
    <row r="2" spans="1:10">
      <c r="A2" s="834"/>
      <c r="B2" s="2059" t="s">
        <v>1917</v>
      </c>
      <c r="C2" s="2059"/>
      <c r="D2" s="2059"/>
      <c r="E2" s="2059"/>
      <c r="F2" s="819"/>
      <c r="G2" s="1331"/>
      <c r="J2" s="834"/>
    </row>
    <row r="3" spans="1:10">
      <c r="A3" s="834"/>
      <c r="B3" s="2059" t="s">
        <v>1920</v>
      </c>
      <c r="C3" s="2059"/>
      <c r="D3" s="2059"/>
      <c r="E3" s="2059"/>
      <c r="F3" s="2059"/>
      <c r="G3" s="1331"/>
      <c r="H3" s="2060" t="s">
        <v>3247</v>
      </c>
      <c r="I3" s="2060"/>
      <c r="J3" s="834"/>
    </row>
    <row r="4" spans="1:10">
      <c r="A4" s="834"/>
      <c r="B4" s="2059" t="s">
        <v>1921</v>
      </c>
      <c r="C4" s="2059"/>
      <c r="D4" s="2059"/>
      <c r="E4" s="2059"/>
      <c r="F4" s="819"/>
      <c r="G4" s="1331"/>
      <c r="H4" s="2061"/>
      <c r="I4" s="2061"/>
      <c r="J4" s="834"/>
    </row>
    <row r="5" spans="1:10">
      <c r="A5" s="834"/>
      <c r="B5" s="824"/>
      <c r="C5" s="1331"/>
      <c r="D5" s="1331"/>
      <c r="E5" s="825"/>
      <c r="F5" s="819"/>
      <c r="G5" s="1330"/>
      <c r="H5" s="827"/>
      <c r="I5" s="1330"/>
      <c r="J5" s="834"/>
    </row>
    <row r="6" spans="1:10">
      <c r="A6" s="1162"/>
      <c r="B6" s="909" t="s">
        <v>1884</v>
      </c>
      <c r="C6" s="911" t="s">
        <v>526</v>
      </c>
      <c r="D6" s="910" t="s">
        <v>1885</v>
      </c>
      <c r="E6" s="911" t="s">
        <v>1886</v>
      </c>
      <c r="F6" s="909" t="s">
        <v>1884</v>
      </c>
      <c r="G6" s="911" t="s">
        <v>526</v>
      </c>
      <c r="H6" s="910" t="s">
        <v>1885</v>
      </c>
      <c r="I6" s="911" t="s">
        <v>1886</v>
      </c>
      <c r="J6" s="1162"/>
    </row>
    <row r="7" spans="1:10">
      <c r="A7" s="834"/>
      <c r="B7" s="435"/>
      <c r="C7" s="829"/>
      <c r="D7" s="832"/>
      <c r="E7" s="844" t="s">
        <v>3542</v>
      </c>
      <c r="F7" s="435"/>
      <c r="G7" s="829"/>
      <c r="H7" s="832"/>
      <c r="I7" s="844" t="s">
        <v>3543</v>
      </c>
    </row>
    <row r="8" spans="1:10">
      <c r="A8" s="834"/>
      <c r="B8" s="435"/>
      <c r="C8" s="829"/>
      <c r="D8" s="832"/>
      <c r="E8" s="844" t="s">
        <v>3544</v>
      </c>
      <c r="F8" s="435"/>
      <c r="G8" s="829">
        <v>4.2</v>
      </c>
      <c r="H8" s="832"/>
      <c r="I8" s="844"/>
    </row>
    <row r="9" spans="1:10">
      <c r="A9" s="834"/>
      <c r="B9" s="435">
        <v>1</v>
      </c>
      <c r="C9" s="829">
        <v>4.5</v>
      </c>
      <c r="D9" s="832"/>
      <c r="E9" s="844"/>
      <c r="F9" s="435"/>
      <c r="G9" s="829">
        <v>3</v>
      </c>
      <c r="H9" s="832"/>
      <c r="I9" s="844"/>
    </row>
    <row r="10" spans="1:10">
      <c r="A10" s="834"/>
      <c r="B10" s="435"/>
      <c r="C10" s="829">
        <v>5.2</v>
      </c>
      <c r="D10" s="832"/>
      <c r="E10" s="844"/>
      <c r="F10" s="435"/>
      <c r="G10" s="829"/>
      <c r="H10" s="832">
        <f>G8*G9</f>
        <v>12.600000000000001</v>
      </c>
      <c r="I10" s="844"/>
    </row>
    <row r="11" spans="1:10">
      <c r="A11" s="834"/>
      <c r="B11" s="435"/>
      <c r="C11" s="829"/>
      <c r="D11" s="832">
        <f>C9*C10*B9</f>
        <v>23.400000000000002</v>
      </c>
      <c r="E11" s="844"/>
      <c r="F11" s="435"/>
      <c r="G11" s="829"/>
      <c r="H11" s="832"/>
      <c r="I11" s="844">
        <f>SUM(H10)</f>
        <v>12.600000000000001</v>
      </c>
    </row>
    <row r="12" spans="1:10">
      <c r="A12" s="834"/>
      <c r="B12" s="435"/>
      <c r="C12" s="829"/>
      <c r="D12" s="832"/>
      <c r="E12" s="844">
        <f>SUM(D11)</f>
        <v>23.400000000000002</v>
      </c>
      <c r="F12" s="435"/>
      <c r="G12" s="829"/>
      <c r="H12" s="832"/>
      <c r="I12" s="844" t="s">
        <v>3545</v>
      </c>
    </row>
    <row r="13" spans="1:10">
      <c r="A13" s="834"/>
      <c r="B13" s="435"/>
      <c r="C13" s="829"/>
      <c r="D13" s="832"/>
      <c r="E13" s="844" t="s">
        <v>3546</v>
      </c>
      <c r="F13" s="435"/>
      <c r="G13" s="829"/>
      <c r="H13" s="832"/>
      <c r="I13" s="844" t="s">
        <v>3547</v>
      </c>
    </row>
    <row r="14" spans="1:10">
      <c r="A14" s="834"/>
      <c r="B14" s="435"/>
      <c r="C14" s="829"/>
      <c r="D14" s="832"/>
      <c r="E14" s="844" t="s">
        <v>3548</v>
      </c>
      <c r="F14" s="435"/>
      <c r="G14" s="829"/>
      <c r="H14" s="832"/>
      <c r="I14" s="844" t="s">
        <v>3549</v>
      </c>
    </row>
    <row r="15" spans="1:10">
      <c r="A15" s="834"/>
      <c r="B15" s="435">
        <v>1</v>
      </c>
      <c r="C15" s="829">
        <v>0.9</v>
      </c>
      <c r="D15" s="832"/>
      <c r="E15" s="844"/>
      <c r="F15" s="435"/>
      <c r="G15" s="829">
        <v>4.7</v>
      </c>
      <c r="H15" s="832"/>
      <c r="I15" s="844"/>
    </row>
    <row r="16" spans="1:10">
      <c r="A16" s="834"/>
      <c r="B16" s="435"/>
      <c r="C16" s="829">
        <v>4.5</v>
      </c>
      <c r="D16" s="832"/>
      <c r="E16" s="844"/>
      <c r="F16" s="435">
        <v>2</v>
      </c>
      <c r="G16" s="829">
        <v>0.4</v>
      </c>
      <c r="H16" s="832"/>
      <c r="I16" s="844"/>
    </row>
    <row r="17" spans="1:10">
      <c r="A17" s="834"/>
      <c r="B17" s="435"/>
      <c r="C17" s="829">
        <v>5.2</v>
      </c>
      <c r="D17" s="832"/>
      <c r="E17" s="844"/>
      <c r="F17" s="435"/>
      <c r="G17" s="829"/>
      <c r="H17" s="832">
        <f>G15*G16</f>
        <v>1.8800000000000001</v>
      </c>
      <c r="I17" s="844"/>
    </row>
    <row r="18" spans="1:10">
      <c r="A18" s="834"/>
      <c r="B18" s="435"/>
      <c r="C18" s="829"/>
      <c r="D18" s="832">
        <f>C17*C16*C15*B15</f>
        <v>21.060000000000002</v>
      </c>
      <c r="E18" s="844"/>
      <c r="F18" s="435"/>
      <c r="G18" s="829">
        <v>3</v>
      </c>
      <c r="H18" s="832">
        <f>G16*G17</f>
        <v>0</v>
      </c>
      <c r="I18" s="844"/>
    </row>
    <row r="19" spans="1:10">
      <c r="A19" s="834"/>
      <c r="B19" s="435"/>
      <c r="C19" s="829"/>
      <c r="D19" s="832"/>
      <c r="E19" s="844">
        <f>SUM(D18:D22)</f>
        <v>21.060000000000002</v>
      </c>
      <c r="F19" s="435">
        <v>2</v>
      </c>
      <c r="G19" s="829">
        <v>0.4</v>
      </c>
      <c r="H19" s="832">
        <f>G17*G18</f>
        <v>0</v>
      </c>
      <c r="I19" s="844"/>
    </row>
    <row r="20" spans="1:10">
      <c r="A20" s="834"/>
      <c r="B20" s="435"/>
      <c r="C20" s="829"/>
      <c r="D20" s="832"/>
      <c r="E20" s="844" t="s">
        <v>3550</v>
      </c>
      <c r="F20" s="435"/>
      <c r="G20" s="829"/>
      <c r="H20" s="832">
        <f>G18*G19</f>
        <v>1.2000000000000002</v>
      </c>
      <c r="I20" s="844"/>
    </row>
    <row r="21" spans="1:10">
      <c r="A21" s="834"/>
      <c r="B21" s="435"/>
      <c r="C21" s="829"/>
      <c r="D21" s="832"/>
      <c r="E21" s="844" t="s">
        <v>3551</v>
      </c>
      <c r="F21" s="435"/>
      <c r="G21" s="829"/>
      <c r="H21" s="832"/>
      <c r="I21" s="844">
        <f>SUM(H15:H20)</f>
        <v>3.08</v>
      </c>
    </row>
    <row r="22" spans="1:10">
      <c r="A22" s="834"/>
      <c r="B22" s="435"/>
      <c r="C22" s="829"/>
      <c r="D22" s="832"/>
      <c r="E22" s="844"/>
      <c r="F22" s="435"/>
      <c r="G22" s="829"/>
      <c r="H22" s="832"/>
      <c r="I22" s="844" t="s">
        <v>3552</v>
      </c>
    </row>
    <row r="23" spans="1:10">
      <c r="A23" s="834"/>
      <c r="B23" s="435">
        <v>4</v>
      </c>
      <c r="C23" s="829">
        <v>0.45</v>
      </c>
      <c r="D23" s="832"/>
      <c r="E23" s="844"/>
      <c r="F23" s="435"/>
      <c r="G23" s="829"/>
      <c r="H23" s="832"/>
      <c r="I23" s="844"/>
      <c r="J23" s="834"/>
    </row>
    <row r="24" spans="1:10">
      <c r="A24" s="834"/>
      <c r="B24" s="435"/>
      <c r="C24" s="829">
        <v>1.5</v>
      </c>
      <c r="D24" s="832"/>
      <c r="E24" s="844"/>
      <c r="F24" s="435"/>
      <c r="G24" s="829"/>
      <c r="H24" s="832"/>
      <c r="I24" s="844"/>
      <c r="J24" s="834"/>
    </row>
    <row r="25" spans="1:10">
      <c r="A25" s="834"/>
      <c r="B25" s="435"/>
      <c r="C25" s="829">
        <v>1.5</v>
      </c>
      <c r="D25" s="832"/>
      <c r="E25" s="844"/>
      <c r="F25" s="435"/>
      <c r="G25" s="829"/>
      <c r="H25" s="832"/>
      <c r="I25" s="844"/>
      <c r="J25" s="834"/>
    </row>
    <row r="26" spans="1:10">
      <c r="A26" s="834"/>
      <c r="B26" s="435"/>
      <c r="C26" s="829"/>
      <c r="D26" s="832">
        <f>C25*C24*C23*B23</f>
        <v>4.05</v>
      </c>
      <c r="E26" s="844"/>
      <c r="F26" s="435"/>
      <c r="G26" s="829"/>
      <c r="H26" s="832"/>
      <c r="I26" s="844"/>
      <c r="J26" s="834"/>
    </row>
    <row r="27" spans="1:10">
      <c r="A27" s="834"/>
      <c r="B27" s="435"/>
      <c r="C27" s="829"/>
      <c r="D27" s="832"/>
      <c r="E27" s="844">
        <f>SUM(D26:D30)</f>
        <v>4.05</v>
      </c>
      <c r="F27" s="435"/>
      <c r="G27" s="829"/>
      <c r="H27" s="832"/>
      <c r="I27" s="844"/>
      <c r="J27" s="834"/>
    </row>
    <row r="28" spans="1:10">
      <c r="A28" s="834"/>
      <c r="B28" s="435"/>
      <c r="C28" s="829"/>
      <c r="D28" s="832"/>
      <c r="E28" s="844" t="s">
        <v>3553</v>
      </c>
      <c r="F28" s="435"/>
      <c r="G28" s="829"/>
      <c r="H28" s="832"/>
      <c r="I28" s="844"/>
      <c r="J28" s="834"/>
    </row>
    <row r="29" spans="1:10">
      <c r="A29" s="834"/>
      <c r="B29" s="435"/>
      <c r="C29" s="829"/>
      <c r="D29" s="832"/>
      <c r="E29" s="844" t="s">
        <v>3554</v>
      </c>
      <c r="F29" s="435"/>
      <c r="G29" s="829"/>
      <c r="H29" s="832"/>
      <c r="I29" s="844" t="s">
        <v>3555</v>
      </c>
      <c r="J29" s="834"/>
    </row>
    <row r="30" spans="1:10">
      <c r="A30" s="834"/>
      <c r="B30" s="435"/>
      <c r="C30" s="829">
        <f>E12</f>
        <v>23.400000000000002</v>
      </c>
      <c r="D30" s="832"/>
      <c r="E30" s="844"/>
      <c r="F30" s="435"/>
      <c r="G30" s="829">
        <v>4.2</v>
      </c>
      <c r="H30" s="832"/>
      <c r="I30" s="844"/>
      <c r="J30" s="834"/>
    </row>
    <row r="31" spans="1:10">
      <c r="A31" s="834"/>
      <c r="B31" s="435"/>
      <c r="C31" s="829">
        <v>0.3</v>
      </c>
      <c r="D31" s="832">
        <f>C31*C30</f>
        <v>7.0200000000000005</v>
      </c>
      <c r="E31" s="844" t="s">
        <v>3556</v>
      </c>
      <c r="F31" s="435"/>
      <c r="G31" s="829">
        <v>3</v>
      </c>
      <c r="H31" s="832"/>
      <c r="I31" s="844"/>
      <c r="J31" s="834"/>
    </row>
    <row r="32" spans="1:10">
      <c r="A32" s="834"/>
      <c r="B32" s="435"/>
      <c r="C32" s="829"/>
      <c r="D32" s="832"/>
      <c r="E32" s="844"/>
      <c r="F32" s="435"/>
      <c r="G32" s="829"/>
      <c r="H32" s="832">
        <f>G30*G31</f>
        <v>12.600000000000001</v>
      </c>
      <c r="I32" s="844"/>
      <c r="J32" s="834"/>
    </row>
    <row r="33" spans="1:10" ht="18.75" customHeight="1">
      <c r="A33" s="834"/>
      <c r="B33" s="435"/>
      <c r="C33" s="829"/>
      <c r="D33" s="832">
        <f>E19</f>
        <v>21.060000000000002</v>
      </c>
      <c r="E33" s="844" t="s">
        <v>3557</v>
      </c>
      <c r="F33" s="435"/>
      <c r="G33" s="829"/>
      <c r="H33" s="832"/>
      <c r="I33" s="844">
        <f>SUM(H32)</f>
        <v>12.600000000000001</v>
      </c>
      <c r="J33" s="834"/>
    </row>
    <row r="34" spans="1:10">
      <c r="A34" s="834"/>
      <c r="B34" s="435"/>
      <c r="C34" s="829"/>
      <c r="D34" s="832"/>
      <c r="E34" s="844"/>
      <c r="F34" s="435"/>
      <c r="G34" s="829"/>
      <c r="H34" s="832"/>
      <c r="I34" s="844" t="s">
        <v>3545</v>
      </c>
      <c r="J34" s="834"/>
    </row>
    <row r="35" spans="1:10">
      <c r="A35" s="834"/>
      <c r="B35" s="435"/>
      <c r="C35" s="829"/>
      <c r="D35" s="832">
        <f>E27</f>
        <v>4.05</v>
      </c>
      <c r="E35" s="844" t="s">
        <v>3558</v>
      </c>
      <c r="F35" s="435"/>
      <c r="G35" s="829"/>
      <c r="H35" s="832"/>
      <c r="I35" s="844" t="s">
        <v>3559</v>
      </c>
      <c r="J35" s="834"/>
    </row>
    <row r="36" spans="1:10" ht="18.75" customHeight="1">
      <c r="A36" s="834"/>
      <c r="B36" s="435"/>
      <c r="C36" s="829"/>
      <c r="D36" s="832"/>
      <c r="E36" s="844"/>
      <c r="F36" s="435"/>
      <c r="G36" s="829">
        <v>4.7</v>
      </c>
      <c r="H36" s="832"/>
      <c r="I36" s="844"/>
      <c r="J36" s="834"/>
    </row>
    <row r="37" spans="1:10">
      <c r="A37" s="834"/>
      <c r="B37" s="435"/>
      <c r="C37" s="829"/>
      <c r="D37" s="832"/>
      <c r="E37" s="844"/>
      <c r="F37" s="435">
        <v>2</v>
      </c>
      <c r="G37" s="829">
        <v>0.4</v>
      </c>
      <c r="H37" s="832"/>
      <c r="I37" s="844"/>
      <c r="J37" s="834"/>
    </row>
    <row r="38" spans="1:10">
      <c r="A38" s="834"/>
      <c r="B38" s="435"/>
      <c r="C38" s="829"/>
      <c r="D38" s="832"/>
      <c r="E38" s="844"/>
      <c r="F38" s="435"/>
      <c r="G38" s="829">
        <v>0.25</v>
      </c>
      <c r="H38" s="832"/>
      <c r="I38" s="844"/>
      <c r="J38" s="834"/>
    </row>
    <row r="39" spans="1:10">
      <c r="A39" s="834"/>
      <c r="B39" s="435"/>
      <c r="C39" s="829"/>
      <c r="D39" s="832"/>
      <c r="E39" s="844"/>
      <c r="F39" s="435"/>
      <c r="G39" s="829"/>
      <c r="H39" s="832">
        <f t="shared" ref="H39:H43" si="0">G38*G37*G36*F37</f>
        <v>0.94000000000000006</v>
      </c>
      <c r="I39" s="844" t="s">
        <v>3560</v>
      </c>
      <c r="J39" s="834"/>
    </row>
    <row r="40" spans="1:10">
      <c r="A40" s="834"/>
      <c r="B40" s="435"/>
      <c r="C40" s="829"/>
      <c r="D40" s="832"/>
      <c r="E40" s="844"/>
      <c r="F40" s="435"/>
      <c r="G40" s="829">
        <v>3</v>
      </c>
      <c r="H40" s="832"/>
      <c r="I40" s="844"/>
      <c r="J40" s="834"/>
    </row>
    <row r="41" spans="1:10">
      <c r="A41" s="834"/>
      <c r="B41" s="435"/>
      <c r="C41" s="829"/>
      <c r="D41" s="832"/>
      <c r="E41" s="844"/>
      <c r="F41" s="435">
        <v>2</v>
      </c>
      <c r="G41" s="829">
        <v>0.4</v>
      </c>
      <c r="H41" s="832"/>
      <c r="I41" s="844"/>
      <c r="J41" s="834"/>
    </row>
    <row r="42" spans="1:10">
      <c r="A42" s="834"/>
      <c r="B42" s="435"/>
      <c r="C42" s="829"/>
      <c r="D42" s="832"/>
      <c r="E42" s="844">
        <f>SUM(D31:D41)</f>
        <v>32.130000000000003</v>
      </c>
      <c r="F42" s="435"/>
      <c r="G42" s="829">
        <v>0.25</v>
      </c>
      <c r="H42" s="832"/>
      <c r="I42" s="844"/>
      <c r="J42" s="834"/>
    </row>
    <row r="43" spans="1:10">
      <c r="A43" s="834"/>
      <c r="B43" s="435"/>
      <c r="C43" s="829"/>
      <c r="D43" s="832"/>
      <c r="E43" s="844" t="s">
        <v>3561</v>
      </c>
      <c r="F43" s="435"/>
      <c r="G43" s="829"/>
      <c r="H43" s="832">
        <f t="shared" si="0"/>
        <v>0.60000000000000009</v>
      </c>
      <c r="I43" s="844"/>
      <c r="J43" s="834"/>
    </row>
    <row r="44" spans="1:10">
      <c r="A44" s="834"/>
      <c r="B44" s="435"/>
      <c r="C44" s="829"/>
      <c r="D44" s="832"/>
      <c r="E44" s="844" t="s">
        <v>3562</v>
      </c>
      <c r="F44" s="435"/>
      <c r="G44" s="829">
        <v>4.7</v>
      </c>
      <c r="H44" s="832"/>
      <c r="I44" s="844"/>
      <c r="J44" s="834"/>
    </row>
    <row r="45" spans="1:10">
      <c r="A45" s="834"/>
      <c r="B45" s="435"/>
      <c r="C45" s="829"/>
      <c r="D45" s="832">
        <f>D31</f>
        <v>7.0200000000000005</v>
      </c>
      <c r="E45" s="844" t="s">
        <v>3556</v>
      </c>
      <c r="F45" s="435">
        <v>2</v>
      </c>
      <c r="G45" s="829">
        <v>0.4</v>
      </c>
      <c r="H45" s="832"/>
      <c r="I45" s="844"/>
      <c r="J45" s="834"/>
    </row>
    <row r="46" spans="1:10">
      <c r="A46" s="834"/>
      <c r="B46" s="435"/>
      <c r="C46" s="829"/>
      <c r="D46" s="832"/>
      <c r="E46" s="844"/>
      <c r="F46" s="435"/>
      <c r="G46" s="829">
        <v>0.25</v>
      </c>
      <c r="H46" s="832"/>
      <c r="I46" s="844" t="s">
        <v>3560</v>
      </c>
      <c r="J46" s="834"/>
    </row>
    <row r="47" spans="1:10">
      <c r="A47" s="834"/>
      <c r="B47" s="435"/>
      <c r="C47" s="829"/>
      <c r="D47" s="832">
        <f>E19</f>
        <v>21.060000000000002</v>
      </c>
      <c r="E47" s="844" t="s">
        <v>3557</v>
      </c>
      <c r="F47" s="435"/>
      <c r="G47" s="829"/>
      <c r="H47" s="832">
        <f>G46*G45*G44*F45</f>
        <v>0.94000000000000006</v>
      </c>
      <c r="I47" s="844"/>
      <c r="J47" s="834"/>
    </row>
    <row r="48" spans="1:10">
      <c r="A48" s="834"/>
      <c r="B48" s="435"/>
      <c r="C48" s="829"/>
      <c r="D48" s="832"/>
      <c r="E48" s="844"/>
      <c r="F48" s="435"/>
      <c r="G48" s="829">
        <v>3</v>
      </c>
      <c r="H48" s="832"/>
      <c r="I48" s="844"/>
      <c r="J48" s="834"/>
    </row>
    <row r="49" spans="1:10">
      <c r="A49" s="834"/>
      <c r="B49" s="435"/>
      <c r="C49" s="829"/>
      <c r="D49" s="832">
        <f>E27</f>
        <v>4.05</v>
      </c>
      <c r="E49" s="844" t="s">
        <v>3563</v>
      </c>
      <c r="F49" s="435">
        <v>2</v>
      </c>
      <c r="G49" s="829">
        <v>0.4</v>
      </c>
      <c r="H49" s="832"/>
      <c r="I49" s="844" t="s">
        <v>3560</v>
      </c>
      <c r="J49" s="834"/>
    </row>
    <row r="50" spans="1:10">
      <c r="A50" s="834"/>
      <c r="B50" s="435"/>
      <c r="C50" s="829"/>
      <c r="D50" s="832"/>
      <c r="E50" s="844">
        <f>SUM(D45:D49)</f>
        <v>32.130000000000003</v>
      </c>
      <c r="F50" s="435"/>
      <c r="G50" s="829">
        <v>0.15</v>
      </c>
      <c r="H50" s="832"/>
      <c r="I50" s="844">
        <f>SUM(H39:H51)</f>
        <v>2.84</v>
      </c>
      <c r="J50" s="834"/>
    </row>
    <row r="51" spans="1:10">
      <c r="A51" s="834"/>
      <c r="B51" s="435"/>
      <c r="C51" s="829"/>
      <c r="D51" s="832"/>
      <c r="E51" s="844" t="s">
        <v>3564</v>
      </c>
      <c r="F51" s="435"/>
      <c r="G51" s="829"/>
      <c r="H51" s="832">
        <f>G50*G49*G48*F49</f>
        <v>0.36</v>
      </c>
      <c r="I51" s="844" t="s">
        <v>3565</v>
      </c>
      <c r="J51" s="834"/>
    </row>
    <row r="52" spans="1:10">
      <c r="A52" s="834"/>
      <c r="C52" s="829"/>
      <c r="D52" s="832"/>
      <c r="E52" s="844"/>
      <c r="F52" s="435"/>
      <c r="G52" s="829"/>
      <c r="H52" s="832"/>
      <c r="I52" s="844"/>
      <c r="J52" s="834"/>
    </row>
    <row r="53" spans="1:10">
      <c r="A53" s="834"/>
      <c r="B53" s="435"/>
      <c r="C53" s="829"/>
      <c r="D53" s="832"/>
      <c r="E53" s="844"/>
      <c r="F53" s="435"/>
      <c r="G53" s="829"/>
      <c r="H53" s="832"/>
      <c r="I53" s="844"/>
      <c r="J53" s="834"/>
    </row>
    <row r="54" spans="1:10">
      <c r="A54" s="834"/>
      <c r="B54" s="435"/>
      <c r="C54" s="829"/>
      <c r="D54" s="832"/>
      <c r="E54" s="844"/>
      <c r="F54" s="435"/>
      <c r="G54" s="829"/>
      <c r="H54" s="832"/>
      <c r="I54" s="844"/>
      <c r="J54" s="834"/>
    </row>
    <row r="55" spans="1:10">
      <c r="A55" s="834"/>
      <c r="B55" s="435"/>
      <c r="C55" s="829"/>
      <c r="D55" s="832"/>
      <c r="E55" s="844"/>
      <c r="F55" s="435"/>
      <c r="G55" s="829"/>
      <c r="H55" s="832"/>
      <c r="I55" s="844"/>
      <c r="J55" s="834"/>
    </row>
    <row r="56" spans="1:10">
      <c r="A56" s="834"/>
      <c r="B56" s="435"/>
      <c r="C56" s="829"/>
      <c r="D56" s="832"/>
      <c r="E56" s="844"/>
      <c r="F56" s="435"/>
      <c r="G56" s="829"/>
      <c r="H56" s="832"/>
      <c r="I56" s="844"/>
      <c r="J56" s="834"/>
    </row>
    <row r="57" spans="1:10">
      <c r="A57" s="834"/>
      <c r="B57" s="435"/>
      <c r="C57" s="829"/>
      <c r="D57" s="832"/>
      <c r="E57" s="844"/>
      <c r="F57" s="435"/>
      <c r="G57" s="829"/>
      <c r="H57" s="832"/>
      <c r="I57" s="844"/>
      <c r="J57" s="834"/>
    </row>
    <row r="58" spans="1:10">
      <c r="A58" s="834"/>
      <c r="B58" s="435"/>
      <c r="C58" s="829"/>
      <c r="D58" s="832"/>
      <c r="E58" s="844"/>
      <c r="F58" s="435"/>
      <c r="G58" s="829"/>
      <c r="H58" s="832"/>
      <c r="I58" s="844"/>
      <c r="J58" s="834"/>
    </row>
    <row r="59" spans="1:10">
      <c r="A59" s="834"/>
      <c r="B59" s="435"/>
      <c r="C59" s="829"/>
      <c r="D59" s="832"/>
      <c r="E59" s="844"/>
      <c r="F59" s="435"/>
      <c r="G59" s="829"/>
      <c r="H59" s="832"/>
      <c r="I59" s="844"/>
      <c r="J59" s="834"/>
    </row>
    <row r="60" spans="1:10">
      <c r="A60" s="834"/>
      <c r="B60" s="435"/>
      <c r="C60" s="829"/>
      <c r="D60" s="832"/>
      <c r="E60" s="844"/>
      <c r="F60" s="435"/>
      <c r="G60" s="829"/>
      <c r="H60" s="832"/>
      <c r="I60" s="844"/>
      <c r="J60" s="834"/>
    </row>
    <row r="61" spans="1:10">
      <c r="A61" s="834"/>
      <c r="B61" s="435"/>
      <c r="C61" s="829"/>
      <c r="D61" s="832"/>
      <c r="E61" s="844"/>
      <c r="F61" s="435"/>
      <c r="G61" s="829"/>
      <c r="H61" s="832"/>
      <c r="I61" s="844"/>
      <c r="J61" s="834"/>
    </row>
    <row r="62" spans="1:10">
      <c r="A62" s="834"/>
      <c r="B62" s="435"/>
      <c r="C62" s="829"/>
      <c r="D62" s="832"/>
      <c r="E62" s="844"/>
      <c r="F62" s="435"/>
      <c r="G62" s="829"/>
      <c r="H62" s="832"/>
      <c r="I62" s="844"/>
      <c r="J62" s="834"/>
    </row>
    <row r="63" spans="1:10">
      <c r="A63" s="834"/>
      <c r="B63" s="435"/>
      <c r="C63" s="829"/>
      <c r="D63" s="832"/>
      <c r="E63" s="844"/>
      <c r="F63" s="435"/>
      <c r="G63" s="829"/>
      <c r="H63" s="832"/>
      <c r="I63" s="844"/>
      <c r="J63" s="834"/>
    </row>
    <row r="64" spans="1:10">
      <c r="A64" s="834"/>
      <c r="B64" s="109"/>
      <c r="C64" s="850"/>
      <c r="D64" s="851"/>
      <c r="E64" s="974"/>
      <c r="F64" s="109"/>
      <c r="G64" s="850"/>
      <c r="H64" s="851"/>
      <c r="I64" s="974"/>
      <c r="J64" s="834"/>
    </row>
    <row r="65" spans="1:10" ht="16.5" thickBot="1">
      <c r="A65" s="1162"/>
      <c r="B65" s="909" t="s">
        <v>1884</v>
      </c>
      <c r="C65" s="911" t="s">
        <v>526</v>
      </c>
      <c r="D65" s="910" t="s">
        <v>1885</v>
      </c>
      <c r="E65" s="911" t="s">
        <v>1886</v>
      </c>
      <c r="F65" s="909" t="s">
        <v>1884</v>
      </c>
      <c r="G65" s="911" t="s">
        <v>526</v>
      </c>
      <c r="H65" s="910" t="s">
        <v>1885</v>
      </c>
      <c r="I65" s="911" t="s">
        <v>1886</v>
      </c>
      <c r="J65" s="1162"/>
    </row>
    <row r="66" spans="1:10" ht="16.5" thickTop="1">
      <c r="A66" s="834"/>
      <c r="B66" s="1994"/>
      <c r="C66" s="1995"/>
      <c r="D66" s="1995"/>
      <c r="E66" s="1995"/>
      <c r="F66" s="1981"/>
      <c r="G66" s="1981"/>
      <c r="H66" s="1996"/>
      <c r="I66" s="1997" t="s">
        <v>3566</v>
      </c>
    </row>
    <row r="67" spans="1:10">
      <c r="A67" s="834"/>
      <c r="B67" s="1998"/>
      <c r="C67" s="1989"/>
      <c r="D67" s="1989"/>
      <c r="E67" s="1989"/>
      <c r="F67" s="1999"/>
      <c r="G67" s="2000"/>
      <c r="H67" s="2001" t="e">
        <f>'[26]GUARD HOUSE REIN.'!N274</f>
        <v>#REF!</v>
      </c>
      <c r="I67" s="2002" t="s">
        <v>3567</v>
      </c>
    </row>
    <row r="68" spans="1:10">
      <c r="A68" s="834"/>
      <c r="B68" s="1998"/>
      <c r="C68" s="1988"/>
      <c r="D68" s="1989"/>
      <c r="E68" s="1989"/>
      <c r="F68" s="1999"/>
      <c r="G68" s="2000"/>
      <c r="H68" s="7"/>
      <c r="I68" s="2002"/>
    </row>
    <row r="69" spans="1:10">
      <c r="A69" s="834"/>
      <c r="B69" s="1998"/>
      <c r="C69" s="1988"/>
      <c r="D69" s="1989"/>
      <c r="E69" s="1989"/>
      <c r="F69" s="1999"/>
      <c r="G69" s="2000"/>
      <c r="H69" s="2001" t="e">
        <f>'[26]GUARD HOUSE REIN.'!M274</f>
        <v>#REF!</v>
      </c>
      <c r="I69" s="2002" t="s">
        <v>3568</v>
      </c>
    </row>
    <row r="70" spans="1:10">
      <c r="A70" s="834"/>
      <c r="B70" s="1998"/>
      <c r="C70" s="1988"/>
      <c r="D70" s="1989"/>
      <c r="E70" s="1989"/>
      <c r="F70" s="2003"/>
      <c r="G70" s="2000"/>
      <c r="H70" s="2001"/>
      <c r="I70" s="2002"/>
    </row>
    <row r="71" spans="1:10">
      <c r="A71" s="834"/>
      <c r="B71" s="1998"/>
      <c r="C71" s="1989"/>
      <c r="D71" s="1988"/>
      <c r="E71" s="1989"/>
      <c r="F71" s="7"/>
      <c r="G71" s="7"/>
      <c r="H71" s="2001" t="e">
        <f>'[26]GUARD HOUSE REIN.'!L274</f>
        <v>#REF!</v>
      </c>
      <c r="I71" s="2004" t="s">
        <v>3569</v>
      </c>
    </row>
    <row r="72" spans="1:10">
      <c r="A72" s="834"/>
      <c r="B72" s="1998"/>
      <c r="C72" s="1988"/>
      <c r="D72" s="2005"/>
      <c r="E72" s="2006"/>
      <c r="F72" s="7"/>
      <c r="G72" s="7"/>
      <c r="H72" s="2001"/>
      <c r="I72" s="2002"/>
    </row>
    <row r="73" spans="1:10" ht="16.5" thickBot="1">
      <c r="A73" s="834"/>
      <c r="B73" s="2007"/>
      <c r="C73" s="2008"/>
      <c r="D73" s="2008"/>
      <c r="E73" s="2009"/>
      <c r="F73" s="7"/>
      <c r="G73" s="7"/>
      <c r="H73" s="2001" t="e">
        <f>'[26]GUARD HOUSE REIN.'!K274</f>
        <v>#REF!</v>
      </c>
      <c r="I73" s="2002" t="s">
        <v>3570</v>
      </c>
    </row>
    <row r="74" spans="1:10" ht="17.25" thickTop="1" thickBot="1">
      <c r="A74" s="834"/>
      <c r="B74" s="1998"/>
      <c r="C74" s="1988"/>
      <c r="D74" s="1988"/>
      <c r="E74" s="1989"/>
      <c r="F74" s="1984"/>
      <c r="G74" s="1984"/>
      <c r="H74" s="1984"/>
      <c r="I74" s="12"/>
    </row>
    <row r="75" spans="1:10" ht="16.5" thickTop="1">
      <c r="A75" s="834"/>
      <c r="B75" s="1998"/>
      <c r="C75" s="1988"/>
      <c r="D75" s="1988"/>
      <c r="E75" s="1989"/>
      <c r="F75" s="1999"/>
      <c r="G75" s="1999"/>
      <c r="H75" s="1999"/>
      <c r="I75" s="2010" t="s">
        <v>2087</v>
      </c>
    </row>
    <row r="76" spans="1:10" ht="18.75" customHeight="1">
      <c r="A76" s="834"/>
      <c r="B76" s="1998"/>
      <c r="C76" s="1988"/>
      <c r="D76" s="1988"/>
      <c r="E76" s="1989"/>
      <c r="F76" s="7"/>
      <c r="G76" s="7"/>
      <c r="H76" s="7"/>
      <c r="I76" s="2010" t="s">
        <v>3571</v>
      </c>
    </row>
    <row r="77" spans="1:10">
      <c r="A77" s="834"/>
      <c r="B77" s="1998"/>
      <c r="C77" s="1988"/>
      <c r="D77" s="1988"/>
      <c r="E77" s="2011"/>
      <c r="F77" s="1993">
        <v>2</v>
      </c>
      <c r="G77" s="1991">
        <v>4.2</v>
      </c>
      <c r="H77" s="9"/>
      <c r="I77" s="8"/>
    </row>
    <row r="78" spans="1:10">
      <c r="A78" s="834"/>
      <c r="B78" s="1998"/>
      <c r="C78" s="1988"/>
      <c r="D78" s="2005"/>
      <c r="E78" s="2012"/>
      <c r="F78" s="1993"/>
      <c r="G78" s="1991"/>
      <c r="H78" s="9">
        <f>G77*F77</f>
        <v>8.4</v>
      </c>
      <c r="I78" s="8"/>
    </row>
    <row r="79" spans="1:10" ht="16.5" thickBot="1">
      <c r="A79" s="834"/>
      <c r="B79" s="2007"/>
      <c r="C79" s="2008"/>
      <c r="D79" s="2008"/>
      <c r="E79" s="2009"/>
      <c r="F79" s="1993">
        <v>2</v>
      </c>
      <c r="G79" s="1991">
        <v>3</v>
      </c>
      <c r="H79" s="9">
        <f t="shared" ref="H79:H80" si="1">G78*F78</f>
        <v>0</v>
      </c>
      <c r="I79" s="8"/>
    </row>
    <row r="80" spans="1:10" ht="16.5" thickTop="1">
      <c r="A80" s="834"/>
      <c r="B80" s="6"/>
      <c r="C80" s="9"/>
      <c r="D80" s="9"/>
      <c r="E80" s="7" t="s">
        <v>32</v>
      </c>
      <c r="F80" s="7"/>
      <c r="G80" s="9"/>
      <c r="H80" s="9">
        <f t="shared" si="1"/>
        <v>6</v>
      </c>
      <c r="I80" s="8"/>
    </row>
    <row r="81" spans="1:10">
      <c r="A81" s="834"/>
      <c r="B81" s="6"/>
      <c r="C81" s="9">
        <v>4.25</v>
      </c>
      <c r="D81" s="9">
        <f>F82*G81*G82</f>
        <v>0</v>
      </c>
      <c r="E81" s="7" t="s">
        <v>3572</v>
      </c>
      <c r="F81" s="1999"/>
      <c r="G81" s="2000"/>
      <c r="H81" s="2013"/>
      <c r="I81" s="2014">
        <f>SUM(H78:H80)</f>
        <v>14.4</v>
      </c>
    </row>
    <row r="82" spans="1:10" ht="16.5" thickBot="1">
      <c r="A82" s="834"/>
      <c r="B82" s="6">
        <v>4</v>
      </c>
      <c r="C82" s="9">
        <v>0.15</v>
      </c>
      <c r="D82" s="9">
        <f>B81*G82*C81</f>
        <v>0</v>
      </c>
      <c r="E82" s="7" t="s">
        <v>3560</v>
      </c>
      <c r="F82" s="2015"/>
      <c r="G82" s="2016"/>
      <c r="H82" s="1990"/>
      <c r="I82" s="2017" t="s">
        <v>3573</v>
      </c>
      <c r="J82" s="834"/>
    </row>
    <row r="83" spans="1:10" ht="16.5" thickTop="1">
      <c r="A83" s="834"/>
      <c r="B83" s="6"/>
      <c r="C83" s="9"/>
      <c r="D83" s="9">
        <f t="shared" ref="D83:D92" si="2">B82*C81*C82</f>
        <v>2.5499999999999998</v>
      </c>
      <c r="E83" s="7"/>
      <c r="F83" s="1981"/>
      <c r="G83" s="1981"/>
      <c r="H83" s="1981"/>
      <c r="I83" s="1982" t="s">
        <v>3574</v>
      </c>
      <c r="J83" s="834"/>
    </row>
    <row r="84" spans="1:10">
      <c r="A84" s="834"/>
      <c r="B84" s="6"/>
      <c r="C84" s="9">
        <v>3.05</v>
      </c>
      <c r="D84" s="9">
        <f t="shared" si="2"/>
        <v>0</v>
      </c>
      <c r="E84" s="7"/>
      <c r="F84" s="7"/>
      <c r="G84" s="7"/>
      <c r="H84" s="7"/>
      <c r="I84" s="8" t="s">
        <v>3575</v>
      </c>
      <c r="J84" s="834"/>
    </row>
    <row r="85" spans="1:10">
      <c r="A85" s="834"/>
      <c r="B85" s="6">
        <v>4</v>
      </c>
      <c r="C85" s="9">
        <v>0.15</v>
      </c>
      <c r="D85" s="9">
        <f t="shared" si="2"/>
        <v>0</v>
      </c>
      <c r="E85" s="7" t="s">
        <v>121</v>
      </c>
      <c r="F85" s="7"/>
      <c r="G85" s="9">
        <v>4.7</v>
      </c>
      <c r="H85" s="9"/>
      <c r="I85" s="8"/>
      <c r="J85" s="834"/>
    </row>
    <row r="86" spans="1:10">
      <c r="A86" s="834"/>
      <c r="B86" s="6"/>
      <c r="C86" s="9"/>
      <c r="D86" s="9">
        <f t="shared" si="2"/>
        <v>1.8299999999999998</v>
      </c>
      <c r="E86" s="7"/>
      <c r="F86" s="7">
        <v>2</v>
      </c>
      <c r="G86" s="9">
        <v>0.7</v>
      </c>
      <c r="H86" s="9"/>
      <c r="I86" s="8"/>
      <c r="J86" s="834"/>
    </row>
    <row r="87" spans="1:10" ht="19.5" customHeight="1">
      <c r="A87" s="834"/>
      <c r="B87" s="6"/>
      <c r="C87" s="9">
        <v>4.5</v>
      </c>
      <c r="D87" s="9">
        <f t="shared" si="2"/>
        <v>0</v>
      </c>
      <c r="E87" s="7"/>
      <c r="F87" s="7"/>
      <c r="G87" s="9">
        <v>0.4</v>
      </c>
      <c r="H87" s="9"/>
      <c r="I87" s="8"/>
      <c r="J87" s="834"/>
    </row>
    <row r="88" spans="1:10">
      <c r="A88" s="834"/>
      <c r="B88" s="6">
        <v>2</v>
      </c>
      <c r="C88" s="9">
        <v>0.4</v>
      </c>
      <c r="D88" s="9">
        <f t="shared" si="2"/>
        <v>0</v>
      </c>
      <c r="E88" s="7" t="s">
        <v>3576</v>
      </c>
      <c r="F88" s="7"/>
      <c r="G88" s="9"/>
      <c r="H88" s="9">
        <f>G86*G87*G85*F86</f>
        <v>2.6319999999999997</v>
      </c>
      <c r="I88" s="8"/>
      <c r="J88" s="834"/>
    </row>
    <row r="89" spans="1:10">
      <c r="A89" s="834"/>
      <c r="B89" s="6"/>
      <c r="C89" s="9"/>
      <c r="D89" s="9">
        <f t="shared" si="2"/>
        <v>3.6</v>
      </c>
      <c r="E89" s="7"/>
      <c r="F89" s="7"/>
      <c r="G89" s="9">
        <v>3</v>
      </c>
      <c r="H89" s="9">
        <f t="shared" ref="H89:H91" si="3">G87*G88*G86*F87</f>
        <v>0</v>
      </c>
      <c r="I89" s="8"/>
      <c r="J89" s="834"/>
    </row>
    <row r="90" spans="1:10">
      <c r="A90" s="834"/>
      <c r="B90" s="6"/>
      <c r="C90" s="9">
        <v>3.05</v>
      </c>
      <c r="D90" s="9">
        <f t="shared" si="2"/>
        <v>0</v>
      </c>
      <c r="E90" s="7"/>
      <c r="F90" s="7">
        <v>2</v>
      </c>
      <c r="G90" s="9">
        <v>0.7</v>
      </c>
      <c r="H90" s="9">
        <f t="shared" si="3"/>
        <v>0</v>
      </c>
      <c r="I90" s="8"/>
      <c r="J90" s="834"/>
    </row>
    <row r="91" spans="1:10">
      <c r="A91" s="834"/>
      <c r="B91" s="6">
        <v>2</v>
      </c>
      <c r="C91" s="9">
        <v>0.4</v>
      </c>
      <c r="D91" s="9">
        <f t="shared" si="2"/>
        <v>0</v>
      </c>
      <c r="E91" s="7" t="s">
        <v>121</v>
      </c>
      <c r="F91" s="7"/>
      <c r="G91" s="9">
        <v>0.4</v>
      </c>
      <c r="H91" s="9">
        <f t="shared" si="3"/>
        <v>0</v>
      </c>
      <c r="I91" s="8"/>
      <c r="J91" s="834"/>
    </row>
    <row r="92" spans="1:10">
      <c r="A92" s="834"/>
      <c r="B92" s="6"/>
      <c r="C92" s="9"/>
      <c r="D92" s="9">
        <f t="shared" si="2"/>
        <v>2.44</v>
      </c>
      <c r="E92" s="7"/>
      <c r="F92" s="7"/>
      <c r="G92" s="7"/>
      <c r="H92" s="9">
        <f>G90*G91*G89*F90</f>
        <v>1.6799999999999997</v>
      </c>
      <c r="I92" s="8"/>
      <c r="J92" s="834"/>
    </row>
    <row r="93" spans="1:10">
      <c r="A93" s="834"/>
      <c r="B93" s="6"/>
      <c r="C93" s="9"/>
      <c r="D93" s="9"/>
      <c r="E93" s="1983">
        <f>SUM(D83:D92)</f>
        <v>10.42</v>
      </c>
      <c r="F93" s="7"/>
      <c r="G93" s="7"/>
      <c r="H93" s="7"/>
      <c r="I93" s="18">
        <f>SUM(H87:H92)</f>
        <v>4.3119999999999994</v>
      </c>
      <c r="J93" s="834"/>
    </row>
    <row r="94" spans="1:10" ht="16.5" thickBot="1">
      <c r="A94" s="834"/>
      <c r="B94" s="1992"/>
      <c r="C94" s="1986"/>
      <c r="D94" s="1986"/>
      <c r="E94" s="1987" t="s">
        <v>3577</v>
      </c>
      <c r="F94" s="2018"/>
      <c r="G94" s="1986"/>
      <c r="H94" s="1986"/>
      <c r="I94" s="1985" t="s">
        <v>3578</v>
      </c>
      <c r="J94" s="834"/>
    </row>
    <row r="95" spans="1:10" ht="16.5" thickTop="1">
      <c r="A95" s="834"/>
      <c r="B95" s="2019"/>
      <c r="C95" s="2020"/>
      <c r="D95" s="2020"/>
      <c r="E95" s="2020"/>
      <c r="F95" s="7"/>
      <c r="G95" s="7"/>
      <c r="H95" s="7"/>
      <c r="I95" s="8"/>
      <c r="J95" s="834"/>
    </row>
    <row r="96" spans="1:10">
      <c r="A96" s="834"/>
      <c r="B96" s="2019"/>
      <c r="C96" s="2020"/>
      <c r="D96" s="2020"/>
      <c r="E96" s="2020"/>
      <c r="F96" s="7"/>
      <c r="G96" s="7"/>
      <c r="H96" s="7"/>
      <c r="I96" s="8"/>
      <c r="J96" s="834"/>
    </row>
    <row r="97" spans="1:10">
      <c r="A97" s="834"/>
      <c r="B97" s="2019"/>
      <c r="C97" s="2021"/>
      <c r="D97" s="2021"/>
      <c r="E97" s="2020"/>
      <c r="F97" s="7"/>
      <c r="G97" s="7"/>
      <c r="H97" s="7"/>
      <c r="I97" s="8"/>
      <c r="J97" s="834"/>
    </row>
    <row r="98" spans="1:10">
      <c r="A98" s="834"/>
      <c r="B98" s="2019"/>
      <c r="C98" s="2021"/>
      <c r="D98" s="2021"/>
      <c r="E98" s="2020"/>
      <c r="F98" s="7"/>
      <c r="G98" s="7"/>
      <c r="H98" s="7"/>
      <c r="I98" s="8"/>
      <c r="J98" s="834"/>
    </row>
    <row r="99" spans="1:10">
      <c r="A99" s="834"/>
      <c r="B99" s="2019"/>
      <c r="C99" s="2021"/>
      <c r="D99" s="2021"/>
      <c r="E99" s="2020"/>
      <c r="F99" s="7"/>
      <c r="G99" s="7"/>
      <c r="H99" s="7"/>
      <c r="I99" s="8"/>
      <c r="J99" s="834"/>
    </row>
    <row r="100" spans="1:10">
      <c r="A100" s="834"/>
      <c r="B100" s="2019"/>
      <c r="C100" s="2021"/>
      <c r="D100" s="2021"/>
      <c r="E100" s="2022"/>
      <c r="F100" s="7"/>
      <c r="G100" s="7"/>
      <c r="H100" s="7"/>
      <c r="I100" s="8"/>
      <c r="J100" s="834"/>
    </row>
    <row r="101" spans="1:10" ht="16.5" thickBot="1">
      <c r="A101" s="834"/>
      <c r="B101" s="2023"/>
      <c r="C101" s="2024"/>
      <c r="D101" s="2024"/>
      <c r="E101" s="2025"/>
      <c r="F101" s="7"/>
      <c r="G101" s="7"/>
      <c r="H101" s="7"/>
      <c r="I101" s="8"/>
      <c r="J101" s="834"/>
    </row>
    <row r="102" spans="1:10" ht="16.5" thickTop="1">
      <c r="A102" s="834"/>
      <c r="B102" s="2019"/>
      <c r="C102" s="2020"/>
      <c r="D102" s="2020"/>
      <c r="E102" s="2020"/>
      <c r="F102" s="7"/>
      <c r="G102" s="7"/>
      <c r="H102" s="7"/>
      <c r="I102" s="8"/>
      <c r="J102" s="834"/>
    </row>
    <row r="103" spans="1:10">
      <c r="A103" s="834"/>
      <c r="B103" s="2019"/>
      <c r="C103" s="2021"/>
      <c r="D103" s="2020"/>
      <c r="E103" s="2020"/>
      <c r="F103" s="7"/>
      <c r="G103" s="7"/>
      <c r="H103" s="7"/>
      <c r="I103" s="8"/>
      <c r="J103" s="834"/>
    </row>
    <row r="104" spans="1:10">
      <c r="A104" s="834"/>
      <c r="B104" s="2019"/>
      <c r="C104" s="2021"/>
      <c r="D104" s="2020"/>
      <c r="E104" s="2020"/>
      <c r="F104" s="7"/>
      <c r="G104" s="7"/>
      <c r="H104" s="7"/>
      <c r="I104" s="8"/>
      <c r="J104" s="834"/>
    </row>
    <row r="105" spans="1:10">
      <c r="A105" s="834"/>
      <c r="B105" s="2019"/>
      <c r="C105" s="2020"/>
      <c r="D105" s="2021"/>
      <c r="E105" s="2020"/>
      <c r="F105" s="7"/>
      <c r="G105" s="7"/>
      <c r="H105" s="7"/>
      <c r="I105" s="8"/>
      <c r="J105" s="834"/>
    </row>
    <row r="106" spans="1:10">
      <c r="A106" s="834"/>
      <c r="B106" s="2019"/>
      <c r="C106" s="2020"/>
      <c r="D106" s="2020"/>
      <c r="E106" s="2020"/>
      <c r="F106" s="7"/>
      <c r="G106" s="7"/>
      <c r="H106" s="7"/>
      <c r="I106" s="8"/>
      <c r="J106" s="834" t="e">
        <f>#REF!*#REF!</f>
        <v>#REF!</v>
      </c>
    </row>
    <row r="107" spans="1:10">
      <c r="A107" s="834"/>
      <c r="B107" s="2019"/>
      <c r="C107" s="2020"/>
      <c r="D107" s="2020"/>
      <c r="E107" s="2020"/>
      <c r="F107" s="7"/>
      <c r="G107" s="7"/>
      <c r="H107" s="7"/>
      <c r="I107" s="8"/>
      <c r="J107" s="834"/>
    </row>
    <row r="108" spans="1:10">
      <c r="A108" s="834"/>
      <c r="B108" s="2019"/>
      <c r="C108" s="2020"/>
      <c r="D108" s="2020"/>
      <c r="E108" s="2020"/>
      <c r="F108" s="7"/>
      <c r="G108" s="7"/>
      <c r="H108" s="7"/>
      <c r="I108" s="8"/>
      <c r="J108" s="834"/>
    </row>
    <row r="109" spans="1:10">
      <c r="A109" s="834"/>
      <c r="B109" s="2019"/>
      <c r="C109" s="2021"/>
      <c r="D109" s="2021"/>
      <c r="E109" s="2022"/>
      <c r="F109" s="7"/>
      <c r="G109" s="7"/>
      <c r="H109" s="7"/>
      <c r="I109" s="8"/>
      <c r="J109" s="834"/>
    </row>
    <row r="110" spans="1:10" ht="16.5" thickBot="1">
      <c r="A110" s="834"/>
      <c r="B110" s="2023"/>
      <c r="C110" s="2024"/>
      <c r="D110" s="2024"/>
      <c r="E110" s="2025"/>
      <c r="F110" s="1984"/>
      <c r="G110" s="1984"/>
      <c r="H110" s="1984"/>
      <c r="I110" s="12"/>
      <c r="J110" s="834"/>
    </row>
    <row r="111" spans="1:10" ht="16.5" thickTop="1">
      <c r="A111" s="834"/>
      <c r="B111" s="435"/>
      <c r="C111" s="1335"/>
      <c r="D111" s="1335"/>
      <c r="E111" s="435"/>
      <c r="F111" s="1335"/>
      <c r="G111" s="848"/>
      <c r="H111" s="843"/>
      <c r="I111" s="435"/>
      <c r="J111" s="834"/>
    </row>
    <row r="112" spans="1:10">
      <c r="A112" s="834"/>
      <c r="B112" s="435"/>
      <c r="C112" s="1335"/>
      <c r="D112" s="1335"/>
      <c r="E112" s="435"/>
      <c r="F112" s="1335"/>
      <c r="G112" s="848"/>
      <c r="H112" s="843"/>
      <c r="I112" s="435"/>
      <c r="J112" s="834"/>
    </row>
    <row r="113" spans="1:11">
      <c r="A113" s="834"/>
      <c r="B113" s="435"/>
      <c r="C113" s="1335"/>
      <c r="D113" s="1335"/>
      <c r="E113" s="435"/>
      <c r="F113" s="1335"/>
      <c r="G113" s="848"/>
      <c r="H113" s="843"/>
      <c r="I113" s="435"/>
      <c r="J113" s="834"/>
    </row>
    <row r="114" spans="1:11">
      <c r="A114" s="834"/>
      <c r="B114" s="435"/>
      <c r="C114" s="1335"/>
      <c r="D114" s="1335"/>
      <c r="E114" s="435"/>
      <c r="F114" s="1335"/>
      <c r="G114" s="848"/>
      <c r="H114" s="843"/>
      <c r="I114" s="435"/>
      <c r="J114" s="834"/>
    </row>
    <row r="115" spans="1:11">
      <c r="A115" s="834"/>
      <c r="B115" s="435"/>
      <c r="C115" s="1335"/>
      <c r="D115" s="1335"/>
      <c r="E115" s="435"/>
      <c r="F115" s="1335"/>
      <c r="G115" s="848"/>
      <c r="H115" s="843"/>
      <c r="I115" s="435"/>
      <c r="J115" s="834"/>
    </row>
    <row r="116" spans="1:11">
      <c r="A116" s="834"/>
      <c r="B116" s="109"/>
      <c r="C116" s="860"/>
      <c r="D116" s="860"/>
      <c r="E116" s="109"/>
      <c r="F116" s="860"/>
      <c r="G116" s="927"/>
      <c r="H116" s="928"/>
      <c r="I116" s="109"/>
      <c r="J116" s="834"/>
    </row>
    <row r="117" spans="1:11">
      <c r="A117" s="834"/>
      <c r="J117" s="834"/>
      <c r="K117" s="834"/>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4" max="9"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
  <sheetViews>
    <sheetView view="pageBreakPreview" zoomScale="85" zoomScaleNormal="115" zoomScaleSheetLayoutView="85" zoomScalePageLayoutView="85" workbookViewId="0">
      <selection activeCell="H1" sqref="H1:I1"/>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41"/>
      <c r="H1" s="941"/>
      <c r="I1" s="942"/>
      <c r="J1" s="820"/>
    </row>
    <row r="2" spans="1:10">
      <c r="A2" s="818"/>
      <c r="B2" s="2059" t="s">
        <v>1917</v>
      </c>
      <c r="C2" s="2059"/>
      <c r="D2" s="2059"/>
      <c r="E2" s="2059"/>
      <c r="F2" s="819"/>
      <c r="G2" s="941"/>
      <c r="J2" s="818"/>
    </row>
    <row r="3" spans="1:10">
      <c r="A3" s="818"/>
      <c r="B3" s="2059" t="s">
        <v>1920</v>
      </c>
      <c r="C3" s="2059"/>
      <c r="D3" s="2059"/>
      <c r="E3" s="2059"/>
      <c r="F3" s="2059"/>
      <c r="G3" s="941"/>
      <c r="H3" s="2060" t="s">
        <v>2475</v>
      </c>
      <c r="I3" s="2060"/>
      <c r="J3" s="818"/>
    </row>
    <row r="4" spans="1:10">
      <c r="A4" s="818"/>
      <c r="B4" s="2059" t="s">
        <v>1921</v>
      </c>
      <c r="C4" s="2059"/>
      <c r="D4" s="2059"/>
      <c r="E4" s="2059"/>
      <c r="F4" s="819"/>
      <c r="G4" s="941"/>
      <c r="H4" s="2089"/>
      <c r="I4" s="2089"/>
      <c r="J4" s="818"/>
    </row>
    <row r="5" spans="1:10">
      <c r="A5" s="818"/>
      <c r="B5" s="824"/>
      <c r="C5" s="941"/>
      <c r="D5" s="941"/>
      <c r="E5" s="825"/>
      <c r="F5" s="819"/>
      <c r="G5" s="941"/>
      <c r="H5" s="827"/>
      <c r="I5" s="940"/>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v>1</v>
      </c>
      <c r="G7" s="829">
        <v>4.7</v>
      </c>
      <c r="H7" s="832"/>
      <c r="I7" s="833"/>
    </row>
    <row r="8" spans="1:10">
      <c r="A8" s="818"/>
      <c r="B8" s="831"/>
      <c r="C8" s="829"/>
      <c r="D8" s="832"/>
      <c r="E8" s="844" t="s">
        <v>25</v>
      </c>
      <c r="F8" s="831"/>
      <c r="G8" s="829">
        <v>0.2</v>
      </c>
      <c r="H8" s="832">
        <f>G7*G8*F7</f>
        <v>0.94000000000000006</v>
      </c>
      <c r="I8" s="833" t="s">
        <v>121</v>
      </c>
    </row>
    <row r="9" spans="1:10">
      <c r="A9" s="818"/>
      <c r="B9" s="831">
        <v>4</v>
      </c>
      <c r="C9" s="829">
        <v>2.73</v>
      </c>
      <c r="D9" s="832"/>
      <c r="E9" s="844" t="s">
        <v>27</v>
      </c>
      <c r="F9" s="831"/>
      <c r="G9" s="829"/>
      <c r="H9" s="832"/>
      <c r="I9" s="833"/>
    </row>
    <row r="10" spans="1:10">
      <c r="A10" s="818"/>
      <c r="B10" s="831"/>
      <c r="C10" s="829">
        <v>0.2</v>
      </c>
      <c r="D10" s="832"/>
      <c r="E10" s="833" t="s">
        <v>738</v>
      </c>
      <c r="F10" s="831">
        <v>1</v>
      </c>
      <c r="G10" s="829">
        <v>4.7</v>
      </c>
      <c r="H10" s="832"/>
      <c r="I10" s="833"/>
    </row>
    <row r="11" spans="1:10">
      <c r="A11" s="818"/>
      <c r="B11" s="831"/>
      <c r="C11" s="829">
        <v>0.2</v>
      </c>
      <c r="D11" s="832"/>
      <c r="E11" s="435"/>
      <c r="F11" s="831"/>
      <c r="G11" s="829">
        <v>1.25</v>
      </c>
      <c r="H11" s="832">
        <f>G10*G11*F10</f>
        <v>5.875</v>
      </c>
      <c r="I11" s="833"/>
    </row>
    <row r="12" spans="1:10">
      <c r="A12" s="818"/>
      <c r="B12" s="839"/>
      <c r="C12" s="935"/>
      <c r="D12" s="838">
        <f>B9*C9*C10*C11</f>
        <v>0.43680000000000008</v>
      </c>
      <c r="E12" s="839" t="s">
        <v>2116</v>
      </c>
      <c r="F12" s="831"/>
      <c r="G12" s="829"/>
      <c r="H12" s="832"/>
      <c r="I12" s="833"/>
    </row>
    <row r="13" spans="1:10">
      <c r="A13" s="818"/>
      <c r="B13" s="831"/>
      <c r="C13" s="829"/>
      <c r="D13" s="832"/>
      <c r="E13" s="833"/>
      <c r="F13" s="831">
        <v>1</v>
      </c>
      <c r="G13" s="829">
        <v>0.9</v>
      </c>
      <c r="H13" s="832"/>
      <c r="I13" s="833" t="s">
        <v>745</v>
      </c>
    </row>
    <row r="14" spans="1:10">
      <c r="A14" s="818"/>
      <c r="B14" s="831"/>
      <c r="C14" s="829"/>
      <c r="D14" s="832"/>
      <c r="E14" s="844"/>
      <c r="F14" s="831"/>
      <c r="G14" s="829">
        <v>2.73</v>
      </c>
      <c r="H14" s="832">
        <f>-G13*G14*F13</f>
        <v>-2.4569999999999999</v>
      </c>
      <c r="I14" s="833"/>
    </row>
    <row r="15" spans="1:10">
      <c r="A15" s="818"/>
      <c r="B15" s="831"/>
      <c r="C15" s="829"/>
      <c r="D15" s="832"/>
      <c r="E15" s="844" t="s">
        <v>1074</v>
      </c>
      <c r="F15" s="831"/>
      <c r="G15" s="829"/>
      <c r="H15" s="832"/>
      <c r="I15" s="833" t="s">
        <v>552</v>
      </c>
    </row>
    <row r="16" spans="1:10">
      <c r="A16" s="818"/>
      <c r="B16" s="831">
        <v>2</v>
      </c>
      <c r="C16" s="829">
        <v>4.7</v>
      </c>
      <c r="D16" s="832"/>
      <c r="E16" s="833" t="s">
        <v>30</v>
      </c>
      <c r="F16" s="831">
        <v>2</v>
      </c>
      <c r="G16" s="829">
        <v>1.8</v>
      </c>
      <c r="H16" s="832"/>
      <c r="I16" s="833"/>
    </row>
    <row r="17" spans="1:9">
      <c r="A17" s="818"/>
      <c r="B17" s="831"/>
      <c r="C17" s="829">
        <v>0.3</v>
      </c>
      <c r="D17" s="832"/>
      <c r="E17" s="833" t="s">
        <v>1075</v>
      </c>
      <c r="F17" s="943"/>
      <c r="G17" s="829">
        <v>0.6</v>
      </c>
      <c r="H17" s="832">
        <f>-G16*G17*F16</f>
        <v>-2.16</v>
      </c>
      <c r="I17" s="833"/>
    </row>
    <row r="18" spans="1:9">
      <c r="A18" s="818"/>
      <c r="B18" s="831"/>
      <c r="C18" s="829">
        <v>0.2</v>
      </c>
      <c r="D18" s="832">
        <f>B16*C16*C17*C18</f>
        <v>0.56399999999999995</v>
      </c>
      <c r="E18" s="833"/>
      <c r="F18" s="943"/>
      <c r="G18" s="848"/>
      <c r="H18" s="843"/>
      <c r="I18" s="435"/>
    </row>
    <row r="19" spans="1:9">
      <c r="A19" s="818"/>
      <c r="B19" s="831"/>
      <c r="C19" s="829"/>
      <c r="D19" s="832"/>
      <c r="E19" s="833"/>
      <c r="F19" s="839"/>
      <c r="G19" s="935"/>
      <c r="H19" s="838">
        <f>H17+H14+H11+H8+D59+D56+D53</f>
        <v>48.762</v>
      </c>
      <c r="I19" s="839" t="s">
        <v>2480</v>
      </c>
    </row>
    <row r="20" spans="1:9">
      <c r="A20" s="818"/>
      <c r="B20" s="831">
        <v>2</v>
      </c>
      <c r="C20" s="829">
        <v>3</v>
      </c>
      <c r="D20" s="832"/>
      <c r="E20" s="833" t="s">
        <v>496</v>
      </c>
      <c r="F20" s="831"/>
      <c r="G20" s="829"/>
      <c r="H20" s="832" t="s">
        <v>3149</v>
      </c>
      <c r="I20" s="833"/>
    </row>
    <row r="21" spans="1:9">
      <c r="A21" s="818"/>
      <c r="B21" s="831"/>
      <c r="C21" s="829">
        <v>0.3</v>
      </c>
      <c r="D21" s="832"/>
      <c r="E21" s="833" t="s">
        <v>1076</v>
      </c>
      <c r="F21" s="831"/>
      <c r="G21" s="829"/>
      <c r="H21" s="832"/>
      <c r="I21" s="844" t="s">
        <v>124</v>
      </c>
    </row>
    <row r="22" spans="1:9">
      <c r="A22" s="818"/>
      <c r="B22" s="831"/>
      <c r="C22" s="829">
        <v>0.2</v>
      </c>
      <c r="D22" s="832">
        <f>B20*C20*C21*C22</f>
        <v>0.36</v>
      </c>
      <c r="E22" s="833"/>
      <c r="F22" s="831"/>
      <c r="G22" s="829"/>
      <c r="H22" s="832"/>
      <c r="I22" s="844" t="s">
        <v>125</v>
      </c>
    </row>
    <row r="23" spans="1:9">
      <c r="A23" s="818"/>
      <c r="B23" s="831"/>
      <c r="C23" s="829"/>
      <c r="D23" s="943"/>
      <c r="E23" s="833"/>
      <c r="F23" s="831"/>
      <c r="G23" s="829"/>
      <c r="H23" s="832"/>
      <c r="I23" s="833" t="s">
        <v>1201</v>
      </c>
    </row>
    <row r="24" spans="1:9">
      <c r="A24" s="818"/>
      <c r="B24" s="839"/>
      <c r="C24" s="935"/>
      <c r="D24" s="838">
        <f>SUM(D17:D22)</f>
        <v>0.92399999999999993</v>
      </c>
      <c r="E24" s="839" t="s">
        <v>2142</v>
      </c>
      <c r="F24" s="831">
        <v>1</v>
      </c>
      <c r="G24" s="829">
        <v>4.7</v>
      </c>
      <c r="H24" s="832"/>
      <c r="I24" s="833" t="s">
        <v>1202</v>
      </c>
    </row>
    <row r="25" spans="1:9">
      <c r="A25" s="818"/>
      <c r="B25" s="435"/>
      <c r="C25" s="943"/>
      <c r="D25" s="943"/>
      <c r="E25" s="435"/>
      <c r="F25" s="831"/>
      <c r="G25" s="829">
        <v>4.0999999999999996</v>
      </c>
      <c r="H25" s="843"/>
      <c r="I25" s="435"/>
    </row>
    <row r="26" spans="1:9">
      <c r="A26" s="818"/>
      <c r="B26" s="831"/>
      <c r="C26" s="829"/>
      <c r="D26" s="832"/>
      <c r="E26" s="844" t="s">
        <v>32</v>
      </c>
      <c r="F26" s="839"/>
      <c r="G26" s="935"/>
      <c r="H26" s="838">
        <f>G24*G25*F24</f>
        <v>19.27</v>
      </c>
      <c r="I26" s="839" t="s">
        <v>2124</v>
      </c>
    </row>
    <row r="27" spans="1:9">
      <c r="A27" s="818"/>
      <c r="B27" s="435"/>
      <c r="C27" s="943"/>
      <c r="D27" s="943"/>
      <c r="E27" s="844" t="s">
        <v>1253</v>
      </c>
      <c r="F27" s="831"/>
      <c r="G27" s="829"/>
      <c r="H27" s="832"/>
      <c r="I27" s="833"/>
    </row>
    <row r="28" spans="1:9">
      <c r="A28" s="818"/>
      <c r="B28" s="831">
        <v>4</v>
      </c>
      <c r="C28" s="829">
        <v>2.73</v>
      </c>
      <c r="D28" s="832"/>
      <c r="E28" s="833" t="s">
        <v>1078</v>
      </c>
      <c r="F28" s="831">
        <v>2</v>
      </c>
      <c r="G28" s="829">
        <v>4.7</v>
      </c>
      <c r="H28" s="832"/>
      <c r="I28" s="844" t="s">
        <v>2476</v>
      </c>
    </row>
    <row r="29" spans="1:9">
      <c r="A29" s="818"/>
      <c r="B29" s="831"/>
      <c r="C29" s="829">
        <v>0.8</v>
      </c>
      <c r="D29" s="943"/>
      <c r="E29" s="833"/>
      <c r="F29" s="831"/>
      <c r="G29" s="829">
        <v>0.6</v>
      </c>
      <c r="H29" s="832"/>
      <c r="I29" s="833" t="s">
        <v>2477</v>
      </c>
    </row>
    <row r="30" spans="1:9">
      <c r="A30" s="818"/>
      <c r="B30" s="839"/>
      <c r="C30" s="935"/>
      <c r="D30" s="838">
        <f>C28*C29*B28</f>
        <v>8.7360000000000007</v>
      </c>
      <c r="E30" s="839" t="s">
        <v>2459</v>
      </c>
      <c r="F30" s="839"/>
      <c r="G30" s="935"/>
      <c r="H30" s="838">
        <f>G29*G28*F28</f>
        <v>5.64</v>
      </c>
      <c r="I30" s="839" t="s">
        <v>2129</v>
      </c>
    </row>
    <row r="31" spans="1:9">
      <c r="A31" s="818"/>
      <c r="B31" s="435"/>
      <c r="C31" s="943"/>
      <c r="D31" s="943"/>
      <c r="E31" s="435"/>
      <c r="F31" s="831"/>
      <c r="G31" s="829"/>
      <c r="H31" s="832"/>
      <c r="I31" s="833"/>
    </row>
    <row r="32" spans="1:9">
      <c r="A32" s="818"/>
      <c r="B32" s="435"/>
      <c r="C32" s="943"/>
      <c r="D32" s="943"/>
      <c r="E32" s="844" t="s">
        <v>1242</v>
      </c>
      <c r="F32" s="831">
        <v>2</v>
      </c>
      <c r="G32" s="829">
        <v>6.4</v>
      </c>
      <c r="H32" s="832"/>
      <c r="I32" s="844" t="s">
        <v>2478</v>
      </c>
    </row>
    <row r="33" spans="1:9">
      <c r="A33" s="818"/>
      <c r="B33" s="831">
        <v>2</v>
      </c>
      <c r="C33" s="829">
        <v>4.3</v>
      </c>
      <c r="D33" s="832"/>
      <c r="E33" s="833" t="s">
        <v>30</v>
      </c>
      <c r="F33" s="831"/>
      <c r="G33" s="829"/>
      <c r="H33" s="832"/>
      <c r="I33" s="833"/>
    </row>
    <row r="34" spans="1:9">
      <c r="A34" s="818"/>
      <c r="B34" s="831"/>
      <c r="C34" s="829">
        <v>0.8</v>
      </c>
      <c r="D34" s="832">
        <f>C33*C34*B33</f>
        <v>6.88</v>
      </c>
      <c r="E34" s="833" t="s">
        <v>1080</v>
      </c>
      <c r="F34" s="839"/>
      <c r="G34" s="935"/>
      <c r="H34" s="838">
        <f>G32*F32</f>
        <v>12.8</v>
      </c>
      <c r="I34" s="839" t="s">
        <v>2347</v>
      </c>
    </row>
    <row r="35" spans="1:9">
      <c r="A35" s="818"/>
      <c r="B35" s="831"/>
      <c r="C35" s="829"/>
      <c r="D35" s="832"/>
      <c r="E35" s="833"/>
      <c r="F35" s="943"/>
      <c r="G35" s="848"/>
      <c r="H35" s="843"/>
      <c r="I35" s="435"/>
    </row>
    <row r="36" spans="1:9">
      <c r="A36" s="818"/>
      <c r="B36" s="831">
        <v>2</v>
      </c>
      <c r="C36" s="829">
        <v>3</v>
      </c>
      <c r="D36" s="832"/>
      <c r="E36" s="833" t="s">
        <v>496</v>
      </c>
      <c r="F36" s="831"/>
      <c r="G36" s="829"/>
      <c r="H36" s="832"/>
      <c r="I36" s="844" t="s">
        <v>2479</v>
      </c>
    </row>
    <row r="37" spans="1:9">
      <c r="A37" s="818"/>
      <c r="B37" s="831"/>
      <c r="C37" s="829">
        <v>0.8</v>
      </c>
      <c r="D37" s="832">
        <f>C36*C37*B36</f>
        <v>4.8000000000000007</v>
      </c>
      <c r="E37" s="833" t="s">
        <v>740</v>
      </c>
      <c r="F37" s="831"/>
      <c r="G37" s="829"/>
      <c r="H37" s="832"/>
      <c r="I37" s="844"/>
    </row>
    <row r="38" spans="1:9">
      <c r="A38" s="818"/>
      <c r="B38" s="831"/>
      <c r="C38" s="829"/>
      <c r="D38" s="832"/>
      <c r="E38" s="833"/>
      <c r="F38" s="831"/>
      <c r="G38" s="829"/>
      <c r="H38" s="832"/>
      <c r="I38" s="844" t="s">
        <v>110</v>
      </c>
    </row>
    <row r="39" spans="1:9">
      <c r="A39" s="818"/>
      <c r="B39" s="831">
        <v>8</v>
      </c>
      <c r="C39" s="829">
        <v>0.2</v>
      </c>
      <c r="D39" s="832"/>
      <c r="E39" s="833"/>
      <c r="F39" s="831"/>
      <c r="G39" s="829"/>
      <c r="H39" s="832"/>
      <c r="I39" s="833" t="s">
        <v>2481</v>
      </c>
    </row>
    <row r="40" spans="1:9">
      <c r="A40" s="818"/>
      <c r="B40" s="831"/>
      <c r="C40" s="829">
        <v>0.3</v>
      </c>
      <c r="D40" s="832">
        <f>C39*C40*B39</f>
        <v>0.48</v>
      </c>
      <c r="E40" s="844"/>
      <c r="F40" s="831">
        <v>6</v>
      </c>
      <c r="G40" s="829">
        <v>10.050000000000001</v>
      </c>
      <c r="H40" s="832"/>
      <c r="I40" s="833" t="s">
        <v>2482</v>
      </c>
    </row>
    <row r="41" spans="1:9">
      <c r="A41" s="818"/>
      <c r="B41" s="831"/>
      <c r="C41" s="829"/>
      <c r="D41" s="943"/>
      <c r="E41" s="844"/>
      <c r="F41" s="839"/>
      <c r="G41" s="839"/>
      <c r="H41" s="838">
        <f>G40*F40</f>
        <v>60.300000000000004</v>
      </c>
      <c r="I41" s="839" t="s">
        <v>2128</v>
      </c>
    </row>
    <row r="42" spans="1:9">
      <c r="A42" s="818"/>
      <c r="B42" s="839"/>
      <c r="C42" s="935"/>
      <c r="D42" s="838">
        <f>SUM(D34:D41)</f>
        <v>12.16</v>
      </c>
      <c r="E42" s="839" t="s">
        <v>2117</v>
      </c>
      <c r="F42" s="831"/>
      <c r="G42" s="829"/>
      <c r="H42" s="832"/>
      <c r="I42" s="833"/>
    </row>
    <row r="43" spans="1:9">
      <c r="A43" s="818"/>
      <c r="B43" s="435"/>
      <c r="C43" s="943"/>
      <c r="D43" s="943"/>
      <c r="E43" s="435"/>
      <c r="F43" s="831"/>
      <c r="G43" s="829"/>
      <c r="H43" s="832"/>
      <c r="I43" s="833" t="s">
        <v>114</v>
      </c>
    </row>
    <row r="44" spans="1:9">
      <c r="A44" s="818"/>
      <c r="B44" s="831"/>
      <c r="C44" s="829"/>
      <c r="D44" s="832"/>
      <c r="E44" s="833" t="s">
        <v>1082</v>
      </c>
      <c r="F44" s="831">
        <v>6</v>
      </c>
      <c r="G44" s="829">
        <v>6.28</v>
      </c>
      <c r="H44" s="832"/>
      <c r="I44" s="833"/>
    </row>
    <row r="45" spans="1:9">
      <c r="A45" s="818"/>
      <c r="B45" s="839"/>
      <c r="C45" s="935"/>
      <c r="D45" s="838">
        <f>'Re-bar pump house'!M46</f>
        <v>145.17024000000001</v>
      </c>
      <c r="E45" s="839" t="s">
        <v>2462</v>
      </c>
      <c r="F45" s="839"/>
      <c r="G45" s="839"/>
      <c r="H45" s="838">
        <f>G44*F44</f>
        <v>37.68</v>
      </c>
      <c r="I45" s="839" t="s">
        <v>2128</v>
      </c>
    </row>
    <row r="46" spans="1:9">
      <c r="A46" s="818"/>
      <c r="B46" s="831"/>
      <c r="C46" s="829"/>
      <c r="D46" s="832"/>
      <c r="E46" s="833"/>
      <c r="F46" s="831"/>
      <c r="G46" s="829"/>
      <c r="H46" s="832"/>
      <c r="I46" s="833"/>
    </row>
    <row r="47" spans="1:9">
      <c r="A47" s="818"/>
      <c r="B47" s="831"/>
      <c r="C47" s="829"/>
      <c r="D47" s="832"/>
      <c r="E47" s="833" t="s">
        <v>1084</v>
      </c>
      <c r="F47" s="831"/>
      <c r="G47" s="829"/>
      <c r="H47" s="832"/>
      <c r="I47" s="844" t="s">
        <v>117</v>
      </c>
    </row>
    <row r="48" spans="1:9">
      <c r="A48" s="818"/>
      <c r="B48" s="839"/>
      <c r="C48" s="935"/>
      <c r="D48" s="838">
        <f>'Re-bar pump house'!K46</f>
        <v>43.923999999999999</v>
      </c>
      <c r="E48" s="839" t="s">
        <v>2463</v>
      </c>
      <c r="F48" s="831"/>
      <c r="G48" s="829"/>
      <c r="H48" s="832"/>
      <c r="I48" s="833" t="s">
        <v>2483</v>
      </c>
    </row>
    <row r="49" spans="1:9">
      <c r="A49" s="818"/>
      <c r="B49" s="831"/>
      <c r="C49" s="829"/>
      <c r="D49" s="832"/>
      <c r="E49" s="833"/>
      <c r="F49" s="831">
        <v>6</v>
      </c>
      <c r="G49" s="829">
        <v>5.9</v>
      </c>
      <c r="H49" s="832"/>
      <c r="I49" s="833" t="s">
        <v>1087</v>
      </c>
    </row>
    <row r="50" spans="1:9">
      <c r="A50" s="818"/>
      <c r="B50" s="831"/>
      <c r="C50" s="829"/>
      <c r="D50" s="832"/>
      <c r="E50" s="844" t="s">
        <v>350</v>
      </c>
      <c r="F50" s="839"/>
      <c r="G50" s="839"/>
      <c r="H50" s="838">
        <f>G49*F49</f>
        <v>35.400000000000006</v>
      </c>
      <c r="I50" s="839" t="s">
        <v>2349</v>
      </c>
    </row>
    <row r="51" spans="1:9">
      <c r="A51" s="818"/>
      <c r="B51" s="943"/>
      <c r="C51" s="848"/>
      <c r="D51" s="832"/>
      <c r="E51" s="844" t="s">
        <v>65</v>
      </c>
      <c r="F51" s="831"/>
      <c r="G51" s="829"/>
      <c r="H51" s="832"/>
      <c r="I51" s="833"/>
    </row>
    <row r="52" spans="1:9">
      <c r="A52" s="818"/>
      <c r="B52" s="831">
        <v>2</v>
      </c>
      <c r="C52" s="829">
        <v>4.3</v>
      </c>
      <c r="D52" s="832"/>
      <c r="E52" s="833"/>
      <c r="F52" s="831"/>
      <c r="G52" s="829"/>
      <c r="H52" s="832"/>
      <c r="I52" s="833" t="s">
        <v>122</v>
      </c>
    </row>
    <row r="53" spans="1:9">
      <c r="A53" s="818"/>
      <c r="B53" s="831"/>
      <c r="C53" s="829">
        <v>2.73</v>
      </c>
      <c r="D53" s="832">
        <f>C52*C53*B52</f>
        <v>23.477999999999998</v>
      </c>
      <c r="E53" s="833" t="s">
        <v>1072</v>
      </c>
      <c r="F53" s="831">
        <v>1</v>
      </c>
      <c r="G53" s="829">
        <v>5.9</v>
      </c>
      <c r="H53" s="832"/>
      <c r="I53" s="833"/>
    </row>
    <row r="54" spans="1:9">
      <c r="A54" s="818"/>
      <c r="B54" s="831"/>
      <c r="C54" s="829"/>
      <c r="D54" s="832"/>
      <c r="E54" s="833"/>
      <c r="F54" s="831"/>
      <c r="G54" s="829"/>
      <c r="H54" s="832">
        <f t="shared" ref="H54" si="0">F53*G53</f>
        <v>5.9</v>
      </c>
      <c r="I54" s="833" t="s">
        <v>2484</v>
      </c>
    </row>
    <row r="55" spans="1:9">
      <c r="A55" s="818"/>
      <c r="B55" s="831">
        <v>2</v>
      </c>
      <c r="C55" s="829">
        <v>3.1</v>
      </c>
      <c r="D55" s="832"/>
      <c r="E55" s="833"/>
      <c r="F55" s="831"/>
      <c r="G55" s="829"/>
      <c r="H55" s="832"/>
      <c r="I55" s="833"/>
    </row>
    <row r="56" spans="1:9">
      <c r="A56" s="818"/>
      <c r="B56" s="831"/>
      <c r="C56" s="829">
        <v>2.73</v>
      </c>
      <c r="D56" s="832">
        <f>C55*C56*B55</f>
        <v>16.926000000000002</v>
      </c>
      <c r="E56" s="833" t="s">
        <v>1073</v>
      </c>
      <c r="F56" s="831">
        <v>2</v>
      </c>
      <c r="G56" s="829">
        <v>0.5</v>
      </c>
      <c r="H56" s="832"/>
      <c r="I56" s="833"/>
    </row>
    <row r="57" spans="1:9">
      <c r="A57" s="818"/>
      <c r="B57" s="831"/>
      <c r="C57" s="829"/>
      <c r="D57" s="832"/>
      <c r="E57" s="833"/>
      <c r="F57" s="831"/>
      <c r="G57" s="829"/>
      <c r="H57" s="832">
        <f>F56*G56</f>
        <v>1</v>
      </c>
      <c r="I57" s="833"/>
    </row>
    <row r="58" spans="1:9">
      <c r="A58" s="818"/>
      <c r="B58" s="831">
        <v>2</v>
      </c>
      <c r="C58" s="829">
        <v>3.5</v>
      </c>
      <c r="D58" s="832"/>
      <c r="E58" s="833"/>
      <c r="F58" s="831"/>
      <c r="G58" s="829"/>
      <c r="H58" s="832"/>
      <c r="I58" s="833"/>
    </row>
    <row r="59" spans="1:9">
      <c r="A59" s="818"/>
      <c r="B59" s="831"/>
      <c r="C59" s="829">
        <v>0.88</v>
      </c>
      <c r="D59" s="832">
        <f>C58*C59*B58</f>
        <v>6.16</v>
      </c>
      <c r="E59" s="833" t="s">
        <v>338</v>
      </c>
      <c r="F59" s="839"/>
      <c r="G59" s="839"/>
      <c r="H59" s="838">
        <f>H57+H54</f>
        <v>6.9</v>
      </c>
      <c r="I59" s="839" t="s">
        <v>2350</v>
      </c>
    </row>
    <row r="60" spans="1:9">
      <c r="A60" s="818"/>
      <c r="B60" s="831"/>
      <c r="C60" s="829"/>
      <c r="D60" s="832"/>
      <c r="E60" s="844"/>
      <c r="F60" s="831"/>
      <c r="G60" s="829"/>
      <c r="H60" s="832"/>
      <c r="I60" s="833"/>
    </row>
    <row r="61" spans="1:9">
      <c r="A61" s="818"/>
      <c r="B61" s="831"/>
      <c r="C61" s="829"/>
      <c r="D61" s="832"/>
      <c r="E61" s="844"/>
      <c r="F61" s="831"/>
      <c r="G61" s="829"/>
      <c r="H61" s="832"/>
      <c r="I61" s="833"/>
    </row>
    <row r="62" spans="1:9">
      <c r="A62" s="818"/>
      <c r="B62" s="849"/>
      <c r="C62" s="850"/>
      <c r="D62" s="851"/>
      <c r="E62" s="852"/>
      <c r="F62" s="860"/>
      <c r="G62" s="927"/>
      <c r="H62" s="928"/>
      <c r="I62" s="109"/>
    </row>
    <row r="64" spans="1:9">
      <c r="F64" s="103"/>
      <c r="G64" s="103"/>
      <c r="H64" s="103"/>
    </row>
    <row r="65" spans="6:8">
      <c r="F65" s="103"/>
      <c r="G65" s="103"/>
      <c r="H65" s="103"/>
    </row>
    <row r="66" spans="6:8">
      <c r="F66" s="103"/>
      <c r="G66" s="103"/>
      <c r="H66" s="103"/>
    </row>
    <row r="67" spans="6:8">
      <c r="F67" s="103"/>
      <c r="G67" s="103"/>
      <c r="H67" s="103"/>
    </row>
    <row r="68" spans="6:8">
      <c r="F68" s="103"/>
      <c r="G68" s="103"/>
      <c r="H68" s="103"/>
    </row>
    <row r="69" spans="6:8">
      <c r="F69" s="103"/>
      <c r="G69" s="103"/>
      <c r="H69" s="103"/>
    </row>
    <row r="70" spans="6:8">
      <c r="F70" s="103"/>
      <c r="G70" s="103"/>
      <c r="H70" s="103"/>
    </row>
    <row r="71" spans="6:8">
      <c r="F71" s="103"/>
      <c r="G71" s="103"/>
      <c r="H71" s="103"/>
    </row>
    <row r="72" spans="6:8">
      <c r="F72" s="103"/>
      <c r="G72" s="103"/>
      <c r="H72" s="103"/>
    </row>
    <row r="73" spans="6:8">
      <c r="F73" s="103"/>
      <c r="G73" s="103"/>
      <c r="H73" s="103"/>
    </row>
    <row r="74" spans="6:8">
      <c r="F74" s="103"/>
      <c r="G74" s="103"/>
      <c r="H74" s="103"/>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B1:N56"/>
  <sheetViews>
    <sheetView view="pageBreakPreview" zoomScaleSheetLayoutView="100" workbookViewId="0">
      <selection activeCell="K54" sqref="K54"/>
    </sheetView>
  </sheetViews>
  <sheetFormatPr defaultRowHeight="15.75"/>
  <cols>
    <col min="1" max="1" width="4.85546875" style="158" customWidth="1"/>
    <col min="2" max="2" width="4.42578125" style="158" customWidth="1"/>
    <col min="3" max="3" width="18.85546875" style="158" customWidth="1"/>
    <col min="4" max="4" width="18.5703125" style="158" customWidth="1"/>
    <col min="5" max="5" width="6.28515625" style="158" customWidth="1"/>
    <col min="6" max="6" width="7.140625" style="158" customWidth="1"/>
    <col min="7" max="7" width="8.5703125" style="158" customWidth="1"/>
    <col min="8" max="8" width="9.42578125" style="158" customWidth="1"/>
    <col min="9" max="9" width="8.28515625" style="158" customWidth="1"/>
    <col min="10" max="10" width="8.140625" style="158" customWidth="1"/>
    <col min="11" max="11" width="10.42578125" style="158" customWidth="1"/>
    <col min="12" max="12" width="7.7109375" style="158" customWidth="1"/>
    <col min="13" max="13" width="12.28515625" style="158" customWidth="1"/>
    <col min="14" max="14" width="11.140625" style="158" customWidth="1"/>
    <col min="15" max="15" width="5.5703125" style="158" customWidth="1"/>
    <col min="16" max="16384" width="9.140625" style="158"/>
  </cols>
  <sheetData>
    <row r="1" spans="2:14">
      <c r="B1" s="2184" t="s">
        <v>1257</v>
      </c>
      <c r="C1" s="2184"/>
      <c r="D1" s="2184"/>
      <c r="E1" s="2184"/>
      <c r="F1" s="2184"/>
      <c r="G1" s="2184"/>
      <c r="L1" s="2221" t="s">
        <v>1206</v>
      </c>
      <c r="M1" s="2221"/>
      <c r="N1" s="2221"/>
    </row>
    <row r="2" spans="2:14">
      <c r="B2" s="2184" t="s">
        <v>1208</v>
      </c>
      <c r="C2" s="2184"/>
      <c r="D2" s="2184"/>
      <c r="E2" s="2184"/>
      <c r="F2" s="2184"/>
      <c r="G2" s="2184"/>
      <c r="L2" s="2221" t="s">
        <v>1265</v>
      </c>
      <c r="M2" s="2221"/>
      <c r="N2" s="2221"/>
    </row>
    <row r="3" spans="2:14">
      <c r="B3" s="2184" t="s">
        <v>1258</v>
      </c>
      <c r="C3" s="2184"/>
      <c r="D3" s="2184"/>
      <c r="E3" s="2184"/>
      <c r="F3" s="2184"/>
      <c r="G3" s="2184"/>
      <c r="L3" s="2221" t="s">
        <v>1794</v>
      </c>
      <c r="M3" s="2221"/>
      <c r="N3" s="2221"/>
    </row>
    <row r="4" spans="2:14" ht="16.5" thickBot="1">
      <c r="B4" s="2184" t="s">
        <v>1209</v>
      </c>
      <c r="C4" s="2184"/>
      <c r="D4" s="2184"/>
      <c r="E4" s="2184"/>
      <c r="F4" s="2184"/>
      <c r="G4" s="2184"/>
      <c r="J4" s="157"/>
      <c r="K4" s="157"/>
      <c r="L4" s="157"/>
      <c r="M4" s="157"/>
      <c r="N4" s="395"/>
    </row>
    <row r="5" spans="2:14" ht="16.5" thickTop="1">
      <c r="B5" s="2247" t="s">
        <v>4</v>
      </c>
      <c r="C5" s="2245" t="s">
        <v>293</v>
      </c>
      <c r="D5" s="2245" t="s">
        <v>309</v>
      </c>
      <c r="E5" s="2245" t="s">
        <v>310</v>
      </c>
      <c r="F5" s="394" t="s">
        <v>295</v>
      </c>
      <c r="G5" s="2249" t="s">
        <v>311</v>
      </c>
      <c r="H5" s="2250"/>
      <c r="I5" s="2251"/>
      <c r="J5" s="389"/>
      <c r="K5" s="389" t="s">
        <v>312</v>
      </c>
      <c r="L5" s="389"/>
      <c r="M5" s="389"/>
      <c r="N5" s="393"/>
    </row>
    <row r="6" spans="2:14" ht="16.5" thickBot="1">
      <c r="B6" s="2248"/>
      <c r="C6" s="2246"/>
      <c r="D6" s="2246"/>
      <c r="E6" s="2246"/>
      <c r="F6" s="124" t="s">
        <v>313</v>
      </c>
      <c r="G6" s="124" t="s">
        <v>314</v>
      </c>
      <c r="H6" s="124" t="s">
        <v>315</v>
      </c>
      <c r="I6" s="145" t="s">
        <v>316</v>
      </c>
      <c r="J6" s="347" t="s">
        <v>317</v>
      </c>
      <c r="K6" s="392" t="s">
        <v>318</v>
      </c>
      <c r="L6" s="145" t="s">
        <v>319</v>
      </c>
      <c r="M6" s="145" t="s">
        <v>320</v>
      </c>
      <c r="N6" s="348" t="s">
        <v>321</v>
      </c>
    </row>
    <row r="7" spans="2:14" ht="16.5" thickTop="1">
      <c r="B7" s="390"/>
      <c r="C7" s="106"/>
      <c r="D7" s="106"/>
      <c r="E7" s="106"/>
      <c r="F7" s="108"/>
      <c r="G7" s="106"/>
      <c r="H7" s="107"/>
      <c r="I7" s="106"/>
      <c r="J7" s="350"/>
      <c r="K7" s="350"/>
      <c r="L7" s="350"/>
      <c r="M7" s="350"/>
      <c r="N7" s="351"/>
    </row>
    <row r="8" spans="2:14">
      <c r="B8" s="140"/>
      <c r="C8" s="110"/>
      <c r="D8" s="110"/>
      <c r="E8" s="110"/>
      <c r="F8" s="113"/>
      <c r="G8" s="110"/>
      <c r="H8" s="112"/>
      <c r="I8" s="110"/>
      <c r="J8" s="119"/>
      <c r="K8" s="119"/>
      <c r="L8" s="119"/>
      <c r="M8" s="119"/>
      <c r="N8" s="354"/>
    </row>
    <row r="9" spans="2:14">
      <c r="B9" s="140"/>
      <c r="C9" s="42"/>
      <c r="D9" s="110"/>
      <c r="E9" s="110"/>
      <c r="F9" s="113"/>
      <c r="G9" s="110"/>
      <c r="H9" s="112"/>
      <c r="I9" s="110"/>
      <c r="J9" s="119"/>
      <c r="K9" s="119"/>
      <c r="L9" s="119"/>
      <c r="M9" s="119"/>
      <c r="N9" s="354"/>
    </row>
    <row r="10" spans="2:14">
      <c r="B10" s="140"/>
      <c r="C10" s="42" t="s">
        <v>1</v>
      </c>
      <c r="D10" s="110" t="s">
        <v>485</v>
      </c>
      <c r="E10" s="110">
        <v>14</v>
      </c>
      <c r="F10" s="113">
        <v>6.05</v>
      </c>
      <c r="G10" s="110">
        <v>2</v>
      </c>
      <c r="H10" s="112">
        <v>3</v>
      </c>
      <c r="I10" s="110">
        <f t="shared" ref="I10:I15" si="0">H10*G10</f>
        <v>6</v>
      </c>
      <c r="J10" s="119"/>
      <c r="K10" s="119"/>
      <c r="L10" s="119"/>
      <c r="M10" s="119"/>
      <c r="N10" s="354">
        <f>F10*I10</f>
        <v>36.299999999999997</v>
      </c>
    </row>
    <row r="11" spans="2:14">
      <c r="B11" s="140"/>
      <c r="C11" s="42"/>
      <c r="D11" s="110"/>
      <c r="E11" s="110">
        <v>14</v>
      </c>
      <c r="F11" s="113">
        <v>5.35</v>
      </c>
      <c r="G11" s="110">
        <v>2</v>
      </c>
      <c r="H11" s="112">
        <v>3</v>
      </c>
      <c r="I11" s="110">
        <f t="shared" si="0"/>
        <v>6</v>
      </c>
      <c r="J11" s="119"/>
      <c r="K11" s="119"/>
      <c r="L11" s="119"/>
      <c r="M11" s="119"/>
      <c r="N11" s="354">
        <f>F11*I11</f>
        <v>32.099999999999994</v>
      </c>
    </row>
    <row r="12" spans="2:14">
      <c r="B12" s="140"/>
      <c r="C12" s="42"/>
      <c r="D12" s="110"/>
      <c r="E12" s="110">
        <v>8</v>
      </c>
      <c r="F12" s="113">
        <v>1.2</v>
      </c>
      <c r="G12" s="110">
        <v>2</v>
      </c>
      <c r="H12" s="112">
        <v>26</v>
      </c>
      <c r="I12" s="110">
        <f t="shared" si="0"/>
        <v>52</v>
      </c>
      <c r="J12" s="119"/>
      <c r="K12" s="119">
        <f>F12*I12</f>
        <v>62.4</v>
      </c>
      <c r="L12" s="119"/>
      <c r="M12" s="119"/>
      <c r="N12" s="354"/>
    </row>
    <row r="13" spans="2:14">
      <c r="B13" s="140"/>
      <c r="C13" s="42"/>
      <c r="D13" s="110" t="s">
        <v>486</v>
      </c>
      <c r="E13" s="110">
        <v>14</v>
      </c>
      <c r="F13" s="113">
        <v>4.4000000000000004</v>
      </c>
      <c r="G13" s="110">
        <v>2</v>
      </c>
      <c r="H13" s="112">
        <v>3</v>
      </c>
      <c r="I13" s="110">
        <f t="shared" si="0"/>
        <v>6</v>
      </c>
      <c r="J13" s="119"/>
      <c r="K13" s="119"/>
      <c r="L13" s="119"/>
      <c r="M13" s="119"/>
      <c r="N13" s="354">
        <f>F13*I13</f>
        <v>26.400000000000002</v>
      </c>
    </row>
    <row r="14" spans="2:14">
      <c r="B14" s="140"/>
      <c r="C14" s="42"/>
      <c r="D14" s="110"/>
      <c r="E14" s="110">
        <v>14</v>
      </c>
      <c r="F14" s="113">
        <v>3.9</v>
      </c>
      <c r="G14" s="110">
        <v>2</v>
      </c>
      <c r="H14" s="112">
        <v>3</v>
      </c>
      <c r="I14" s="110">
        <f t="shared" si="0"/>
        <v>6</v>
      </c>
      <c r="J14" s="119"/>
      <c r="K14" s="119"/>
      <c r="L14" s="119"/>
      <c r="M14" s="119"/>
      <c r="N14" s="354">
        <f>F14*I14</f>
        <v>23.4</v>
      </c>
    </row>
    <row r="15" spans="2:14">
      <c r="B15" s="140"/>
      <c r="C15" s="42"/>
      <c r="D15" s="110"/>
      <c r="E15" s="110">
        <v>8</v>
      </c>
      <c r="F15" s="113">
        <v>1.2</v>
      </c>
      <c r="G15" s="110">
        <v>2</v>
      </c>
      <c r="H15" s="112">
        <v>19</v>
      </c>
      <c r="I15" s="110">
        <f t="shared" si="0"/>
        <v>38</v>
      </c>
      <c r="J15" s="119"/>
      <c r="K15" s="119">
        <f>F15*I15</f>
        <v>45.6</v>
      </c>
      <c r="L15" s="119"/>
      <c r="M15" s="119"/>
      <c r="N15" s="354"/>
    </row>
    <row r="16" spans="2:14">
      <c r="B16" s="140"/>
      <c r="C16" s="42"/>
      <c r="D16" s="110"/>
      <c r="E16" s="110"/>
      <c r="F16" s="113"/>
      <c r="G16" s="110"/>
      <c r="H16" s="112"/>
      <c r="I16" s="110"/>
      <c r="J16" s="119"/>
      <c r="K16" s="119"/>
      <c r="L16" s="119"/>
      <c r="M16" s="119"/>
      <c r="N16" s="354"/>
    </row>
    <row r="17" spans="2:14">
      <c r="B17" s="140"/>
      <c r="C17" s="42" t="s">
        <v>1092</v>
      </c>
      <c r="D17" s="110"/>
      <c r="E17" s="110">
        <v>8</v>
      </c>
      <c r="F17" s="113">
        <v>3.42</v>
      </c>
      <c r="G17" s="110">
        <v>1</v>
      </c>
      <c r="H17" s="112">
        <v>25</v>
      </c>
      <c r="I17" s="110">
        <f>H17*G17</f>
        <v>25</v>
      </c>
      <c r="J17" s="119"/>
      <c r="K17" s="119">
        <f>F17*I17</f>
        <v>85.5</v>
      </c>
      <c r="L17" s="119"/>
      <c r="M17" s="119"/>
      <c r="N17" s="354"/>
    </row>
    <row r="18" spans="2:14">
      <c r="B18" s="140"/>
      <c r="C18" s="42"/>
      <c r="D18" s="110"/>
      <c r="E18" s="110">
        <v>8</v>
      </c>
      <c r="F18" s="113">
        <v>4.87</v>
      </c>
      <c r="G18" s="110">
        <v>1</v>
      </c>
      <c r="H18" s="112">
        <v>18</v>
      </c>
      <c r="I18" s="110">
        <f>H18*G18</f>
        <v>18</v>
      </c>
      <c r="J18" s="119"/>
      <c r="K18" s="119">
        <f>F18*I18</f>
        <v>87.66</v>
      </c>
      <c r="L18" s="119"/>
      <c r="M18" s="119"/>
      <c r="N18" s="354"/>
    </row>
    <row r="19" spans="2:14">
      <c r="B19" s="140"/>
      <c r="C19" s="42"/>
      <c r="D19" s="110"/>
      <c r="E19" s="110"/>
      <c r="F19" s="113"/>
      <c r="G19" s="110"/>
      <c r="H19" s="112"/>
      <c r="I19" s="110"/>
      <c r="J19" s="119"/>
      <c r="K19" s="119"/>
      <c r="L19" s="119"/>
      <c r="M19" s="119"/>
      <c r="N19" s="354"/>
    </row>
    <row r="20" spans="2:14">
      <c r="B20" s="140"/>
      <c r="C20" s="42"/>
      <c r="D20" s="110"/>
      <c r="E20" s="110"/>
      <c r="F20" s="113"/>
      <c r="G20" s="110"/>
      <c r="H20" s="112"/>
      <c r="I20" s="110"/>
      <c r="J20" s="119"/>
      <c r="K20" s="119"/>
      <c r="L20" s="119"/>
      <c r="M20" s="119"/>
      <c r="N20" s="354"/>
    </row>
    <row r="21" spans="2:14">
      <c r="B21" s="140"/>
      <c r="C21" s="42"/>
      <c r="D21" s="110"/>
      <c r="E21" s="110"/>
      <c r="F21" s="113"/>
      <c r="G21" s="110"/>
      <c r="H21" s="112"/>
      <c r="I21" s="113"/>
      <c r="J21" s="119"/>
      <c r="K21" s="119"/>
      <c r="L21" s="119"/>
      <c r="M21" s="119"/>
      <c r="N21" s="354"/>
    </row>
    <row r="22" spans="2:14">
      <c r="B22" s="140"/>
      <c r="C22" s="42"/>
      <c r="D22" s="110"/>
      <c r="E22" s="110"/>
      <c r="F22" s="113"/>
      <c r="G22" s="110"/>
      <c r="H22" s="112"/>
      <c r="I22" s="110"/>
      <c r="J22" s="119"/>
      <c r="K22" s="119"/>
      <c r="L22" s="119"/>
      <c r="M22" s="119"/>
      <c r="N22" s="354"/>
    </row>
    <row r="23" spans="2:14">
      <c r="B23" s="140"/>
      <c r="C23" s="142"/>
      <c r="D23" s="134"/>
      <c r="E23" s="134"/>
      <c r="F23" s="119"/>
      <c r="G23" s="134"/>
      <c r="H23" s="134"/>
      <c r="I23" s="134"/>
      <c r="J23" s="119"/>
      <c r="K23" s="119">
        <f>F23*I23</f>
        <v>0</v>
      </c>
      <c r="L23" s="119"/>
      <c r="M23" s="119"/>
      <c r="N23" s="354"/>
    </row>
    <row r="24" spans="2:14">
      <c r="B24" s="140"/>
      <c r="C24" s="142"/>
      <c r="D24" s="134"/>
      <c r="E24" s="134"/>
      <c r="F24" s="119"/>
      <c r="G24" s="134"/>
      <c r="H24" s="134"/>
      <c r="I24" s="134"/>
      <c r="J24" s="119"/>
      <c r="K24" s="119"/>
      <c r="L24" s="119"/>
      <c r="M24" s="119"/>
      <c r="N24" s="354"/>
    </row>
    <row r="25" spans="2:14">
      <c r="B25" s="140"/>
      <c r="C25" s="142"/>
      <c r="D25" s="134"/>
      <c r="E25" s="134"/>
      <c r="F25" s="119"/>
      <c r="G25" s="134"/>
      <c r="H25" s="134"/>
      <c r="I25" s="134"/>
      <c r="J25" s="134"/>
      <c r="K25" s="371"/>
      <c r="L25" s="119"/>
      <c r="M25" s="371"/>
      <c r="N25" s="354"/>
    </row>
    <row r="26" spans="2:14">
      <c r="B26" s="140"/>
      <c r="C26" s="134"/>
      <c r="D26" s="134"/>
      <c r="E26" s="134"/>
      <c r="F26" s="119"/>
      <c r="G26" s="134"/>
      <c r="H26" s="134"/>
      <c r="I26" s="134"/>
      <c r="J26" s="134"/>
      <c r="K26" s="371"/>
      <c r="L26" s="119"/>
      <c r="M26" s="371"/>
      <c r="N26" s="354"/>
    </row>
    <row r="27" spans="2:14" ht="16.5" thickBot="1">
      <c r="B27" s="391"/>
      <c r="C27" s="145"/>
      <c r="D27" s="145"/>
      <c r="E27" s="145"/>
      <c r="F27" s="356"/>
      <c r="G27" s="145"/>
      <c r="H27" s="145"/>
      <c r="I27" s="145"/>
      <c r="J27" s="145"/>
      <c r="K27" s="374"/>
      <c r="L27" s="356"/>
      <c r="M27" s="374"/>
      <c r="N27" s="357"/>
    </row>
    <row r="28" spans="2:14" ht="16.5" thickTop="1">
      <c r="B28" s="346"/>
      <c r="C28" s="346"/>
      <c r="D28" s="346"/>
      <c r="E28" s="346"/>
      <c r="F28" s="2294" t="s">
        <v>301</v>
      </c>
      <c r="G28" s="2294"/>
      <c r="H28" s="2294"/>
      <c r="I28" s="2295"/>
      <c r="J28" s="359"/>
      <c r="K28" s="350">
        <f>SUM(K7:K27)</f>
        <v>281.15999999999997</v>
      </c>
      <c r="L28" s="350">
        <f>SUM(L7:L27)</f>
        <v>0</v>
      </c>
      <c r="M28" s="350">
        <f>SUM(M7:M27)</f>
        <v>0</v>
      </c>
      <c r="N28" s="351">
        <f>SUM(N7:N27)</f>
        <v>118.19999999999999</v>
      </c>
    </row>
    <row r="29" spans="2:14">
      <c r="B29" s="346"/>
      <c r="C29" s="346"/>
      <c r="D29" s="346"/>
      <c r="E29" s="346"/>
      <c r="F29" s="346" t="s">
        <v>302</v>
      </c>
      <c r="G29" s="346"/>
      <c r="H29" s="346"/>
      <c r="I29" s="346"/>
      <c r="J29" s="361"/>
      <c r="K29" s="425" t="s">
        <v>303</v>
      </c>
      <c r="L29" s="426" t="s">
        <v>304</v>
      </c>
      <c r="M29" s="425" t="s">
        <v>305</v>
      </c>
      <c r="N29" s="427" t="s">
        <v>306</v>
      </c>
    </row>
    <row r="30" spans="2:14" ht="16.5" thickBot="1">
      <c r="B30" s="346"/>
      <c r="C30" s="346"/>
      <c r="D30" s="346"/>
      <c r="E30" s="346"/>
      <c r="F30" s="346" t="s">
        <v>307</v>
      </c>
      <c r="G30" s="346"/>
      <c r="H30" s="346"/>
      <c r="I30" s="346"/>
      <c r="J30" s="363"/>
      <c r="K30" s="120">
        <f>K28*K29</f>
        <v>111.0582</v>
      </c>
      <c r="L30" s="120">
        <f>L28*L29</f>
        <v>0</v>
      </c>
      <c r="M30" s="120">
        <f>M28*M29</f>
        <v>0</v>
      </c>
      <c r="N30" s="364">
        <f>N28*N29</f>
        <v>143.02199999999999</v>
      </c>
    </row>
    <row r="31" spans="2:14" ht="16.5" thickTop="1">
      <c r="B31" s="390"/>
      <c r="C31" s="375" t="s">
        <v>337</v>
      </c>
      <c r="D31" s="131"/>
      <c r="E31" s="131">
        <v>12</v>
      </c>
      <c r="F31" s="350">
        <v>3.68</v>
      </c>
      <c r="G31" s="131">
        <v>4</v>
      </c>
      <c r="H31" s="131">
        <v>6</v>
      </c>
      <c r="I31" s="131">
        <f>G31*H31</f>
        <v>24</v>
      </c>
      <c r="J31" s="131"/>
      <c r="K31" s="131"/>
      <c r="L31" s="131"/>
      <c r="M31" s="464">
        <f>F31*I31</f>
        <v>88.320000000000007</v>
      </c>
      <c r="N31" s="465"/>
    </row>
    <row r="32" spans="2:14">
      <c r="B32" s="140"/>
      <c r="C32" s="142"/>
      <c r="D32" s="134"/>
      <c r="E32" s="134">
        <v>8</v>
      </c>
      <c r="F32" s="119">
        <v>0.7</v>
      </c>
      <c r="G32" s="134">
        <v>16</v>
      </c>
      <c r="H32" s="134">
        <v>6</v>
      </c>
      <c r="I32" s="134">
        <f>G32*H32</f>
        <v>96</v>
      </c>
      <c r="J32" s="134"/>
      <c r="K32" s="371">
        <f>F32*I32</f>
        <v>67.199999999999989</v>
      </c>
      <c r="L32" s="134"/>
      <c r="M32" s="371"/>
      <c r="N32" s="372"/>
    </row>
    <row r="33" spans="2:14">
      <c r="B33" s="140"/>
      <c r="C33" s="142" t="s">
        <v>339</v>
      </c>
      <c r="D33" s="134"/>
      <c r="E33" s="134">
        <v>12</v>
      </c>
      <c r="F33" s="119">
        <v>6.05</v>
      </c>
      <c r="G33" s="134">
        <v>2</v>
      </c>
      <c r="H33" s="134">
        <v>3</v>
      </c>
      <c r="I33" s="134">
        <f t="shared" ref="I33:I38" si="1">G33*H33</f>
        <v>6</v>
      </c>
      <c r="J33" s="134"/>
      <c r="K33" s="371"/>
      <c r="L33" s="119"/>
      <c r="M33" s="371">
        <f>F33*I33</f>
        <v>36.299999999999997</v>
      </c>
      <c r="N33" s="354"/>
    </row>
    <row r="34" spans="2:14">
      <c r="B34" s="140"/>
      <c r="C34" s="134"/>
      <c r="D34" s="134"/>
      <c r="E34" s="134">
        <v>12</v>
      </c>
      <c r="F34" s="119">
        <v>5.35</v>
      </c>
      <c r="G34" s="134">
        <v>2</v>
      </c>
      <c r="H34" s="134">
        <v>3</v>
      </c>
      <c r="I34" s="134">
        <f t="shared" si="1"/>
        <v>6</v>
      </c>
      <c r="J34" s="134"/>
      <c r="K34" s="371"/>
      <c r="L34" s="119"/>
      <c r="M34" s="371">
        <f>F34*I34</f>
        <v>32.099999999999994</v>
      </c>
      <c r="N34" s="354"/>
    </row>
    <row r="35" spans="2:14">
      <c r="B35" s="140"/>
      <c r="C35" s="143"/>
      <c r="D35" s="134"/>
      <c r="E35" s="134">
        <v>8</v>
      </c>
      <c r="F35" s="119">
        <v>0.9</v>
      </c>
      <c r="G35" s="134">
        <v>2</v>
      </c>
      <c r="H35" s="134">
        <v>26</v>
      </c>
      <c r="I35" s="134">
        <f t="shared" si="1"/>
        <v>52</v>
      </c>
      <c r="J35" s="134"/>
      <c r="K35" s="371">
        <f>F35*I35</f>
        <v>46.800000000000004</v>
      </c>
      <c r="L35" s="119"/>
      <c r="M35" s="371"/>
      <c r="N35" s="354"/>
    </row>
    <row r="36" spans="2:14">
      <c r="B36" s="140"/>
      <c r="C36" s="142" t="s">
        <v>340</v>
      </c>
      <c r="D36" s="134"/>
      <c r="E36" s="134">
        <v>12</v>
      </c>
      <c r="F36" s="119">
        <v>4.4000000000000004</v>
      </c>
      <c r="G36" s="134">
        <v>2</v>
      </c>
      <c r="H36" s="134">
        <v>3</v>
      </c>
      <c r="I36" s="134">
        <f t="shared" si="1"/>
        <v>6</v>
      </c>
      <c r="J36" s="134"/>
      <c r="K36" s="371"/>
      <c r="L36" s="134"/>
      <c r="M36" s="371">
        <f>F36*I36</f>
        <v>26.400000000000002</v>
      </c>
      <c r="N36" s="354"/>
    </row>
    <row r="37" spans="2:14">
      <c r="B37" s="140"/>
      <c r="C37" s="134"/>
      <c r="D37" s="134"/>
      <c r="E37" s="134">
        <v>12</v>
      </c>
      <c r="F37" s="119">
        <v>3.9</v>
      </c>
      <c r="G37" s="134">
        <v>2</v>
      </c>
      <c r="H37" s="134">
        <v>3</v>
      </c>
      <c r="I37" s="134">
        <f t="shared" si="1"/>
        <v>6</v>
      </c>
      <c r="J37" s="134"/>
      <c r="K37" s="371"/>
      <c r="L37" s="134"/>
      <c r="M37" s="371">
        <f>F37*I37</f>
        <v>23.4</v>
      </c>
      <c r="N37" s="354"/>
    </row>
    <row r="38" spans="2:14">
      <c r="B38" s="140"/>
      <c r="C38" s="134"/>
      <c r="D38" s="134"/>
      <c r="E38" s="134">
        <v>8</v>
      </c>
      <c r="F38" s="119">
        <v>0.9</v>
      </c>
      <c r="G38" s="134">
        <v>2</v>
      </c>
      <c r="H38" s="134">
        <v>19</v>
      </c>
      <c r="I38" s="134">
        <f t="shared" si="1"/>
        <v>38</v>
      </c>
      <c r="J38" s="134"/>
      <c r="K38" s="371">
        <f>F38*I38</f>
        <v>34.200000000000003</v>
      </c>
      <c r="L38" s="119"/>
      <c r="M38" s="371"/>
      <c r="N38" s="354"/>
    </row>
    <row r="39" spans="2:14">
      <c r="B39" s="140"/>
      <c r="C39" s="142"/>
      <c r="D39" s="134"/>
      <c r="E39" s="134"/>
      <c r="F39" s="119"/>
      <c r="G39" s="134"/>
      <c r="H39" s="134"/>
      <c r="I39" s="134"/>
      <c r="J39" s="134"/>
      <c r="K39" s="371"/>
      <c r="L39" s="134"/>
      <c r="M39" s="371"/>
      <c r="N39" s="466"/>
    </row>
    <row r="40" spans="2:14">
      <c r="B40" s="140"/>
      <c r="C40" s="142"/>
      <c r="D40" s="134"/>
      <c r="E40" s="134"/>
      <c r="F40" s="119"/>
      <c r="G40" s="134"/>
      <c r="H40" s="134"/>
      <c r="I40" s="134"/>
      <c r="J40" s="134"/>
      <c r="K40" s="371"/>
      <c r="L40" s="119"/>
      <c r="M40" s="371"/>
      <c r="N40" s="372"/>
    </row>
    <row r="41" spans="2:14">
      <c r="B41" s="140"/>
      <c r="C41" s="142"/>
      <c r="D41" s="134"/>
      <c r="E41" s="134"/>
      <c r="F41" s="119"/>
      <c r="G41" s="134"/>
      <c r="H41" s="134"/>
      <c r="I41" s="134"/>
      <c r="J41" s="134"/>
      <c r="K41" s="371"/>
      <c r="L41" s="119"/>
      <c r="M41" s="371"/>
      <c r="N41" s="354"/>
    </row>
    <row r="42" spans="2:14">
      <c r="B42" s="140"/>
      <c r="C42" s="142"/>
      <c r="D42" s="134"/>
      <c r="E42" s="134"/>
      <c r="F42" s="119"/>
      <c r="G42" s="134"/>
      <c r="H42" s="134"/>
      <c r="I42" s="134"/>
      <c r="J42" s="134"/>
      <c r="K42" s="371"/>
      <c r="L42" s="119"/>
      <c r="M42" s="371"/>
      <c r="N42" s="354"/>
    </row>
    <row r="43" spans="2:14">
      <c r="B43" s="140"/>
      <c r="C43" s="134"/>
      <c r="D43" s="134"/>
      <c r="E43" s="134"/>
      <c r="F43" s="119"/>
      <c r="G43" s="134"/>
      <c r="H43" s="134"/>
      <c r="I43" s="134"/>
      <c r="J43" s="134"/>
      <c r="K43" s="371"/>
      <c r="L43" s="134"/>
      <c r="M43" s="371"/>
      <c r="N43" s="354"/>
    </row>
    <row r="44" spans="2:14">
      <c r="B44" s="140"/>
      <c r="C44" s="142"/>
      <c r="D44" s="134"/>
      <c r="E44" s="134"/>
      <c r="F44" s="119"/>
      <c r="G44" s="134"/>
      <c r="H44" s="134"/>
      <c r="I44" s="134"/>
      <c r="J44" s="134"/>
      <c r="K44" s="371"/>
      <c r="L44" s="119"/>
      <c r="M44" s="371"/>
      <c r="N44" s="354"/>
    </row>
    <row r="45" spans="2:14">
      <c r="B45" s="140"/>
      <c r="C45" s="134"/>
      <c r="D45" s="134"/>
      <c r="E45" s="134"/>
      <c r="F45" s="119"/>
      <c r="G45" s="134"/>
      <c r="H45" s="134"/>
      <c r="I45" s="134"/>
      <c r="J45" s="134"/>
      <c r="K45" s="371"/>
      <c r="L45" s="119"/>
      <c r="M45" s="371">
        <f>F45*I45</f>
        <v>0</v>
      </c>
      <c r="N45" s="354"/>
    </row>
    <row r="46" spans="2:14">
      <c r="B46" s="140"/>
      <c r="C46" s="142"/>
      <c r="D46" s="134"/>
      <c r="E46" s="134"/>
      <c r="F46" s="119"/>
      <c r="G46" s="134"/>
      <c r="H46" s="134"/>
      <c r="I46" s="134"/>
      <c r="J46" s="134"/>
      <c r="K46" s="371"/>
      <c r="L46" s="119"/>
      <c r="M46" s="371">
        <f>F46*I46</f>
        <v>0</v>
      </c>
      <c r="N46" s="354"/>
    </row>
    <row r="47" spans="2:14">
      <c r="B47" s="140"/>
      <c r="C47" s="142"/>
      <c r="D47" s="134"/>
      <c r="E47" s="134"/>
      <c r="F47" s="119"/>
      <c r="G47" s="134"/>
      <c r="H47" s="134"/>
      <c r="I47" s="134"/>
      <c r="J47" s="134"/>
      <c r="K47" s="371"/>
      <c r="L47" s="119"/>
      <c r="M47" s="371">
        <f>F47*I47</f>
        <v>0</v>
      </c>
      <c r="N47" s="354"/>
    </row>
    <row r="48" spans="2:14">
      <c r="B48" s="140"/>
      <c r="C48" s="142"/>
      <c r="D48" s="134"/>
      <c r="E48" s="134"/>
      <c r="F48" s="119"/>
      <c r="G48" s="134"/>
      <c r="H48" s="134"/>
      <c r="I48" s="134"/>
      <c r="J48" s="134"/>
      <c r="K48" s="371"/>
      <c r="L48" s="119"/>
      <c r="M48" s="371"/>
      <c r="N48" s="354"/>
    </row>
    <row r="49" spans="2:14">
      <c r="B49" s="140"/>
      <c r="C49" s="142"/>
      <c r="D49" s="134"/>
      <c r="E49" s="134"/>
      <c r="F49" s="119"/>
      <c r="G49" s="134"/>
      <c r="H49" s="134"/>
      <c r="I49" s="134"/>
      <c r="J49" s="134"/>
      <c r="K49" s="371"/>
      <c r="L49" s="119"/>
      <c r="M49" s="371">
        <f>F49*I49</f>
        <v>0</v>
      </c>
      <c r="N49" s="354"/>
    </row>
    <row r="50" spans="2:14">
      <c r="B50" s="140"/>
      <c r="C50" s="142"/>
      <c r="D50" s="134"/>
      <c r="E50" s="134"/>
      <c r="F50" s="119"/>
      <c r="G50" s="134"/>
      <c r="H50" s="134"/>
      <c r="I50" s="134"/>
      <c r="J50" s="134"/>
      <c r="K50" s="371"/>
      <c r="L50" s="119"/>
      <c r="M50" s="371">
        <f>F50*I50</f>
        <v>0</v>
      </c>
      <c r="N50" s="354"/>
    </row>
    <row r="51" spans="2:14">
      <c r="B51" s="140"/>
      <c r="C51" s="134"/>
      <c r="D51" s="134"/>
      <c r="E51" s="134"/>
      <c r="F51" s="119"/>
      <c r="G51" s="134"/>
      <c r="H51" s="134"/>
      <c r="I51" s="134"/>
      <c r="J51" s="134"/>
      <c r="K51" s="371"/>
      <c r="L51" s="119"/>
      <c r="M51" s="371">
        <f>F51*I51</f>
        <v>0</v>
      </c>
      <c r="N51" s="354"/>
    </row>
    <row r="52" spans="2:14" ht="16.5" thickBot="1">
      <c r="B52" s="391"/>
      <c r="C52" s="145"/>
      <c r="D52" s="145"/>
      <c r="E52" s="145"/>
      <c r="F52" s="356"/>
      <c r="G52" s="145"/>
      <c r="H52" s="145"/>
      <c r="I52" s="145"/>
      <c r="J52" s="145"/>
      <c r="K52" s="374"/>
      <c r="L52" s="356"/>
      <c r="M52" s="374"/>
      <c r="N52" s="357"/>
    </row>
    <row r="53" spans="2:14" ht="16.5" thickTop="1">
      <c r="B53" s="346"/>
      <c r="C53" s="346"/>
      <c r="D53" s="346"/>
      <c r="E53" s="346"/>
      <c r="F53" s="2294" t="s">
        <v>301</v>
      </c>
      <c r="G53" s="2294"/>
      <c r="H53" s="2294"/>
      <c r="I53" s="2295"/>
      <c r="J53" s="359"/>
      <c r="K53" s="350">
        <f>SUM(K31:K52)</f>
        <v>148.19999999999999</v>
      </c>
      <c r="L53" s="350">
        <f>SUM(L31:L52)</f>
        <v>0</v>
      </c>
      <c r="M53" s="350">
        <f>SUM(M31:M52)</f>
        <v>206.52</v>
      </c>
      <c r="N53" s="351">
        <f>SUM(N31:N52)</f>
        <v>0</v>
      </c>
    </row>
    <row r="54" spans="2:14">
      <c r="B54" s="346"/>
      <c r="C54" s="346"/>
      <c r="D54" s="346"/>
      <c r="E54" s="346"/>
      <c r="F54" s="346" t="s">
        <v>302</v>
      </c>
      <c r="G54" s="346"/>
      <c r="H54" s="346"/>
      <c r="I54" s="346"/>
      <c r="J54" s="361"/>
      <c r="K54" s="425" t="s">
        <v>303</v>
      </c>
      <c r="L54" s="426"/>
      <c r="M54" s="425" t="s">
        <v>305</v>
      </c>
      <c r="N54" s="427" t="s">
        <v>306</v>
      </c>
    </row>
    <row r="55" spans="2:14" ht="16.5" thickBot="1">
      <c r="B55" s="346"/>
      <c r="C55" s="346"/>
      <c r="D55" s="346"/>
      <c r="E55" s="346"/>
      <c r="F55" s="346" t="s">
        <v>307</v>
      </c>
      <c r="G55" s="346"/>
      <c r="H55" s="346"/>
      <c r="I55" s="346"/>
      <c r="J55" s="363"/>
      <c r="K55" s="120">
        <f>K53*K54</f>
        <v>58.539000000000001</v>
      </c>
      <c r="L55" s="120">
        <f>L53*L54</f>
        <v>0</v>
      </c>
      <c r="M55" s="120">
        <f>M53*M54</f>
        <v>183.38976000000002</v>
      </c>
      <c r="N55" s="364">
        <f>N53*N54</f>
        <v>0</v>
      </c>
    </row>
    <row r="56" spans="2:14" ht="16.5" thickTop="1"/>
  </sheetData>
  <mergeCells count="14">
    <mergeCell ref="F53:I53"/>
    <mergeCell ref="B5:B6"/>
    <mergeCell ref="C5:C6"/>
    <mergeCell ref="D5:D6"/>
    <mergeCell ref="E5:E6"/>
    <mergeCell ref="G5:I5"/>
    <mergeCell ref="F28:I28"/>
    <mergeCell ref="B4:G4"/>
    <mergeCell ref="B1:G1"/>
    <mergeCell ref="L1:N1"/>
    <mergeCell ref="L2:N2"/>
    <mergeCell ref="L3:N3"/>
    <mergeCell ref="B2:G2"/>
    <mergeCell ref="B3:G3"/>
  </mergeCells>
  <pageMargins left="0.45" right="0.45" top="1" bottom="0.75" header="0.3" footer="0.3"/>
  <pageSetup scale="90" orientation="landscape" r:id="rId1"/>
  <rowBreaks count="1" manualBreakCount="1">
    <brk id="30" max="14"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B1:N48"/>
  <sheetViews>
    <sheetView view="pageBreakPreview" topLeftCell="A22" zoomScaleSheetLayoutView="100" workbookViewId="0">
      <selection activeCell="L2" sqref="K1:N2"/>
    </sheetView>
  </sheetViews>
  <sheetFormatPr defaultRowHeight="15.75"/>
  <cols>
    <col min="1" max="1" width="5.5703125" style="158" customWidth="1"/>
    <col min="2" max="2" width="5.42578125" style="158" customWidth="1"/>
    <col min="3" max="3" width="16.85546875" style="158" customWidth="1"/>
    <col min="4" max="7" width="9.140625" style="158"/>
    <col min="8" max="8" width="10.42578125" style="158" customWidth="1"/>
    <col min="9" max="9" width="9.140625" style="158"/>
    <col min="10" max="10" width="6.85546875" style="158" customWidth="1"/>
    <col min="11" max="13" width="9.140625" style="158"/>
    <col min="14" max="14" width="12.85546875" style="158" customWidth="1"/>
    <col min="15" max="15" width="3.28515625" style="158" customWidth="1"/>
    <col min="16" max="16384" width="9.140625" style="158"/>
  </cols>
  <sheetData>
    <row r="1" spans="2:14">
      <c r="B1" s="2184" t="s">
        <v>1257</v>
      </c>
      <c r="C1" s="2184"/>
      <c r="D1" s="2184"/>
      <c r="E1" s="2184"/>
      <c r="F1" s="2184"/>
      <c r="G1" s="2184"/>
      <c r="L1" s="2221"/>
      <c r="M1" s="2221"/>
      <c r="N1" s="2221"/>
    </row>
    <row r="2" spans="2:14">
      <c r="B2" s="2184" t="s">
        <v>1208</v>
      </c>
      <c r="C2" s="2184"/>
      <c r="D2" s="2184"/>
      <c r="E2" s="2184"/>
      <c r="F2" s="2184"/>
      <c r="G2" s="2184"/>
      <c r="H2" s="2184"/>
      <c r="L2" s="2221"/>
      <c r="M2" s="2221"/>
      <c r="N2" s="2221"/>
    </row>
    <row r="3" spans="2:14">
      <c r="B3" s="2184" t="s">
        <v>1258</v>
      </c>
      <c r="C3" s="2184"/>
      <c r="D3" s="2184"/>
      <c r="E3" s="2184"/>
      <c r="F3" s="2184"/>
      <c r="G3" s="2184"/>
      <c r="L3" s="2221" t="s">
        <v>1795</v>
      </c>
      <c r="M3" s="2221"/>
      <c r="N3" s="2221"/>
    </row>
    <row r="4" spans="2:14" ht="16.5" thickBot="1">
      <c r="B4" s="2184" t="s">
        <v>1209</v>
      </c>
      <c r="C4" s="2184"/>
      <c r="D4" s="2184"/>
      <c r="E4" s="2184"/>
      <c r="F4" s="2184"/>
      <c r="G4" s="2184"/>
      <c r="J4" s="157"/>
      <c r="K4" s="157"/>
      <c r="L4" s="157"/>
      <c r="M4" s="157"/>
      <c r="N4" s="395"/>
    </row>
    <row r="5" spans="2:14" ht="16.5" thickTop="1">
      <c r="B5" s="2247" t="s">
        <v>4</v>
      </c>
      <c r="C5" s="2245" t="s">
        <v>293</v>
      </c>
      <c r="D5" s="2245" t="s">
        <v>309</v>
      </c>
      <c r="E5" s="2245" t="s">
        <v>310</v>
      </c>
      <c r="F5" s="394" t="s">
        <v>295</v>
      </c>
      <c r="G5" s="2249" t="s">
        <v>311</v>
      </c>
      <c r="H5" s="2250"/>
      <c r="I5" s="2251"/>
      <c r="J5" s="389"/>
      <c r="K5" s="389" t="s">
        <v>312</v>
      </c>
      <c r="L5" s="389"/>
      <c r="M5" s="389"/>
      <c r="N5" s="393"/>
    </row>
    <row r="6" spans="2:14" ht="16.5" thickBot="1">
      <c r="B6" s="2248"/>
      <c r="C6" s="2246"/>
      <c r="D6" s="2246"/>
      <c r="E6" s="2246"/>
      <c r="F6" s="124" t="s">
        <v>313</v>
      </c>
      <c r="G6" s="124" t="s">
        <v>314</v>
      </c>
      <c r="H6" s="124" t="s">
        <v>315</v>
      </c>
      <c r="I6" s="145" t="s">
        <v>316</v>
      </c>
      <c r="J6" s="347" t="s">
        <v>317</v>
      </c>
      <c r="K6" s="392" t="s">
        <v>318</v>
      </c>
      <c r="L6" s="145" t="s">
        <v>319</v>
      </c>
      <c r="M6" s="145" t="s">
        <v>320</v>
      </c>
      <c r="N6" s="348" t="s">
        <v>321</v>
      </c>
    </row>
    <row r="7" spans="2:14" ht="16.5" thickTop="1">
      <c r="B7" s="390"/>
      <c r="C7" s="106"/>
      <c r="D7" s="106"/>
      <c r="E7" s="106"/>
      <c r="F7" s="108"/>
      <c r="G7" s="106"/>
      <c r="H7" s="107"/>
      <c r="I7" s="106"/>
      <c r="J7" s="350"/>
      <c r="K7" s="350"/>
      <c r="L7" s="350"/>
      <c r="M7" s="350"/>
      <c r="N7" s="351"/>
    </row>
    <row r="8" spans="2:14">
      <c r="B8" s="140"/>
      <c r="C8" s="110"/>
      <c r="D8" s="110"/>
      <c r="E8" s="110"/>
      <c r="F8" s="113"/>
      <c r="G8" s="110"/>
      <c r="H8" s="112"/>
      <c r="I8" s="110"/>
      <c r="J8" s="119"/>
      <c r="K8" s="119"/>
      <c r="L8" s="119"/>
      <c r="M8" s="119"/>
      <c r="N8" s="354"/>
    </row>
    <row r="9" spans="2:14">
      <c r="B9" s="140"/>
      <c r="C9" s="42"/>
      <c r="D9" s="110"/>
      <c r="E9" s="110"/>
      <c r="F9" s="113"/>
      <c r="G9" s="110"/>
      <c r="H9" s="112"/>
      <c r="I9" s="110"/>
      <c r="J9" s="119"/>
      <c r="K9" s="119"/>
      <c r="L9" s="119"/>
      <c r="M9" s="119"/>
      <c r="N9" s="354"/>
    </row>
    <row r="10" spans="2:14">
      <c r="B10" s="140"/>
      <c r="C10" s="42" t="s">
        <v>1</v>
      </c>
      <c r="D10" s="110" t="s">
        <v>485</v>
      </c>
      <c r="E10" s="110">
        <v>12</v>
      </c>
      <c r="F10" s="113">
        <v>5.4</v>
      </c>
      <c r="G10" s="110">
        <v>2</v>
      </c>
      <c r="H10" s="112">
        <v>3</v>
      </c>
      <c r="I10" s="110">
        <f t="shared" ref="I10:I15" si="0">H10*G10</f>
        <v>6</v>
      </c>
      <c r="J10" s="119"/>
      <c r="K10" s="119"/>
      <c r="L10" s="119"/>
      <c r="M10" s="119">
        <f>F10*I10</f>
        <v>32.400000000000006</v>
      </c>
      <c r="N10" s="354"/>
    </row>
    <row r="11" spans="2:14">
      <c r="B11" s="140"/>
      <c r="C11" s="42"/>
      <c r="D11" s="110"/>
      <c r="E11" s="110">
        <v>12</v>
      </c>
      <c r="F11" s="113">
        <v>4.6500000000000004</v>
      </c>
      <c r="G11" s="110">
        <v>2</v>
      </c>
      <c r="H11" s="112">
        <v>3</v>
      </c>
      <c r="I11" s="110">
        <f t="shared" si="0"/>
        <v>6</v>
      </c>
      <c r="J11" s="119"/>
      <c r="K11" s="119"/>
      <c r="L11" s="119"/>
      <c r="M11" s="119">
        <f>F11*I11</f>
        <v>27.900000000000002</v>
      </c>
      <c r="N11" s="354"/>
    </row>
    <row r="12" spans="2:14">
      <c r="B12" s="140"/>
      <c r="C12" s="42"/>
      <c r="D12" s="110"/>
      <c r="E12" s="110">
        <v>8</v>
      </c>
      <c r="F12" s="113">
        <v>1.2</v>
      </c>
      <c r="G12" s="110">
        <v>2</v>
      </c>
      <c r="H12" s="112">
        <v>23</v>
      </c>
      <c r="I12" s="110">
        <f t="shared" si="0"/>
        <v>46</v>
      </c>
      <c r="J12" s="119"/>
      <c r="K12" s="119">
        <f>F12*I12</f>
        <v>55.199999999999996</v>
      </c>
      <c r="L12" s="119"/>
      <c r="M12" s="119"/>
      <c r="N12" s="354"/>
    </row>
    <row r="13" spans="2:14">
      <c r="B13" s="140"/>
      <c r="C13" s="42"/>
      <c r="D13" s="110" t="s">
        <v>486</v>
      </c>
      <c r="E13" s="110">
        <v>12</v>
      </c>
      <c r="F13" s="113">
        <v>4.2</v>
      </c>
      <c r="G13" s="110">
        <v>2</v>
      </c>
      <c r="H13" s="112">
        <v>3</v>
      </c>
      <c r="I13" s="110">
        <f t="shared" si="0"/>
        <v>6</v>
      </c>
      <c r="J13" s="119"/>
      <c r="K13" s="119"/>
      <c r="L13" s="119"/>
      <c r="M13" s="119">
        <f>F13*I13</f>
        <v>25.200000000000003</v>
      </c>
      <c r="N13" s="354"/>
    </row>
    <row r="14" spans="2:14">
      <c r="B14" s="140"/>
      <c r="C14" s="42"/>
      <c r="D14" s="110"/>
      <c r="E14" s="110">
        <v>12</v>
      </c>
      <c r="F14" s="113">
        <v>3.45</v>
      </c>
      <c r="G14" s="110">
        <v>2</v>
      </c>
      <c r="H14" s="112">
        <v>3</v>
      </c>
      <c r="I14" s="110">
        <f t="shared" si="0"/>
        <v>6</v>
      </c>
      <c r="J14" s="119"/>
      <c r="K14" s="119"/>
      <c r="L14" s="119"/>
      <c r="M14" s="119">
        <f>F14*I14</f>
        <v>20.700000000000003</v>
      </c>
      <c r="N14" s="354"/>
    </row>
    <row r="15" spans="2:14">
      <c r="B15" s="140"/>
      <c r="C15" s="42"/>
      <c r="D15" s="110"/>
      <c r="E15" s="110">
        <v>8</v>
      </c>
      <c r="F15" s="113">
        <v>1.2</v>
      </c>
      <c r="G15" s="110">
        <v>2</v>
      </c>
      <c r="H15" s="112">
        <v>17</v>
      </c>
      <c r="I15" s="110">
        <f t="shared" si="0"/>
        <v>34</v>
      </c>
      <c r="J15" s="119"/>
      <c r="K15" s="119">
        <f>F15*I15</f>
        <v>40.799999999999997</v>
      </c>
      <c r="L15" s="119"/>
      <c r="M15" s="119"/>
      <c r="N15" s="354"/>
    </row>
    <row r="16" spans="2:14">
      <c r="B16" s="140"/>
      <c r="C16" s="42"/>
      <c r="D16" s="110"/>
      <c r="E16" s="110"/>
      <c r="F16" s="113"/>
      <c r="G16" s="110"/>
      <c r="H16" s="112"/>
      <c r="I16" s="110"/>
      <c r="J16" s="119"/>
      <c r="K16" s="119"/>
      <c r="L16" s="119"/>
      <c r="M16" s="119"/>
      <c r="N16" s="354"/>
    </row>
    <row r="17" spans="2:14">
      <c r="B17" s="140"/>
      <c r="C17" s="42" t="s">
        <v>1256</v>
      </c>
      <c r="D17" s="110"/>
      <c r="E17" s="110">
        <v>8</v>
      </c>
      <c r="F17" s="113">
        <v>3.05</v>
      </c>
      <c r="G17" s="110">
        <v>1</v>
      </c>
      <c r="H17" s="112">
        <v>21</v>
      </c>
      <c r="I17" s="110">
        <f>H17*G17</f>
        <v>21</v>
      </c>
      <c r="J17" s="119"/>
      <c r="K17" s="119">
        <f>F17*I17</f>
        <v>64.05</v>
      </c>
      <c r="L17" s="119"/>
      <c r="M17" s="119"/>
      <c r="N17" s="354"/>
    </row>
    <row r="18" spans="2:14">
      <c r="B18" s="140"/>
      <c r="C18" s="42"/>
      <c r="D18" s="110"/>
      <c r="E18" s="110">
        <v>8</v>
      </c>
      <c r="F18" s="113">
        <v>4.25</v>
      </c>
      <c r="G18" s="110">
        <v>1</v>
      </c>
      <c r="H18" s="112">
        <v>16</v>
      </c>
      <c r="I18" s="110">
        <f>H18*G18</f>
        <v>16</v>
      </c>
      <c r="J18" s="119"/>
      <c r="K18" s="119">
        <f>F18*I18</f>
        <v>68</v>
      </c>
      <c r="L18" s="119"/>
      <c r="M18" s="119"/>
      <c r="N18" s="354"/>
    </row>
    <row r="19" spans="2:14">
      <c r="B19" s="140"/>
      <c r="C19" s="42"/>
      <c r="D19" s="110"/>
      <c r="E19" s="110"/>
      <c r="F19" s="113"/>
      <c r="G19" s="110"/>
      <c r="H19" s="112"/>
      <c r="I19" s="110"/>
      <c r="J19" s="119"/>
      <c r="K19" s="119"/>
      <c r="L19" s="119"/>
      <c r="M19" s="119"/>
      <c r="N19" s="354"/>
    </row>
    <row r="20" spans="2:14">
      <c r="B20" s="140"/>
      <c r="C20" s="42"/>
      <c r="D20" s="110"/>
      <c r="E20" s="110"/>
      <c r="F20" s="113"/>
      <c r="G20" s="110"/>
      <c r="H20" s="112"/>
      <c r="I20" s="110"/>
      <c r="J20" s="119"/>
      <c r="K20" s="119"/>
      <c r="L20" s="119"/>
      <c r="M20" s="119"/>
      <c r="N20" s="354"/>
    </row>
    <row r="21" spans="2:14">
      <c r="B21" s="140"/>
      <c r="C21" s="134"/>
      <c r="D21" s="134"/>
      <c r="E21" s="134"/>
      <c r="F21" s="119"/>
      <c r="G21" s="134"/>
      <c r="H21" s="134"/>
      <c r="I21" s="134"/>
      <c r="J21" s="134"/>
      <c r="K21" s="371"/>
      <c r="L21" s="119"/>
      <c r="M21" s="371"/>
      <c r="N21" s="354"/>
    </row>
    <row r="22" spans="2:14" ht="16.5" thickBot="1">
      <c r="B22" s="391"/>
      <c r="C22" s="145"/>
      <c r="D22" s="145"/>
      <c r="E22" s="145"/>
      <c r="F22" s="356"/>
      <c r="G22" s="145"/>
      <c r="H22" s="145"/>
      <c r="I22" s="145"/>
      <c r="J22" s="145"/>
      <c r="K22" s="374"/>
      <c r="L22" s="356"/>
      <c r="M22" s="374"/>
      <c r="N22" s="357"/>
    </row>
    <row r="23" spans="2:14" ht="16.5" thickTop="1">
      <c r="B23" s="346"/>
      <c r="C23" s="346"/>
      <c r="D23" s="346"/>
      <c r="E23" s="346"/>
      <c r="F23" s="2298" t="s">
        <v>301</v>
      </c>
      <c r="G23" s="2298"/>
      <c r="H23" s="2298"/>
      <c r="I23" s="2299"/>
      <c r="J23" s="359"/>
      <c r="K23" s="350">
        <f>SUM(K7:K22)</f>
        <v>228.05</v>
      </c>
      <c r="L23" s="350">
        <f>SUM(L7:L22)</f>
        <v>0</v>
      </c>
      <c r="M23" s="350">
        <f>SUM(M7:M22)</f>
        <v>106.20000000000002</v>
      </c>
      <c r="N23" s="351">
        <f>SUM(N7:N22)</f>
        <v>0</v>
      </c>
    </row>
    <row r="24" spans="2:14">
      <c r="B24" s="346"/>
      <c r="C24" s="346"/>
      <c r="D24" s="346"/>
      <c r="E24" s="346"/>
      <c r="F24" s="2296" t="s">
        <v>302</v>
      </c>
      <c r="G24" s="2296"/>
      <c r="H24" s="2296"/>
      <c r="I24" s="2297"/>
      <c r="J24" s="361"/>
      <c r="K24" s="425" t="s">
        <v>303</v>
      </c>
      <c r="L24" s="426" t="s">
        <v>304</v>
      </c>
      <c r="M24" s="425" t="s">
        <v>305</v>
      </c>
      <c r="N24" s="427" t="s">
        <v>306</v>
      </c>
    </row>
    <row r="25" spans="2:14" ht="16.5" thickBot="1">
      <c r="B25" s="346"/>
      <c r="C25" s="346"/>
      <c r="D25" s="346"/>
      <c r="E25" s="346"/>
      <c r="F25" s="2296" t="s">
        <v>307</v>
      </c>
      <c r="G25" s="2296"/>
      <c r="H25" s="2296"/>
      <c r="I25" s="2297"/>
      <c r="J25" s="363"/>
      <c r="K25" s="120">
        <f>K23*K24</f>
        <v>90.079750000000004</v>
      </c>
      <c r="L25" s="120">
        <f>L23*L24</f>
        <v>0</v>
      </c>
      <c r="M25" s="120">
        <f>M23*M24</f>
        <v>94.305600000000013</v>
      </c>
      <c r="N25" s="364">
        <f>N23*N24</f>
        <v>0</v>
      </c>
    </row>
    <row r="26" spans="2:14" ht="16.5" thickTop="1">
      <c r="B26" s="390"/>
      <c r="C26" s="375" t="s">
        <v>337</v>
      </c>
      <c r="D26" s="131"/>
      <c r="E26" s="131">
        <v>12</v>
      </c>
      <c r="F26" s="350">
        <v>3.58</v>
      </c>
      <c r="G26" s="131">
        <v>4</v>
      </c>
      <c r="H26" s="131">
        <v>4</v>
      </c>
      <c r="I26" s="131">
        <f>G26*H26</f>
        <v>16</v>
      </c>
      <c r="J26" s="131"/>
      <c r="K26" s="131"/>
      <c r="L26" s="131"/>
      <c r="M26" s="464">
        <f>F26*I26</f>
        <v>57.28</v>
      </c>
      <c r="N26" s="465"/>
    </row>
    <row r="27" spans="2:14">
      <c r="B27" s="140"/>
      <c r="C27" s="142"/>
      <c r="D27" s="134"/>
      <c r="E27" s="134">
        <v>8</v>
      </c>
      <c r="F27" s="119">
        <v>0.7</v>
      </c>
      <c r="G27" s="134">
        <v>4</v>
      </c>
      <c r="H27" s="134">
        <v>14</v>
      </c>
      <c r="I27" s="134">
        <f>G27*H27</f>
        <v>56</v>
      </c>
      <c r="J27" s="134"/>
      <c r="K27" s="371">
        <f>F27*I27</f>
        <v>39.199999999999996</v>
      </c>
      <c r="L27" s="134"/>
      <c r="M27" s="371"/>
      <c r="N27" s="372"/>
    </row>
    <row r="28" spans="2:14">
      <c r="B28" s="140"/>
      <c r="C28" s="142" t="s">
        <v>339</v>
      </c>
      <c r="D28" s="134"/>
      <c r="E28" s="134">
        <v>12</v>
      </c>
      <c r="F28" s="119">
        <v>5.4</v>
      </c>
      <c r="G28" s="134">
        <v>2</v>
      </c>
      <c r="H28" s="134">
        <v>3</v>
      </c>
      <c r="I28" s="134">
        <f t="shared" ref="I28:I33" si="1">G28*H28</f>
        <v>6</v>
      </c>
      <c r="J28" s="134"/>
      <c r="K28" s="371"/>
      <c r="L28" s="119"/>
      <c r="M28" s="371">
        <f>F28*I28</f>
        <v>32.400000000000006</v>
      </c>
      <c r="N28" s="354"/>
    </row>
    <row r="29" spans="2:14">
      <c r="B29" s="140"/>
      <c r="C29" s="134"/>
      <c r="D29" s="134"/>
      <c r="E29" s="134">
        <v>12</v>
      </c>
      <c r="F29" s="119">
        <v>4.6500000000000004</v>
      </c>
      <c r="G29" s="134">
        <v>2</v>
      </c>
      <c r="H29" s="134">
        <v>3</v>
      </c>
      <c r="I29" s="134">
        <f t="shared" si="1"/>
        <v>6</v>
      </c>
      <c r="J29" s="134"/>
      <c r="K29" s="371"/>
      <c r="L29" s="119"/>
      <c r="M29" s="371">
        <f>F29*I29</f>
        <v>27.900000000000002</v>
      </c>
      <c r="N29" s="354"/>
    </row>
    <row r="30" spans="2:14">
      <c r="B30" s="140"/>
      <c r="C30" s="143"/>
      <c r="D30" s="134"/>
      <c r="E30" s="134">
        <v>8</v>
      </c>
      <c r="F30" s="119">
        <v>0.9</v>
      </c>
      <c r="G30" s="134">
        <v>2</v>
      </c>
      <c r="H30" s="134">
        <v>23</v>
      </c>
      <c r="I30" s="134">
        <f t="shared" si="1"/>
        <v>46</v>
      </c>
      <c r="J30" s="134"/>
      <c r="K30" s="371">
        <f>F30*I30</f>
        <v>41.4</v>
      </c>
      <c r="L30" s="119"/>
      <c r="M30" s="371"/>
      <c r="N30" s="354"/>
    </row>
    <row r="31" spans="2:14">
      <c r="B31" s="140"/>
      <c r="C31" s="142" t="s">
        <v>340</v>
      </c>
      <c r="D31" s="134"/>
      <c r="E31" s="134">
        <v>12</v>
      </c>
      <c r="F31" s="119">
        <v>4.2</v>
      </c>
      <c r="G31" s="134">
        <v>2</v>
      </c>
      <c r="H31" s="134">
        <v>3</v>
      </c>
      <c r="I31" s="134">
        <f t="shared" si="1"/>
        <v>6</v>
      </c>
      <c r="J31" s="134"/>
      <c r="K31" s="371"/>
      <c r="L31" s="134"/>
      <c r="M31" s="371">
        <f>F31*I31</f>
        <v>25.200000000000003</v>
      </c>
      <c r="N31" s="354"/>
    </row>
    <row r="32" spans="2:14">
      <c r="B32" s="140"/>
      <c r="C32" s="134"/>
      <c r="D32" s="134"/>
      <c r="E32" s="134">
        <v>12</v>
      </c>
      <c r="F32" s="119">
        <v>3.45</v>
      </c>
      <c r="G32" s="134">
        <v>2</v>
      </c>
      <c r="H32" s="134">
        <v>3</v>
      </c>
      <c r="I32" s="134">
        <f t="shared" si="1"/>
        <v>6</v>
      </c>
      <c r="J32" s="134"/>
      <c r="K32" s="371"/>
      <c r="L32" s="134"/>
      <c r="M32" s="371">
        <f>F32*I32</f>
        <v>20.700000000000003</v>
      </c>
      <c r="N32" s="354"/>
    </row>
    <row r="33" spans="2:14">
      <c r="B33" s="140"/>
      <c r="C33" s="134"/>
      <c r="D33" s="134"/>
      <c r="E33" s="134">
        <v>8</v>
      </c>
      <c r="F33" s="119">
        <v>0.9</v>
      </c>
      <c r="G33" s="134">
        <v>2</v>
      </c>
      <c r="H33" s="134">
        <v>17</v>
      </c>
      <c r="I33" s="134">
        <f t="shared" si="1"/>
        <v>34</v>
      </c>
      <c r="J33" s="134"/>
      <c r="K33" s="371">
        <f>F33*I33</f>
        <v>30.6</v>
      </c>
      <c r="L33" s="119"/>
      <c r="M33" s="371"/>
      <c r="N33" s="354"/>
    </row>
    <row r="34" spans="2:14">
      <c r="B34" s="140"/>
      <c r="C34" s="142"/>
      <c r="D34" s="134"/>
      <c r="E34" s="134"/>
      <c r="F34" s="119"/>
      <c r="G34" s="134"/>
      <c r="H34" s="134"/>
      <c r="I34" s="134"/>
      <c r="J34" s="134"/>
      <c r="K34" s="371"/>
      <c r="L34" s="134"/>
      <c r="M34" s="371"/>
      <c r="N34" s="466"/>
    </row>
    <row r="35" spans="2:14">
      <c r="B35" s="140"/>
      <c r="C35" s="142"/>
      <c r="D35" s="134"/>
      <c r="E35" s="134"/>
      <c r="F35" s="119"/>
      <c r="G35" s="134"/>
      <c r="H35" s="134"/>
      <c r="I35" s="134"/>
      <c r="J35" s="134"/>
      <c r="K35" s="371"/>
      <c r="L35" s="119"/>
      <c r="M35" s="371"/>
      <c r="N35" s="372"/>
    </row>
    <row r="36" spans="2:14">
      <c r="B36" s="140"/>
      <c r="C36" s="142"/>
      <c r="D36" s="134"/>
      <c r="E36" s="134"/>
      <c r="F36" s="119"/>
      <c r="G36" s="134"/>
      <c r="H36" s="134"/>
      <c r="I36" s="134"/>
      <c r="J36" s="134"/>
      <c r="K36" s="371"/>
      <c r="L36" s="119"/>
      <c r="M36" s="371"/>
      <c r="N36" s="354"/>
    </row>
    <row r="37" spans="2:14">
      <c r="B37" s="140"/>
      <c r="C37" s="142"/>
      <c r="D37" s="134"/>
      <c r="E37" s="134"/>
      <c r="F37" s="119"/>
      <c r="G37" s="134"/>
      <c r="H37" s="134"/>
      <c r="I37" s="134"/>
      <c r="J37" s="134"/>
      <c r="K37" s="371"/>
      <c r="L37" s="119"/>
      <c r="M37" s="371"/>
      <c r="N37" s="354"/>
    </row>
    <row r="38" spans="2:14">
      <c r="B38" s="140"/>
      <c r="C38" s="134"/>
      <c r="D38" s="134"/>
      <c r="E38" s="134"/>
      <c r="F38" s="119"/>
      <c r="G38" s="134"/>
      <c r="H38" s="134"/>
      <c r="I38" s="134"/>
      <c r="J38" s="134"/>
      <c r="K38" s="371"/>
      <c r="L38" s="134"/>
      <c r="M38" s="371"/>
      <c r="N38" s="354"/>
    </row>
    <row r="39" spans="2:14">
      <c r="B39" s="140"/>
      <c r="C39" s="142"/>
      <c r="D39" s="134"/>
      <c r="E39" s="134"/>
      <c r="F39" s="119"/>
      <c r="G39" s="134"/>
      <c r="H39" s="134"/>
      <c r="I39" s="134"/>
      <c r="J39" s="134"/>
      <c r="K39" s="371"/>
      <c r="L39" s="119"/>
      <c r="M39" s="371"/>
      <c r="N39" s="354"/>
    </row>
    <row r="40" spans="2:14">
      <c r="B40" s="140"/>
      <c r="C40" s="134"/>
      <c r="D40" s="134"/>
      <c r="E40" s="134"/>
      <c r="F40" s="119"/>
      <c r="G40" s="134"/>
      <c r="H40" s="134"/>
      <c r="I40" s="134"/>
      <c r="J40" s="134"/>
      <c r="K40" s="371"/>
      <c r="L40" s="119"/>
      <c r="M40" s="371">
        <f>F40*I40</f>
        <v>0</v>
      </c>
      <c r="N40" s="354"/>
    </row>
    <row r="41" spans="2:14">
      <c r="B41" s="140"/>
      <c r="C41" s="134"/>
      <c r="D41" s="134"/>
      <c r="E41" s="134"/>
      <c r="F41" s="119"/>
      <c r="G41" s="134"/>
      <c r="H41" s="134"/>
      <c r="I41" s="134"/>
      <c r="J41" s="134"/>
      <c r="K41" s="371"/>
      <c r="L41" s="119"/>
      <c r="M41" s="371"/>
      <c r="N41" s="354"/>
    </row>
    <row r="42" spans="2:14">
      <c r="B42" s="140"/>
      <c r="C42" s="142"/>
      <c r="D42" s="134"/>
      <c r="E42" s="134"/>
      <c r="F42" s="119"/>
      <c r="G42" s="134"/>
      <c r="H42" s="134"/>
      <c r="I42" s="134"/>
      <c r="J42" s="134"/>
      <c r="K42" s="371"/>
      <c r="L42" s="119"/>
      <c r="M42" s="371">
        <f>F42*I42</f>
        <v>0</v>
      </c>
      <c r="N42" s="354"/>
    </row>
    <row r="43" spans="2:14" ht="16.5" thickBot="1">
      <c r="B43" s="391"/>
      <c r="C43" s="145"/>
      <c r="D43" s="145"/>
      <c r="E43" s="145"/>
      <c r="F43" s="356"/>
      <c r="G43" s="145"/>
      <c r="H43" s="145"/>
      <c r="I43" s="145"/>
      <c r="J43" s="145"/>
      <c r="K43" s="374"/>
      <c r="L43" s="356"/>
      <c r="M43" s="374"/>
      <c r="N43" s="357"/>
    </row>
    <row r="44" spans="2:14" ht="16.5" thickTop="1">
      <c r="B44" s="346"/>
      <c r="C44" s="346"/>
      <c r="D44" s="346"/>
      <c r="E44" s="346"/>
      <c r="F44" s="2298" t="s">
        <v>301</v>
      </c>
      <c r="G44" s="2298"/>
      <c r="H44" s="2298"/>
      <c r="I44" s="2299"/>
      <c r="J44" s="359"/>
      <c r="K44" s="350">
        <f>SUM(K26:K43)</f>
        <v>111.19999999999999</v>
      </c>
      <c r="L44" s="350">
        <f>SUM(L26:L43)</f>
        <v>0</v>
      </c>
      <c r="M44" s="350">
        <f>SUM(M26:M43)</f>
        <v>163.48000000000002</v>
      </c>
      <c r="N44" s="351">
        <f>SUM(N26:N43)</f>
        <v>0</v>
      </c>
    </row>
    <row r="45" spans="2:14">
      <c r="B45" s="346"/>
      <c r="C45" s="346"/>
      <c r="D45" s="346"/>
      <c r="E45" s="346"/>
      <c r="F45" s="2296" t="s">
        <v>302</v>
      </c>
      <c r="G45" s="2296"/>
      <c r="H45" s="2296"/>
      <c r="I45" s="2297"/>
      <c r="J45" s="361"/>
      <c r="K45" s="425" t="s">
        <v>303</v>
      </c>
      <c r="L45" s="426"/>
      <c r="M45" s="425" t="s">
        <v>305</v>
      </c>
      <c r="N45" s="427" t="s">
        <v>306</v>
      </c>
    </row>
    <row r="46" spans="2:14" ht="16.5" thickBot="1">
      <c r="B46" s="346"/>
      <c r="C46" s="346"/>
      <c r="D46" s="346"/>
      <c r="E46" s="346"/>
      <c r="F46" s="2296" t="s">
        <v>307</v>
      </c>
      <c r="G46" s="2296"/>
      <c r="H46" s="2296"/>
      <c r="I46" s="2297"/>
      <c r="J46" s="363"/>
      <c r="K46" s="120">
        <f>K44*K45</f>
        <v>43.923999999999999</v>
      </c>
      <c r="L46" s="120">
        <f>L44*L45</f>
        <v>0</v>
      </c>
      <c r="M46" s="120">
        <f>M44*M45</f>
        <v>145.17024000000001</v>
      </c>
      <c r="N46" s="364">
        <f>N44*N45</f>
        <v>0</v>
      </c>
    </row>
    <row r="47" spans="2:14" ht="16.5" thickTop="1">
      <c r="B47" s="346"/>
      <c r="C47" s="346"/>
      <c r="D47" s="346"/>
      <c r="E47" s="346"/>
      <c r="F47" s="346"/>
      <c r="G47" s="346"/>
      <c r="H47" s="346"/>
      <c r="I47" s="346"/>
      <c r="J47" s="365"/>
      <c r="K47" s="122"/>
      <c r="L47" s="122"/>
      <c r="M47" s="122"/>
      <c r="N47" s="122"/>
    </row>
    <row r="48" spans="2:14">
      <c r="B48" s="346"/>
      <c r="C48" s="346"/>
      <c r="D48" s="346"/>
      <c r="E48" s="346"/>
      <c r="F48" s="346"/>
      <c r="G48" s="346"/>
      <c r="H48" s="346"/>
      <c r="I48" s="346"/>
      <c r="J48" s="365"/>
      <c r="K48" s="122"/>
      <c r="L48" s="122"/>
      <c r="M48" s="122"/>
      <c r="N48" s="122"/>
    </row>
  </sheetData>
  <mergeCells count="18">
    <mergeCell ref="B1:G1"/>
    <mergeCell ref="L1:N1"/>
    <mergeCell ref="L2:N2"/>
    <mergeCell ref="L3:N3"/>
    <mergeCell ref="B5:B6"/>
    <mergeCell ref="C5:C6"/>
    <mergeCell ref="D5:D6"/>
    <mergeCell ref="E5:E6"/>
    <mergeCell ref="G5:I5"/>
    <mergeCell ref="B3:G3"/>
    <mergeCell ref="B4:G4"/>
    <mergeCell ref="B2:H2"/>
    <mergeCell ref="F46:I46"/>
    <mergeCell ref="F24:I24"/>
    <mergeCell ref="F25:I25"/>
    <mergeCell ref="F23:I23"/>
    <mergeCell ref="F44:I44"/>
    <mergeCell ref="F45:I45"/>
  </mergeCells>
  <pageMargins left="0.45" right="0.5" top="1" bottom="0.75" header="0.3" footer="0.3"/>
  <pageSetup scale="95" orientation="landscape" r:id="rId1"/>
  <rowBreaks count="1" manualBreakCount="1">
    <brk id="25" max="14"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H45"/>
  <sheetViews>
    <sheetView view="pageBreakPreview" topLeftCell="A19" zoomScaleSheetLayoutView="100" workbookViewId="0">
      <selection activeCell="E30" sqref="E30"/>
    </sheetView>
  </sheetViews>
  <sheetFormatPr defaultRowHeight="15"/>
  <cols>
    <col min="1" max="1" width="2.7109375" style="386" customWidth="1"/>
    <col min="2" max="2" width="6.85546875" style="386" customWidth="1"/>
    <col min="3" max="3" width="29" style="386" customWidth="1"/>
    <col min="4" max="4" width="15.7109375" style="386" customWidth="1"/>
    <col min="5" max="5" width="17.7109375" style="386" customWidth="1"/>
    <col min="6" max="6" width="14.7109375" style="386" customWidth="1"/>
    <col min="7" max="7" width="15" style="386" customWidth="1"/>
    <col min="8" max="8" width="3.7109375" style="386" customWidth="1"/>
    <col min="9" max="254" width="9.140625" style="386"/>
    <col min="255" max="255" width="4" style="386" customWidth="1"/>
    <col min="256" max="257" width="9.140625" style="386"/>
    <col min="258" max="258" width="5.85546875" style="386" customWidth="1"/>
    <col min="259" max="259" width="0.42578125" style="386" customWidth="1"/>
    <col min="260" max="260" width="15.7109375" style="386" customWidth="1"/>
    <col min="261" max="261" width="16.42578125" style="386" customWidth="1"/>
    <col min="262" max="262" width="16.7109375" style="386" customWidth="1"/>
    <col min="263" max="263" width="16.42578125" style="386" customWidth="1"/>
    <col min="264" max="510" width="9.140625" style="386"/>
    <col min="511" max="511" width="4" style="386" customWidth="1"/>
    <col min="512" max="513" width="9.140625" style="386"/>
    <col min="514" max="514" width="5.85546875" style="386" customWidth="1"/>
    <col min="515" max="515" width="0.42578125" style="386" customWidth="1"/>
    <col min="516" max="516" width="15.7109375" style="386" customWidth="1"/>
    <col min="517" max="517" width="16.42578125" style="386" customWidth="1"/>
    <col min="518" max="518" width="16.7109375" style="386" customWidth="1"/>
    <col min="519" max="519" width="16.42578125" style="386" customWidth="1"/>
    <col min="520" max="766" width="9.140625" style="386"/>
    <col min="767" max="767" width="4" style="386" customWidth="1"/>
    <col min="768" max="769" width="9.140625" style="386"/>
    <col min="770" max="770" width="5.85546875" style="386" customWidth="1"/>
    <col min="771" max="771" width="0.42578125" style="386" customWidth="1"/>
    <col min="772" max="772" width="15.7109375" style="386" customWidth="1"/>
    <col min="773" max="773" width="16.42578125" style="386" customWidth="1"/>
    <col min="774" max="774" width="16.7109375" style="386" customWidth="1"/>
    <col min="775" max="775" width="16.42578125" style="386" customWidth="1"/>
    <col min="776" max="1022" width="9.140625" style="386"/>
    <col min="1023" max="1023" width="4" style="386" customWidth="1"/>
    <col min="1024" max="1025" width="9.140625" style="386"/>
    <col min="1026" max="1026" width="5.85546875" style="386" customWidth="1"/>
    <col min="1027" max="1027" width="0.42578125" style="386" customWidth="1"/>
    <col min="1028" max="1028" width="15.7109375" style="386" customWidth="1"/>
    <col min="1029" max="1029" width="16.42578125" style="386" customWidth="1"/>
    <col min="1030" max="1030" width="16.7109375" style="386" customWidth="1"/>
    <col min="1031" max="1031" width="16.42578125" style="386" customWidth="1"/>
    <col min="1032" max="1278" width="9.140625" style="386"/>
    <col min="1279" max="1279" width="4" style="386" customWidth="1"/>
    <col min="1280" max="1281" width="9.140625" style="386"/>
    <col min="1282" max="1282" width="5.85546875" style="386" customWidth="1"/>
    <col min="1283" max="1283" width="0.42578125" style="386" customWidth="1"/>
    <col min="1284" max="1284" width="15.7109375" style="386" customWidth="1"/>
    <col min="1285" max="1285" width="16.42578125" style="386" customWidth="1"/>
    <col min="1286" max="1286" width="16.7109375" style="386" customWidth="1"/>
    <col min="1287" max="1287" width="16.42578125" style="386" customWidth="1"/>
    <col min="1288" max="1534" width="9.140625" style="386"/>
    <col min="1535" max="1535" width="4" style="386" customWidth="1"/>
    <col min="1536" max="1537" width="9.140625" style="386"/>
    <col min="1538" max="1538" width="5.85546875" style="386" customWidth="1"/>
    <col min="1539" max="1539" width="0.42578125" style="386" customWidth="1"/>
    <col min="1540" max="1540" width="15.7109375" style="386" customWidth="1"/>
    <col min="1541" max="1541" width="16.42578125" style="386" customWidth="1"/>
    <col min="1542" max="1542" width="16.7109375" style="386" customWidth="1"/>
    <col min="1543" max="1543" width="16.42578125" style="386" customWidth="1"/>
    <col min="1544" max="1790" width="9.140625" style="386"/>
    <col min="1791" max="1791" width="4" style="386" customWidth="1"/>
    <col min="1792" max="1793" width="9.140625" style="386"/>
    <col min="1794" max="1794" width="5.85546875" style="386" customWidth="1"/>
    <col min="1795" max="1795" width="0.42578125" style="386" customWidth="1"/>
    <col min="1796" max="1796" width="15.7109375" style="386" customWidth="1"/>
    <col min="1797" max="1797" width="16.42578125" style="386" customWidth="1"/>
    <col min="1798" max="1798" width="16.7109375" style="386" customWidth="1"/>
    <col min="1799" max="1799" width="16.42578125" style="386" customWidth="1"/>
    <col min="1800" max="2046" width="9.140625" style="386"/>
    <col min="2047" max="2047" width="4" style="386" customWidth="1"/>
    <col min="2048" max="2049" width="9.140625" style="386"/>
    <col min="2050" max="2050" width="5.85546875" style="386" customWidth="1"/>
    <col min="2051" max="2051" width="0.42578125" style="386" customWidth="1"/>
    <col min="2052" max="2052" width="15.7109375" style="386" customWidth="1"/>
    <col min="2053" max="2053" width="16.42578125" style="386" customWidth="1"/>
    <col min="2054" max="2054" width="16.7109375" style="386" customWidth="1"/>
    <col min="2055" max="2055" width="16.42578125" style="386" customWidth="1"/>
    <col min="2056" max="2302" width="9.140625" style="386"/>
    <col min="2303" max="2303" width="4" style="386" customWidth="1"/>
    <col min="2304" max="2305" width="9.140625" style="386"/>
    <col min="2306" max="2306" width="5.85546875" style="386" customWidth="1"/>
    <col min="2307" max="2307" width="0.42578125" style="386" customWidth="1"/>
    <col min="2308" max="2308" width="15.7109375" style="386" customWidth="1"/>
    <col min="2309" max="2309" width="16.42578125" style="386" customWidth="1"/>
    <col min="2310" max="2310" width="16.7109375" style="386" customWidth="1"/>
    <col min="2311" max="2311" width="16.42578125" style="386" customWidth="1"/>
    <col min="2312" max="2558" width="9.140625" style="386"/>
    <col min="2559" max="2559" width="4" style="386" customWidth="1"/>
    <col min="2560" max="2561" width="9.140625" style="386"/>
    <col min="2562" max="2562" width="5.85546875" style="386" customWidth="1"/>
    <col min="2563" max="2563" width="0.42578125" style="386" customWidth="1"/>
    <col min="2564" max="2564" width="15.7109375" style="386" customWidth="1"/>
    <col min="2565" max="2565" width="16.42578125" style="386" customWidth="1"/>
    <col min="2566" max="2566" width="16.7109375" style="386" customWidth="1"/>
    <col min="2567" max="2567" width="16.42578125" style="386" customWidth="1"/>
    <col min="2568" max="2814" width="9.140625" style="386"/>
    <col min="2815" max="2815" width="4" style="386" customWidth="1"/>
    <col min="2816" max="2817" width="9.140625" style="386"/>
    <col min="2818" max="2818" width="5.85546875" style="386" customWidth="1"/>
    <col min="2819" max="2819" width="0.42578125" style="386" customWidth="1"/>
    <col min="2820" max="2820" width="15.7109375" style="386" customWidth="1"/>
    <col min="2821" max="2821" width="16.42578125" style="386" customWidth="1"/>
    <col min="2822" max="2822" width="16.7109375" style="386" customWidth="1"/>
    <col min="2823" max="2823" width="16.42578125" style="386" customWidth="1"/>
    <col min="2824" max="3070" width="9.140625" style="386"/>
    <col min="3071" max="3071" width="4" style="386" customWidth="1"/>
    <col min="3072" max="3073" width="9.140625" style="386"/>
    <col min="3074" max="3074" width="5.85546875" style="386" customWidth="1"/>
    <col min="3075" max="3075" width="0.42578125" style="386" customWidth="1"/>
    <col min="3076" max="3076" width="15.7109375" style="386" customWidth="1"/>
    <col min="3077" max="3077" width="16.42578125" style="386" customWidth="1"/>
    <col min="3078" max="3078" width="16.7109375" style="386" customWidth="1"/>
    <col min="3079" max="3079" width="16.42578125" style="386" customWidth="1"/>
    <col min="3080" max="3326" width="9.140625" style="386"/>
    <col min="3327" max="3327" width="4" style="386" customWidth="1"/>
    <col min="3328" max="3329" width="9.140625" style="386"/>
    <col min="3330" max="3330" width="5.85546875" style="386" customWidth="1"/>
    <col min="3331" max="3331" width="0.42578125" style="386" customWidth="1"/>
    <col min="3332" max="3332" width="15.7109375" style="386" customWidth="1"/>
    <col min="3333" max="3333" width="16.42578125" style="386" customWidth="1"/>
    <col min="3334" max="3334" width="16.7109375" style="386" customWidth="1"/>
    <col min="3335" max="3335" width="16.42578125" style="386" customWidth="1"/>
    <col min="3336" max="3582" width="9.140625" style="386"/>
    <col min="3583" max="3583" width="4" style="386" customWidth="1"/>
    <col min="3584" max="3585" width="9.140625" style="386"/>
    <col min="3586" max="3586" width="5.85546875" style="386" customWidth="1"/>
    <col min="3587" max="3587" width="0.42578125" style="386" customWidth="1"/>
    <col min="3588" max="3588" width="15.7109375" style="386" customWidth="1"/>
    <col min="3589" max="3589" width="16.42578125" style="386" customWidth="1"/>
    <col min="3590" max="3590" width="16.7109375" style="386" customWidth="1"/>
    <col min="3591" max="3591" width="16.42578125" style="386" customWidth="1"/>
    <col min="3592" max="3838" width="9.140625" style="386"/>
    <col min="3839" max="3839" width="4" style="386" customWidth="1"/>
    <col min="3840" max="3841" width="9.140625" style="386"/>
    <col min="3842" max="3842" width="5.85546875" style="386" customWidth="1"/>
    <col min="3843" max="3843" width="0.42578125" style="386" customWidth="1"/>
    <col min="3844" max="3844" width="15.7109375" style="386" customWidth="1"/>
    <col min="3845" max="3845" width="16.42578125" style="386" customWidth="1"/>
    <col min="3846" max="3846" width="16.7109375" style="386" customWidth="1"/>
    <col min="3847" max="3847" width="16.42578125" style="386" customWidth="1"/>
    <col min="3848" max="4094" width="9.140625" style="386"/>
    <col min="4095" max="4095" width="4" style="386" customWidth="1"/>
    <col min="4096" max="4097" width="9.140625" style="386"/>
    <col min="4098" max="4098" width="5.85546875" style="386" customWidth="1"/>
    <col min="4099" max="4099" width="0.42578125" style="386" customWidth="1"/>
    <col min="4100" max="4100" width="15.7109375" style="386" customWidth="1"/>
    <col min="4101" max="4101" width="16.42578125" style="386" customWidth="1"/>
    <col min="4102" max="4102" width="16.7109375" style="386" customWidth="1"/>
    <col min="4103" max="4103" width="16.42578125" style="386" customWidth="1"/>
    <col min="4104" max="4350" width="9.140625" style="386"/>
    <col min="4351" max="4351" width="4" style="386" customWidth="1"/>
    <col min="4352" max="4353" width="9.140625" style="386"/>
    <col min="4354" max="4354" width="5.85546875" style="386" customWidth="1"/>
    <col min="4355" max="4355" width="0.42578125" style="386" customWidth="1"/>
    <col min="4356" max="4356" width="15.7109375" style="386" customWidth="1"/>
    <col min="4357" max="4357" width="16.42578125" style="386" customWidth="1"/>
    <col min="4358" max="4358" width="16.7109375" style="386" customWidth="1"/>
    <col min="4359" max="4359" width="16.42578125" style="386" customWidth="1"/>
    <col min="4360" max="4606" width="9.140625" style="386"/>
    <col min="4607" max="4607" width="4" style="386" customWidth="1"/>
    <col min="4608" max="4609" width="9.140625" style="386"/>
    <col min="4610" max="4610" width="5.85546875" style="386" customWidth="1"/>
    <col min="4611" max="4611" width="0.42578125" style="386" customWidth="1"/>
    <col min="4612" max="4612" width="15.7109375" style="386" customWidth="1"/>
    <col min="4613" max="4613" width="16.42578125" style="386" customWidth="1"/>
    <col min="4614" max="4614" width="16.7109375" style="386" customWidth="1"/>
    <col min="4615" max="4615" width="16.42578125" style="386" customWidth="1"/>
    <col min="4616" max="4862" width="9.140625" style="386"/>
    <col min="4863" max="4863" width="4" style="386" customWidth="1"/>
    <col min="4864" max="4865" width="9.140625" style="386"/>
    <col min="4866" max="4866" width="5.85546875" style="386" customWidth="1"/>
    <col min="4867" max="4867" width="0.42578125" style="386" customWidth="1"/>
    <col min="4868" max="4868" width="15.7109375" style="386" customWidth="1"/>
    <col min="4869" max="4869" width="16.42578125" style="386" customWidth="1"/>
    <col min="4870" max="4870" width="16.7109375" style="386" customWidth="1"/>
    <col min="4871" max="4871" width="16.42578125" style="386" customWidth="1"/>
    <col min="4872" max="5118" width="9.140625" style="386"/>
    <col min="5119" max="5119" width="4" style="386" customWidth="1"/>
    <col min="5120" max="5121" width="9.140625" style="386"/>
    <col min="5122" max="5122" width="5.85546875" style="386" customWidth="1"/>
    <col min="5123" max="5123" width="0.42578125" style="386" customWidth="1"/>
    <col min="5124" max="5124" width="15.7109375" style="386" customWidth="1"/>
    <col min="5125" max="5125" width="16.42578125" style="386" customWidth="1"/>
    <col min="5126" max="5126" width="16.7109375" style="386" customWidth="1"/>
    <col min="5127" max="5127" width="16.42578125" style="386" customWidth="1"/>
    <col min="5128" max="5374" width="9.140625" style="386"/>
    <col min="5375" max="5375" width="4" style="386" customWidth="1"/>
    <col min="5376" max="5377" width="9.140625" style="386"/>
    <col min="5378" max="5378" width="5.85546875" style="386" customWidth="1"/>
    <col min="5379" max="5379" width="0.42578125" style="386" customWidth="1"/>
    <col min="5380" max="5380" width="15.7109375" style="386" customWidth="1"/>
    <col min="5381" max="5381" width="16.42578125" style="386" customWidth="1"/>
    <col min="5382" max="5382" width="16.7109375" style="386" customWidth="1"/>
    <col min="5383" max="5383" width="16.42578125" style="386" customWidth="1"/>
    <col min="5384" max="5630" width="9.140625" style="386"/>
    <col min="5631" max="5631" width="4" style="386" customWidth="1"/>
    <col min="5632" max="5633" width="9.140625" style="386"/>
    <col min="5634" max="5634" width="5.85546875" style="386" customWidth="1"/>
    <col min="5635" max="5635" width="0.42578125" style="386" customWidth="1"/>
    <col min="5636" max="5636" width="15.7109375" style="386" customWidth="1"/>
    <col min="5637" max="5637" width="16.42578125" style="386" customWidth="1"/>
    <col min="5638" max="5638" width="16.7109375" style="386" customWidth="1"/>
    <col min="5639" max="5639" width="16.42578125" style="386" customWidth="1"/>
    <col min="5640" max="5886" width="9.140625" style="386"/>
    <col min="5887" max="5887" width="4" style="386" customWidth="1"/>
    <col min="5888" max="5889" width="9.140625" style="386"/>
    <col min="5890" max="5890" width="5.85546875" style="386" customWidth="1"/>
    <col min="5891" max="5891" width="0.42578125" style="386" customWidth="1"/>
    <col min="5892" max="5892" width="15.7109375" style="386" customWidth="1"/>
    <col min="5893" max="5893" width="16.42578125" style="386" customWidth="1"/>
    <col min="5894" max="5894" width="16.7109375" style="386" customWidth="1"/>
    <col min="5895" max="5895" width="16.42578125" style="386" customWidth="1"/>
    <col min="5896" max="6142" width="9.140625" style="386"/>
    <col min="6143" max="6143" width="4" style="386" customWidth="1"/>
    <col min="6144" max="6145" width="9.140625" style="386"/>
    <col min="6146" max="6146" width="5.85546875" style="386" customWidth="1"/>
    <col min="6147" max="6147" width="0.42578125" style="386" customWidth="1"/>
    <col min="6148" max="6148" width="15.7109375" style="386" customWidth="1"/>
    <col min="6149" max="6149" width="16.42578125" style="386" customWidth="1"/>
    <col min="6150" max="6150" width="16.7109375" style="386" customWidth="1"/>
    <col min="6151" max="6151" width="16.42578125" style="386" customWidth="1"/>
    <col min="6152" max="6398" width="9.140625" style="386"/>
    <col min="6399" max="6399" width="4" style="386" customWidth="1"/>
    <col min="6400" max="6401" width="9.140625" style="386"/>
    <col min="6402" max="6402" width="5.85546875" style="386" customWidth="1"/>
    <col min="6403" max="6403" width="0.42578125" style="386" customWidth="1"/>
    <col min="6404" max="6404" width="15.7109375" style="386" customWidth="1"/>
    <col min="6405" max="6405" width="16.42578125" style="386" customWidth="1"/>
    <col min="6406" max="6406" width="16.7109375" style="386" customWidth="1"/>
    <col min="6407" max="6407" width="16.42578125" style="386" customWidth="1"/>
    <col min="6408" max="6654" width="9.140625" style="386"/>
    <col min="6655" max="6655" width="4" style="386" customWidth="1"/>
    <col min="6656" max="6657" width="9.140625" style="386"/>
    <col min="6658" max="6658" width="5.85546875" style="386" customWidth="1"/>
    <col min="6659" max="6659" width="0.42578125" style="386" customWidth="1"/>
    <col min="6660" max="6660" width="15.7109375" style="386" customWidth="1"/>
    <col min="6661" max="6661" width="16.42578125" style="386" customWidth="1"/>
    <col min="6662" max="6662" width="16.7109375" style="386" customWidth="1"/>
    <col min="6663" max="6663" width="16.42578125" style="386" customWidth="1"/>
    <col min="6664" max="6910" width="9.140625" style="386"/>
    <col min="6911" max="6911" width="4" style="386" customWidth="1"/>
    <col min="6912" max="6913" width="9.140625" style="386"/>
    <col min="6914" max="6914" width="5.85546875" style="386" customWidth="1"/>
    <col min="6915" max="6915" width="0.42578125" style="386" customWidth="1"/>
    <col min="6916" max="6916" width="15.7109375" style="386" customWidth="1"/>
    <col min="6917" max="6917" width="16.42578125" style="386" customWidth="1"/>
    <col min="6918" max="6918" width="16.7109375" style="386" customWidth="1"/>
    <col min="6919" max="6919" width="16.42578125" style="386" customWidth="1"/>
    <col min="6920" max="7166" width="9.140625" style="386"/>
    <col min="7167" max="7167" width="4" style="386" customWidth="1"/>
    <col min="7168" max="7169" width="9.140625" style="386"/>
    <col min="7170" max="7170" width="5.85546875" style="386" customWidth="1"/>
    <col min="7171" max="7171" width="0.42578125" style="386" customWidth="1"/>
    <col min="7172" max="7172" width="15.7109375" style="386" customWidth="1"/>
    <col min="7173" max="7173" width="16.42578125" style="386" customWidth="1"/>
    <col min="7174" max="7174" width="16.7109375" style="386" customWidth="1"/>
    <col min="7175" max="7175" width="16.42578125" style="386" customWidth="1"/>
    <col min="7176" max="7422" width="9.140625" style="386"/>
    <col min="7423" max="7423" width="4" style="386" customWidth="1"/>
    <col min="7424" max="7425" width="9.140625" style="386"/>
    <col min="7426" max="7426" width="5.85546875" style="386" customWidth="1"/>
    <col min="7427" max="7427" width="0.42578125" style="386" customWidth="1"/>
    <col min="7428" max="7428" width="15.7109375" style="386" customWidth="1"/>
    <col min="7429" max="7429" width="16.42578125" style="386" customWidth="1"/>
    <col min="7430" max="7430" width="16.7109375" style="386" customWidth="1"/>
    <col min="7431" max="7431" width="16.42578125" style="386" customWidth="1"/>
    <col min="7432" max="7678" width="9.140625" style="386"/>
    <col min="7679" max="7679" width="4" style="386" customWidth="1"/>
    <col min="7680" max="7681" width="9.140625" style="386"/>
    <col min="7682" max="7682" width="5.85546875" style="386" customWidth="1"/>
    <col min="7683" max="7683" width="0.42578125" style="386" customWidth="1"/>
    <col min="7684" max="7684" width="15.7109375" style="386" customWidth="1"/>
    <col min="7685" max="7685" width="16.42578125" style="386" customWidth="1"/>
    <col min="7686" max="7686" width="16.7109375" style="386" customWidth="1"/>
    <col min="7687" max="7687" width="16.42578125" style="386" customWidth="1"/>
    <col min="7688" max="7934" width="9.140625" style="386"/>
    <col min="7935" max="7935" width="4" style="386" customWidth="1"/>
    <col min="7936" max="7937" width="9.140625" style="386"/>
    <col min="7938" max="7938" width="5.85546875" style="386" customWidth="1"/>
    <col min="7939" max="7939" width="0.42578125" style="386" customWidth="1"/>
    <col min="7940" max="7940" width="15.7109375" style="386" customWidth="1"/>
    <col min="7941" max="7941" width="16.42578125" style="386" customWidth="1"/>
    <col min="7942" max="7942" width="16.7109375" style="386" customWidth="1"/>
    <col min="7943" max="7943" width="16.42578125" style="386" customWidth="1"/>
    <col min="7944" max="8190" width="9.140625" style="386"/>
    <col min="8191" max="8191" width="4" style="386" customWidth="1"/>
    <col min="8192" max="8193" width="9.140625" style="386"/>
    <col min="8194" max="8194" width="5.85546875" style="386" customWidth="1"/>
    <col min="8195" max="8195" width="0.42578125" style="386" customWidth="1"/>
    <col min="8196" max="8196" width="15.7109375" style="386" customWidth="1"/>
    <col min="8197" max="8197" width="16.42578125" style="386" customWidth="1"/>
    <col min="8198" max="8198" width="16.7109375" style="386" customWidth="1"/>
    <col min="8199" max="8199" width="16.42578125" style="386" customWidth="1"/>
    <col min="8200" max="8446" width="9.140625" style="386"/>
    <col min="8447" max="8447" width="4" style="386" customWidth="1"/>
    <col min="8448" max="8449" width="9.140625" style="386"/>
    <col min="8450" max="8450" width="5.85546875" style="386" customWidth="1"/>
    <col min="8451" max="8451" width="0.42578125" style="386" customWidth="1"/>
    <col min="8452" max="8452" width="15.7109375" style="386" customWidth="1"/>
    <col min="8453" max="8453" width="16.42578125" style="386" customWidth="1"/>
    <col min="8454" max="8454" width="16.7109375" style="386" customWidth="1"/>
    <col min="8455" max="8455" width="16.42578125" style="386" customWidth="1"/>
    <col min="8456" max="8702" width="9.140625" style="386"/>
    <col min="8703" max="8703" width="4" style="386" customWidth="1"/>
    <col min="8704" max="8705" width="9.140625" style="386"/>
    <col min="8706" max="8706" width="5.85546875" style="386" customWidth="1"/>
    <col min="8707" max="8707" width="0.42578125" style="386" customWidth="1"/>
    <col min="8708" max="8708" width="15.7109375" style="386" customWidth="1"/>
    <col min="8709" max="8709" width="16.42578125" style="386" customWidth="1"/>
    <col min="8710" max="8710" width="16.7109375" style="386" customWidth="1"/>
    <col min="8711" max="8711" width="16.42578125" style="386" customWidth="1"/>
    <col min="8712" max="8958" width="9.140625" style="386"/>
    <col min="8959" max="8959" width="4" style="386" customWidth="1"/>
    <col min="8960" max="8961" width="9.140625" style="386"/>
    <col min="8962" max="8962" width="5.85546875" style="386" customWidth="1"/>
    <col min="8963" max="8963" width="0.42578125" style="386" customWidth="1"/>
    <col min="8964" max="8964" width="15.7109375" style="386" customWidth="1"/>
    <col min="8965" max="8965" width="16.42578125" style="386" customWidth="1"/>
    <col min="8966" max="8966" width="16.7109375" style="386" customWidth="1"/>
    <col min="8967" max="8967" width="16.42578125" style="386" customWidth="1"/>
    <col min="8968" max="9214" width="9.140625" style="386"/>
    <col min="9215" max="9215" width="4" style="386" customWidth="1"/>
    <col min="9216" max="9217" width="9.140625" style="386"/>
    <col min="9218" max="9218" width="5.85546875" style="386" customWidth="1"/>
    <col min="9219" max="9219" width="0.42578125" style="386" customWidth="1"/>
    <col min="9220" max="9220" width="15.7109375" style="386" customWidth="1"/>
    <col min="9221" max="9221" width="16.42578125" style="386" customWidth="1"/>
    <col min="9222" max="9222" width="16.7109375" style="386" customWidth="1"/>
    <col min="9223" max="9223" width="16.42578125" style="386" customWidth="1"/>
    <col min="9224" max="9470" width="9.140625" style="386"/>
    <col min="9471" max="9471" width="4" style="386" customWidth="1"/>
    <col min="9472" max="9473" width="9.140625" style="386"/>
    <col min="9474" max="9474" width="5.85546875" style="386" customWidth="1"/>
    <col min="9475" max="9475" width="0.42578125" style="386" customWidth="1"/>
    <col min="9476" max="9476" width="15.7109375" style="386" customWidth="1"/>
    <col min="9477" max="9477" width="16.42578125" style="386" customWidth="1"/>
    <col min="9478" max="9478" width="16.7109375" style="386" customWidth="1"/>
    <col min="9479" max="9479" width="16.42578125" style="386" customWidth="1"/>
    <col min="9480" max="9726" width="9.140625" style="386"/>
    <col min="9727" max="9727" width="4" style="386" customWidth="1"/>
    <col min="9728" max="9729" width="9.140625" style="386"/>
    <col min="9730" max="9730" width="5.85546875" style="386" customWidth="1"/>
    <col min="9731" max="9731" width="0.42578125" style="386" customWidth="1"/>
    <col min="9732" max="9732" width="15.7109375" style="386" customWidth="1"/>
    <col min="9733" max="9733" width="16.42578125" style="386" customWidth="1"/>
    <col min="9734" max="9734" width="16.7109375" style="386" customWidth="1"/>
    <col min="9735" max="9735" width="16.42578125" style="386" customWidth="1"/>
    <col min="9736" max="9982" width="9.140625" style="386"/>
    <col min="9983" max="9983" width="4" style="386" customWidth="1"/>
    <col min="9984" max="9985" width="9.140625" style="386"/>
    <col min="9986" max="9986" width="5.85546875" style="386" customWidth="1"/>
    <col min="9987" max="9987" width="0.42578125" style="386" customWidth="1"/>
    <col min="9988" max="9988" width="15.7109375" style="386" customWidth="1"/>
    <col min="9989" max="9989" width="16.42578125" style="386" customWidth="1"/>
    <col min="9990" max="9990" width="16.7109375" style="386" customWidth="1"/>
    <col min="9991" max="9991" width="16.42578125" style="386" customWidth="1"/>
    <col min="9992" max="10238" width="9.140625" style="386"/>
    <col min="10239" max="10239" width="4" style="386" customWidth="1"/>
    <col min="10240" max="10241" width="9.140625" style="386"/>
    <col min="10242" max="10242" width="5.85546875" style="386" customWidth="1"/>
    <col min="10243" max="10243" width="0.42578125" style="386" customWidth="1"/>
    <col min="10244" max="10244" width="15.7109375" style="386" customWidth="1"/>
    <col min="10245" max="10245" width="16.42578125" style="386" customWidth="1"/>
    <col min="10246" max="10246" width="16.7109375" style="386" customWidth="1"/>
    <col min="10247" max="10247" width="16.42578125" style="386" customWidth="1"/>
    <col min="10248" max="10494" width="9.140625" style="386"/>
    <col min="10495" max="10495" width="4" style="386" customWidth="1"/>
    <col min="10496" max="10497" width="9.140625" style="386"/>
    <col min="10498" max="10498" width="5.85546875" style="386" customWidth="1"/>
    <col min="10499" max="10499" width="0.42578125" style="386" customWidth="1"/>
    <col min="10500" max="10500" width="15.7109375" style="386" customWidth="1"/>
    <col min="10501" max="10501" width="16.42578125" style="386" customWidth="1"/>
    <col min="10502" max="10502" width="16.7109375" style="386" customWidth="1"/>
    <col min="10503" max="10503" width="16.42578125" style="386" customWidth="1"/>
    <col min="10504" max="10750" width="9.140625" style="386"/>
    <col min="10751" max="10751" width="4" style="386" customWidth="1"/>
    <col min="10752" max="10753" width="9.140625" style="386"/>
    <col min="10754" max="10754" width="5.85546875" style="386" customWidth="1"/>
    <col min="10755" max="10755" width="0.42578125" style="386" customWidth="1"/>
    <col min="10756" max="10756" width="15.7109375" style="386" customWidth="1"/>
    <col min="10757" max="10757" width="16.42578125" style="386" customWidth="1"/>
    <col min="10758" max="10758" width="16.7109375" style="386" customWidth="1"/>
    <col min="10759" max="10759" width="16.42578125" style="386" customWidth="1"/>
    <col min="10760" max="11006" width="9.140625" style="386"/>
    <col min="11007" max="11007" width="4" style="386" customWidth="1"/>
    <col min="11008" max="11009" width="9.140625" style="386"/>
    <col min="11010" max="11010" width="5.85546875" style="386" customWidth="1"/>
    <col min="11011" max="11011" width="0.42578125" style="386" customWidth="1"/>
    <col min="11012" max="11012" width="15.7109375" style="386" customWidth="1"/>
    <col min="11013" max="11013" width="16.42578125" style="386" customWidth="1"/>
    <col min="11014" max="11014" width="16.7109375" style="386" customWidth="1"/>
    <col min="11015" max="11015" width="16.42578125" style="386" customWidth="1"/>
    <col min="11016" max="11262" width="9.140625" style="386"/>
    <col min="11263" max="11263" width="4" style="386" customWidth="1"/>
    <col min="11264" max="11265" width="9.140625" style="386"/>
    <col min="11266" max="11266" width="5.85546875" style="386" customWidth="1"/>
    <col min="11267" max="11267" width="0.42578125" style="386" customWidth="1"/>
    <col min="11268" max="11268" width="15.7109375" style="386" customWidth="1"/>
    <col min="11269" max="11269" width="16.42578125" style="386" customWidth="1"/>
    <col min="11270" max="11270" width="16.7109375" style="386" customWidth="1"/>
    <col min="11271" max="11271" width="16.42578125" style="386" customWidth="1"/>
    <col min="11272" max="11518" width="9.140625" style="386"/>
    <col min="11519" max="11519" width="4" style="386" customWidth="1"/>
    <col min="11520" max="11521" width="9.140625" style="386"/>
    <col min="11522" max="11522" width="5.85546875" style="386" customWidth="1"/>
    <col min="11523" max="11523" width="0.42578125" style="386" customWidth="1"/>
    <col min="11524" max="11524" width="15.7109375" style="386" customWidth="1"/>
    <col min="11525" max="11525" width="16.42578125" style="386" customWidth="1"/>
    <col min="11526" max="11526" width="16.7109375" style="386" customWidth="1"/>
    <col min="11527" max="11527" width="16.42578125" style="386" customWidth="1"/>
    <col min="11528" max="11774" width="9.140625" style="386"/>
    <col min="11775" max="11775" width="4" style="386" customWidth="1"/>
    <col min="11776" max="11777" width="9.140625" style="386"/>
    <col min="11778" max="11778" width="5.85546875" style="386" customWidth="1"/>
    <col min="11779" max="11779" width="0.42578125" style="386" customWidth="1"/>
    <col min="11780" max="11780" width="15.7109375" style="386" customWidth="1"/>
    <col min="11781" max="11781" width="16.42578125" style="386" customWidth="1"/>
    <col min="11782" max="11782" width="16.7109375" style="386" customWidth="1"/>
    <col min="11783" max="11783" width="16.42578125" style="386" customWidth="1"/>
    <col min="11784" max="12030" width="9.140625" style="386"/>
    <col min="12031" max="12031" width="4" style="386" customWidth="1"/>
    <col min="12032" max="12033" width="9.140625" style="386"/>
    <col min="12034" max="12034" width="5.85546875" style="386" customWidth="1"/>
    <col min="12035" max="12035" width="0.42578125" style="386" customWidth="1"/>
    <col min="12036" max="12036" width="15.7109375" style="386" customWidth="1"/>
    <col min="12037" max="12037" width="16.42578125" style="386" customWidth="1"/>
    <col min="12038" max="12038" width="16.7109375" style="386" customWidth="1"/>
    <col min="12039" max="12039" width="16.42578125" style="386" customWidth="1"/>
    <col min="12040" max="12286" width="9.140625" style="386"/>
    <col min="12287" max="12287" width="4" style="386" customWidth="1"/>
    <col min="12288" max="12289" width="9.140625" style="386"/>
    <col min="12290" max="12290" width="5.85546875" style="386" customWidth="1"/>
    <col min="12291" max="12291" width="0.42578125" style="386" customWidth="1"/>
    <col min="12292" max="12292" width="15.7109375" style="386" customWidth="1"/>
    <col min="12293" max="12293" width="16.42578125" style="386" customWidth="1"/>
    <col min="12294" max="12294" width="16.7109375" style="386" customWidth="1"/>
    <col min="12295" max="12295" width="16.42578125" style="386" customWidth="1"/>
    <col min="12296" max="12542" width="9.140625" style="386"/>
    <col min="12543" max="12543" width="4" style="386" customWidth="1"/>
    <col min="12544" max="12545" width="9.140625" style="386"/>
    <col min="12546" max="12546" width="5.85546875" style="386" customWidth="1"/>
    <col min="12547" max="12547" width="0.42578125" style="386" customWidth="1"/>
    <col min="12548" max="12548" width="15.7109375" style="386" customWidth="1"/>
    <col min="12549" max="12549" width="16.42578125" style="386" customWidth="1"/>
    <col min="12550" max="12550" width="16.7109375" style="386" customWidth="1"/>
    <col min="12551" max="12551" width="16.42578125" style="386" customWidth="1"/>
    <col min="12552" max="12798" width="9.140625" style="386"/>
    <col min="12799" max="12799" width="4" style="386" customWidth="1"/>
    <col min="12800" max="12801" width="9.140625" style="386"/>
    <col min="12802" max="12802" width="5.85546875" style="386" customWidth="1"/>
    <col min="12803" max="12803" width="0.42578125" style="386" customWidth="1"/>
    <col min="12804" max="12804" width="15.7109375" style="386" customWidth="1"/>
    <col min="12805" max="12805" width="16.42578125" style="386" customWidth="1"/>
    <col min="12806" max="12806" width="16.7109375" style="386" customWidth="1"/>
    <col min="12807" max="12807" width="16.42578125" style="386" customWidth="1"/>
    <col min="12808" max="13054" width="9.140625" style="386"/>
    <col min="13055" max="13055" width="4" style="386" customWidth="1"/>
    <col min="13056" max="13057" width="9.140625" style="386"/>
    <col min="13058" max="13058" width="5.85546875" style="386" customWidth="1"/>
    <col min="13059" max="13059" width="0.42578125" style="386" customWidth="1"/>
    <col min="13060" max="13060" width="15.7109375" style="386" customWidth="1"/>
    <col min="13061" max="13061" width="16.42578125" style="386" customWidth="1"/>
    <col min="13062" max="13062" width="16.7109375" style="386" customWidth="1"/>
    <col min="13063" max="13063" width="16.42578125" style="386" customWidth="1"/>
    <col min="13064" max="13310" width="9.140625" style="386"/>
    <col min="13311" max="13311" width="4" style="386" customWidth="1"/>
    <col min="13312" max="13313" width="9.140625" style="386"/>
    <col min="13314" max="13314" width="5.85546875" style="386" customWidth="1"/>
    <col min="13315" max="13315" width="0.42578125" style="386" customWidth="1"/>
    <col min="13316" max="13316" width="15.7109375" style="386" customWidth="1"/>
    <col min="13317" max="13317" width="16.42578125" style="386" customWidth="1"/>
    <col min="13318" max="13318" width="16.7109375" style="386" customWidth="1"/>
    <col min="13319" max="13319" width="16.42578125" style="386" customWidth="1"/>
    <col min="13320" max="13566" width="9.140625" style="386"/>
    <col min="13567" max="13567" width="4" style="386" customWidth="1"/>
    <col min="13568" max="13569" width="9.140625" style="386"/>
    <col min="13570" max="13570" width="5.85546875" style="386" customWidth="1"/>
    <col min="13571" max="13571" width="0.42578125" style="386" customWidth="1"/>
    <col min="13572" max="13572" width="15.7109375" style="386" customWidth="1"/>
    <col min="13573" max="13573" width="16.42578125" style="386" customWidth="1"/>
    <col min="13574" max="13574" width="16.7109375" style="386" customWidth="1"/>
    <col min="13575" max="13575" width="16.42578125" style="386" customWidth="1"/>
    <col min="13576" max="13822" width="9.140625" style="386"/>
    <col min="13823" max="13823" width="4" style="386" customWidth="1"/>
    <col min="13824" max="13825" width="9.140625" style="386"/>
    <col min="13826" max="13826" width="5.85546875" style="386" customWidth="1"/>
    <col min="13827" max="13827" width="0.42578125" style="386" customWidth="1"/>
    <col min="13828" max="13828" width="15.7109375" style="386" customWidth="1"/>
    <col min="13829" max="13829" width="16.42578125" style="386" customWidth="1"/>
    <col min="13830" max="13830" width="16.7109375" style="386" customWidth="1"/>
    <col min="13831" max="13831" width="16.42578125" style="386" customWidth="1"/>
    <col min="13832" max="14078" width="9.140625" style="386"/>
    <col min="14079" max="14079" width="4" style="386" customWidth="1"/>
    <col min="14080" max="14081" width="9.140625" style="386"/>
    <col min="14082" max="14082" width="5.85546875" style="386" customWidth="1"/>
    <col min="14083" max="14083" width="0.42578125" style="386" customWidth="1"/>
    <col min="14084" max="14084" width="15.7109375" style="386" customWidth="1"/>
    <col min="14085" max="14085" width="16.42578125" style="386" customWidth="1"/>
    <col min="14086" max="14086" width="16.7109375" style="386" customWidth="1"/>
    <col min="14087" max="14087" width="16.42578125" style="386" customWidth="1"/>
    <col min="14088" max="14334" width="9.140625" style="386"/>
    <col min="14335" max="14335" width="4" style="386" customWidth="1"/>
    <col min="14336" max="14337" width="9.140625" style="386"/>
    <col min="14338" max="14338" width="5.85546875" style="386" customWidth="1"/>
    <col min="14339" max="14339" width="0.42578125" style="386" customWidth="1"/>
    <col min="14340" max="14340" width="15.7109375" style="386" customWidth="1"/>
    <col min="14341" max="14341" width="16.42578125" style="386" customWidth="1"/>
    <col min="14342" max="14342" width="16.7109375" style="386" customWidth="1"/>
    <col min="14343" max="14343" width="16.42578125" style="386" customWidth="1"/>
    <col min="14344" max="14590" width="9.140625" style="386"/>
    <col min="14591" max="14591" width="4" style="386" customWidth="1"/>
    <col min="14592" max="14593" width="9.140625" style="386"/>
    <col min="14594" max="14594" width="5.85546875" style="386" customWidth="1"/>
    <col min="14595" max="14595" width="0.42578125" style="386" customWidth="1"/>
    <col min="14596" max="14596" width="15.7109375" style="386" customWidth="1"/>
    <col min="14597" max="14597" width="16.42578125" style="386" customWidth="1"/>
    <col min="14598" max="14598" width="16.7109375" style="386" customWidth="1"/>
    <col min="14599" max="14599" width="16.42578125" style="386" customWidth="1"/>
    <col min="14600" max="14846" width="9.140625" style="386"/>
    <col min="14847" max="14847" width="4" style="386" customWidth="1"/>
    <col min="14848" max="14849" width="9.140625" style="386"/>
    <col min="14850" max="14850" width="5.85546875" style="386" customWidth="1"/>
    <col min="14851" max="14851" width="0.42578125" style="386" customWidth="1"/>
    <col min="14852" max="14852" width="15.7109375" style="386" customWidth="1"/>
    <col min="14853" max="14853" width="16.42578125" style="386" customWidth="1"/>
    <col min="14854" max="14854" width="16.7109375" style="386" customWidth="1"/>
    <col min="14855" max="14855" width="16.42578125" style="386" customWidth="1"/>
    <col min="14856" max="15102" width="9.140625" style="386"/>
    <col min="15103" max="15103" width="4" style="386" customWidth="1"/>
    <col min="15104" max="15105" width="9.140625" style="386"/>
    <col min="15106" max="15106" width="5.85546875" style="386" customWidth="1"/>
    <col min="15107" max="15107" width="0.42578125" style="386" customWidth="1"/>
    <col min="15108" max="15108" width="15.7109375" style="386" customWidth="1"/>
    <col min="15109" max="15109" width="16.42578125" style="386" customWidth="1"/>
    <col min="15110" max="15110" width="16.7109375" style="386" customWidth="1"/>
    <col min="15111" max="15111" width="16.42578125" style="386" customWidth="1"/>
    <col min="15112" max="15358" width="9.140625" style="386"/>
    <col min="15359" max="15359" width="4" style="386" customWidth="1"/>
    <col min="15360" max="15361" width="9.140625" style="386"/>
    <col min="15362" max="15362" width="5.85546875" style="386" customWidth="1"/>
    <col min="15363" max="15363" width="0.42578125" style="386" customWidth="1"/>
    <col min="15364" max="15364" width="15.7109375" style="386" customWidth="1"/>
    <col min="15365" max="15365" width="16.42578125" style="386" customWidth="1"/>
    <col min="15366" max="15366" width="16.7109375" style="386" customWidth="1"/>
    <col min="15367" max="15367" width="16.42578125" style="386" customWidth="1"/>
    <col min="15368" max="15614" width="9.140625" style="386"/>
    <col min="15615" max="15615" width="4" style="386" customWidth="1"/>
    <col min="15616" max="15617" width="9.140625" style="386"/>
    <col min="15618" max="15618" width="5.85546875" style="386" customWidth="1"/>
    <col min="15619" max="15619" width="0.42578125" style="386" customWidth="1"/>
    <col min="15620" max="15620" width="15.7109375" style="386" customWidth="1"/>
    <col min="15621" max="15621" width="16.42578125" style="386" customWidth="1"/>
    <col min="15622" max="15622" width="16.7109375" style="386" customWidth="1"/>
    <col min="15623" max="15623" width="16.42578125" style="386" customWidth="1"/>
    <col min="15624" max="15870" width="9.140625" style="386"/>
    <col min="15871" max="15871" width="4" style="386" customWidth="1"/>
    <col min="15872" max="15873" width="9.140625" style="386"/>
    <col min="15874" max="15874" width="5.85546875" style="386" customWidth="1"/>
    <col min="15875" max="15875" width="0.42578125" style="386" customWidth="1"/>
    <col min="15876" max="15876" width="15.7109375" style="386" customWidth="1"/>
    <col min="15877" max="15877" width="16.42578125" style="386" customWidth="1"/>
    <col min="15878" max="15878" width="16.7109375" style="386" customWidth="1"/>
    <col min="15879" max="15879" width="16.42578125" style="386" customWidth="1"/>
    <col min="15880" max="16126" width="9.140625" style="386"/>
    <col min="16127" max="16127" width="4" style="386" customWidth="1"/>
    <col min="16128" max="16129" width="9.140625" style="386"/>
    <col min="16130" max="16130" width="5.85546875" style="386" customWidth="1"/>
    <col min="16131" max="16131" width="0.42578125" style="386" customWidth="1"/>
    <col min="16132" max="16132" width="15.7109375" style="386" customWidth="1"/>
    <col min="16133" max="16133" width="16.42578125" style="386" customWidth="1"/>
    <col min="16134" max="16134" width="16.7109375" style="386" customWidth="1"/>
    <col min="16135" max="16135" width="16.42578125" style="386" customWidth="1"/>
    <col min="16136" max="16384" width="9.140625" style="386"/>
  </cols>
  <sheetData>
    <row r="1" spans="2:8" s="378" customFormat="1" ht="18">
      <c r="B1" s="2301" t="s">
        <v>1520</v>
      </c>
      <c r="C1" s="2301"/>
      <c r="D1" s="2301"/>
      <c r="E1" s="2301"/>
      <c r="F1" s="2301"/>
      <c r="G1" s="2301"/>
      <c r="H1" s="2301"/>
    </row>
    <row r="2" spans="2:8" s="378" customFormat="1" ht="18">
      <c r="B2" s="344"/>
      <c r="C2" s="344"/>
      <c r="D2" s="345"/>
      <c r="E2" s="380"/>
      <c r="F2" s="380"/>
      <c r="G2" s="398"/>
    </row>
    <row r="3" spans="2:8" s="378" customFormat="1" ht="18">
      <c r="B3" s="2300" t="s">
        <v>1521</v>
      </c>
      <c r="C3" s="2300"/>
      <c r="D3" s="2300"/>
      <c r="E3" s="2300"/>
      <c r="F3" s="381"/>
      <c r="G3" s="399"/>
    </row>
    <row r="4" spans="2:8" s="378" customFormat="1" ht="18">
      <c r="B4" s="2300" t="s">
        <v>1299</v>
      </c>
      <c r="C4" s="2300"/>
      <c r="D4" s="2300"/>
      <c r="E4" s="2300"/>
      <c r="F4" s="382"/>
      <c r="G4" s="399"/>
    </row>
    <row r="5" spans="2:8" s="378" customFormat="1" ht="18">
      <c r="B5" s="2300" t="s">
        <v>1522</v>
      </c>
      <c r="C5" s="2300"/>
      <c r="D5" s="2300"/>
      <c r="E5" s="2300"/>
      <c r="F5" s="382"/>
      <c r="G5" s="400"/>
    </row>
    <row r="6" spans="2:8" s="378" customFormat="1" ht="18">
      <c r="B6" s="2300" t="s">
        <v>1523</v>
      </c>
      <c r="C6" s="2300"/>
      <c r="D6" s="2300"/>
      <c r="E6" s="2300"/>
      <c r="F6" s="379"/>
      <c r="G6" s="400"/>
    </row>
    <row r="7" spans="2:8" s="454" customFormat="1" ht="18">
      <c r="B7" s="2300" t="s">
        <v>1680</v>
      </c>
      <c r="C7" s="2300"/>
      <c r="D7" s="2300"/>
      <c r="E7" s="2300"/>
    </row>
    <row r="8" spans="2:8" s="454" customFormat="1" ht="18">
      <c r="B8" s="396"/>
      <c r="C8" s="396"/>
      <c r="D8" s="396"/>
      <c r="E8" s="396"/>
    </row>
    <row r="9" spans="2:8" s="454" customFormat="1" ht="18">
      <c r="B9" s="2301"/>
      <c r="C9" s="2301" t="s">
        <v>1301</v>
      </c>
      <c r="D9" s="2301"/>
      <c r="E9" s="2301"/>
      <c r="F9" s="2301"/>
      <c r="G9" s="2301"/>
      <c r="H9" s="2301"/>
    </row>
    <row r="10" spans="2:8" s="454" customFormat="1" ht="15.75">
      <c r="C10" s="455"/>
      <c r="D10" s="455"/>
      <c r="E10" s="455"/>
      <c r="F10" s="455"/>
      <c r="G10" s="455"/>
    </row>
    <row r="11" spans="2:8" s="378" customFormat="1" ht="18">
      <c r="B11" s="2302" t="s">
        <v>1301</v>
      </c>
      <c r="C11" s="2302"/>
      <c r="D11" s="2302"/>
      <c r="E11" s="2302"/>
      <c r="F11" s="2302"/>
      <c r="G11" s="2302"/>
      <c r="H11" s="2302"/>
    </row>
    <row r="12" spans="2:8" s="467" customFormat="1" ht="15.75">
      <c r="B12" s="468"/>
      <c r="C12" s="468"/>
      <c r="F12" s="469"/>
      <c r="G12" s="469"/>
    </row>
    <row r="13" spans="2:8" s="467" customFormat="1" ht="16.5" thickBot="1">
      <c r="B13" s="468"/>
      <c r="C13" s="468"/>
      <c r="F13" s="469"/>
      <c r="G13" s="469"/>
    </row>
    <row r="14" spans="2:8" s="467" customFormat="1" ht="16.5" thickTop="1">
      <c r="B14" s="2305" t="s">
        <v>1302</v>
      </c>
      <c r="C14" s="2308" t="s">
        <v>0</v>
      </c>
      <c r="D14" s="2311" t="s">
        <v>1303</v>
      </c>
      <c r="E14" s="2311"/>
      <c r="F14" s="2311" t="s">
        <v>1304</v>
      </c>
      <c r="G14" s="2312"/>
    </row>
    <row r="15" spans="2:8" s="467" customFormat="1" ht="15.75">
      <c r="B15" s="2306"/>
      <c r="C15" s="2309"/>
      <c r="D15" s="470" t="s">
        <v>1305</v>
      </c>
      <c r="E15" s="470" t="s">
        <v>1306</v>
      </c>
      <c r="F15" s="470" t="s">
        <v>1305</v>
      </c>
      <c r="G15" s="471" t="s">
        <v>1306</v>
      </c>
    </row>
    <row r="16" spans="2:8" s="467" customFormat="1" ht="16.5" thickBot="1">
      <c r="B16" s="2307"/>
      <c r="C16" s="2310"/>
      <c r="D16" s="484" t="s">
        <v>1307</v>
      </c>
      <c r="E16" s="484" t="s">
        <v>1308</v>
      </c>
      <c r="F16" s="484" t="s">
        <v>1307</v>
      </c>
      <c r="G16" s="485" t="s">
        <v>1308</v>
      </c>
    </row>
    <row r="17" spans="2:7" s="467" customFormat="1" ht="16.5" thickTop="1">
      <c r="B17" s="482"/>
      <c r="C17" s="483" t="s">
        <v>1309</v>
      </c>
      <c r="D17" s="456"/>
      <c r="E17" s="473"/>
      <c r="F17" s="474"/>
      <c r="G17" s="475"/>
    </row>
    <row r="18" spans="2:7" s="467" customFormat="1" ht="15.75">
      <c r="B18" s="472">
        <v>1</v>
      </c>
      <c r="C18" s="275" t="s">
        <v>1310</v>
      </c>
      <c r="D18" s="476">
        <v>215998</v>
      </c>
      <c r="E18" s="476">
        <f>'Kit. Meas'!I17</f>
        <v>119402.69014999999</v>
      </c>
      <c r="F18" s="477">
        <f t="shared" ref="F18:G32" si="0">D18</f>
        <v>215998</v>
      </c>
      <c r="G18" s="478">
        <f t="shared" si="0"/>
        <v>119402.69014999999</v>
      </c>
    </row>
    <row r="19" spans="2:7" s="467" customFormat="1" ht="15.75">
      <c r="B19" s="472">
        <v>2</v>
      </c>
      <c r="C19" s="275" t="s">
        <v>1311</v>
      </c>
      <c r="D19" s="476">
        <v>404278</v>
      </c>
      <c r="E19" s="476">
        <f>'Kit. Meas'!I31</f>
        <v>348993.57559999998</v>
      </c>
      <c r="F19" s="477">
        <f t="shared" si="0"/>
        <v>404278</v>
      </c>
      <c r="G19" s="478">
        <f t="shared" si="0"/>
        <v>348993.57559999998</v>
      </c>
    </row>
    <row r="20" spans="2:7" s="467" customFormat="1" ht="16.5" thickBot="1">
      <c r="B20" s="1195">
        <v>3</v>
      </c>
      <c r="C20" s="486" t="s">
        <v>1312</v>
      </c>
      <c r="D20" s="1196">
        <v>202550</v>
      </c>
      <c r="E20" s="1196">
        <f>'Kit. Meas'!I35</f>
        <v>53102.739999999991</v>
      </c>
      <c r="F20" s="1197">
        <f t="shared" si="0"/>
        <v>202550</v>
      </c>
      <c r="G20" s="1198">
        <f t="shared" si="0"/>
        <v>53102.739999999991</v>
      </c>
    </row>
    <row r="21" spans="2:7" s="467" customFormat="1" ht="17.25" thickTop="1" thickBot="1">
      <c r="B21" s="1202"/>
      <c r="C21" s="1203" t="s">
        <v>1313</v>
      </c>
      <c r="D21" s="1204">
        <f>SUM(D18:D20)</f>
        <v>822826</v>
      </c>
      <c r="E21" s="1204">
        <f>SUM(E18:E20)</f>
        <v>521499.00574999995</v>
      </c>
      <c r="F21" s="1204">
        <f>SUM(F18:F20)</f>
        <v>822826</v>
      </c>
      <c r="G21" s="1205">
        <f>SUM(G18:G20)</f>
        <v>521499.00574999995</v>
      </c>
    </row>
    <row r="22" spans="2:7" s="467" customFormat="1" ht="16.5" thickTop="1">
      <c r="B22" s="482"/>
      <c r="C22" s="1199" t="s">
        <v>1314</v>
      </c>
      <c r="D22" s="473"/>
      <c r="E22" s="473"/>
      <c r="F22" s="1200"/>
      <c r="G22" s="1201"/>
    </row>
    <row r="23" spans="2:7" s="467" customFormat="1" ht="15.75">
      <c r="B23" s="472">
        <v>1</v>
      </c>
      <c r="C23" s="275" t="s">
        <v>1311</v>
      </c>
      <c r="D23" s="476">
        <v>140629</v>
      </c>
      <c r="E23" s="476">
        <f>'Kit. Meas'!I51</f>
        <v>145195.18872000001</v>
      </c>
      <c r="F23" s="477">
        <f t="shared" si="0"/>
        <v>140629</v>
      </c>
      <c r="G23" s="478">
        <f>E23</f>
        <v>145195.18872000001</v>
      </c>
    </row>
    <row r="24" spans="2:7" s="467" customFormat="1" ht="15.75">
      <c r="B24" s="472">
        <v>2</v>
      </c>
      <c r="C24" s="479" t="s">
        <v>1315</v>
      </c>
      <c r="D24" s="476">
        <v>144930</v>
      </c>
      <c r="E24" s="476">
        <f>'Kit. Meas'!I55</f>
        <v>173822.8</v>
      </c>
      <c r="F24" s="477">
        <f t="shared" si="0"/>
        <v>144930</v>
      </c>
      <c r="G24" s="478">
        <f t="shared" si="0"/>
        <v>173822.8</v>
      </c>
    </row>
    <row r="25" spans="2:7" s="467" customFormat="1" ht="15.75">
      <c r="B25" s="472">
        <v>3</v>
      </c>
      <c r="C25" s="275" t="s">
        <v>1316</v>
      </c>
      <c r="D25" s="476">
        <v>173531.2</v>
      </c>
      <c r="E25" s="476">
        <f>'Kit. Meas'!I61</f>
        <v>171470.64</v>
      </c>
      <c r="F25" s="477">
        <f t="shared" si="0"/>
        <v>173531.2</v>
      </c>
      <c r="G25" s="478">
        <f t="shared" si="0"/>
        <v>171470.64</v>
      </c>
    </row>
    <row r="26" spans="2:7" s="467" customFormat="1" ht="15.75">
      <c r="B26" s="472">
        <v>4</v>
      </c>
      <c r="C26" s="275" t="s">
        <v>1595</v>
      </c>
      <c r="D26" s="476">
        <v>135889.70000000001</v>
      </c>
      <c r="E26" s="476">
        <f>'Kit. Meas'!I71</f>
        <v>99798.32</v>
      </c>
      <c r="F26" s="477">
        <f t="shared" si="0"/>
        <v>135889.70000000001</v>
      </c>
      <c r="G26" s="478">
        <f t="shared" si="0"/>
        <v>99798.32</v>
      </c>
    </row>
    <row r="27" spans="2:7" s="467" customFormat="1" ht="15.75">
      <c r="B27" s="472">
        <v>5</v>
      </c>
      <c r="C27" s="275" t="s">
        <v>1318</v>
      </c>
      <c r="D27" s="476">
        <v>134211</v>
      </c>
      <c r="E27" s="476">
        <f>'Kit. Meas'!I82</f>
        <v>50385</v>
      </c>
      <c r="F27" s="477">
        <f t="shared" si="0"/>
        <v>134211</v>
      </c>
      <c r="G27" s="478">
        <f t="shared" si="0"/>
        <v>50385</v>
      </c>
    </row>
    <row r="28" spans="2:7" s="467" customFormat="1" ht="15.75">
      <c r="B28" s="472">
        <v>6</v>
      </c>
      <c r="C28" s="275" t="s">
        <v>1319</v>
      </c>
      <c r="D28" s="476">
        <v>445235</v>
      </c>
      <c r="E28" s="476">
        <f>'Kit. Meas'!I93</f>
        <v>455573.71500000003</v>
      </c>
      <c r="F28" s="477">
        <f t="shared" si="0"/>
        <v>445235</v>
      </c>
      <c r="G28" s="478">
        <f t="shared" si="0"/>
        <v>455573.71500000003</v>
      </c>
    </row>
    <row r="29" spans="2:7" s="467" customFormat="1" ht="15.75">
      <c r="B29" s="472">
        <v>7</v>
      </c>
      <c r="C29" s="480" t="s">
        <v>1320</v>
      </c>
      <c r="D29" s="476">
        <v>32200</v>
      </c>
      <c r="E29" s="476">
        <f>'Kit. Meas'!I98</f>
        <v>26890.444000000007</v>
      </c>
      <c r="F29" s="477">
        <f t="shared" si="0"/>
        <v>32200</v>
      </c>
      <c r="G29" s="478">
        <f t="shared" si="0"/>
        <v>26890.444000000007</v>
      </c>
    </row>
    <row r="30" spans="2:7" s="467" customFormat="1" ht="15.75">
      <c r="B30" s="472">
        <v>8</v>
      </c>
      <c r="C30" s="480" t="s">
        <v>1321</v>
      </c>
      <c r="D30" s="476">
        <v>13075</v>
      </c>
      <c r="E30" s="476"/>
      <c r="F30" s="477">
        <f t="shared" si="0"/>
        <v>13075</v>
      </c>
      <c r="G30" s="478"/>
    </row>
    <row r="31" spans="2:7" s="467" customFormat="1" ht="15.75">
      <c r="B31" s="472">
        <v>9</v>
      </c>
      <c r="C31" s="480" t="s">
        <v>1322</v>
      </c>
      <c r="D31" s="476">
        <v>30150</v>
      </c>
      <c r="E31" s="476">
        <f>'Kit. Meas'!I110</f>
        <v>6495.65</v>
      </c>
      <c r="F31" s="477">
        <f t="shared" si="0"/>
        <v>30150</v>
      </c>
      <c r="G31" s="478">
        <f t="shared" si="0"/>
        <v>6495.65</v>
      </c>
    </row>
    <row r="32" spans="2:7" s="467" customFormat="1" ht="16.5" thickBot="1">
      <c r="B32" s="472">
        <v>10</v>
      </c>
      <c r="C32" s="480" t="s">
        <v>1323</v>
      </c>
      <c r="D32" s="476">
        <v>99408.75</v>
      </c>
      <c r="E32" s="476">
        <f>'Kit. Meas'!I141</f>
        <v>49881.5</v>
      </c>
      <c r="F32" s="477">
        <f t="shared" si="0"/>
        <v>99408.75</v>
      </c>
      <c r="G32" s="478">
        <f t="shared" si="0"/>
        <v>49881.5</v>
      </c>
    </row>
    <row r="33" spans="2:7" s="467" customFormat="1" ht="24" customHeight="1" thickTop="1" thickBot="1">
      <c r="B33" s="1202"/>
      <c r="C33" s="1203" t="s">
        <v>1324</v>
      </c>
      <c r="D33" s="1204">
        <f>SUM(D23:D32)</f>
        <v>1349259.65</v>
      </c>
      <c r="E33" s="1204">
        <f>SUM(E23:E32)</f>
        <v>1179513.2577199999</v>
      </c>
      <c r="F33" s="1204">
        <f>SUM(F22:F32)</f>
        <v>1349259.65</v>
      </c>
      <c r="G33" s="1205">
        <f>SUM(G22:G32)</f>
        <v>1179513.2577199999</v>
      </c>
    </row>
    <row r="34" spans="2:7" s="467" customFormat="1" ht="17.25" thickTop="1" thickBot="1">
      <c r="B34" s="1202"/>
      <c r="C34" s="1203" t="s">
        <v>1325</v>
      </c>
      <c r="D34" s="1204">
        <f>D21+D33</f>
        <v>2172085.65</v>
      </c>
      <c r="E34" s="1204">
        <f>E21+E33</f>
        <v>1701012.2634699999</v>
      </c>
      <c r="F34" s="1204">
        <f>F33+F21</f>
        <v>2172085.65</v>
      </c>
      <c r="G34" s="1205">
        <f>G33+G21</f>
        <v>1701012.2634699999</v>
      </c>
    </row>
    <row r="35" spans="2:7" s="467" customFormat="1" ht="16.5" thickTop="1"/>
    <row r="36" spans="2:7" s="467" customFormat="1" ht="15.75">
      <c r="B36" s="468"/>
      <c r="C36" s="468"/>
      <c r="D36" s="468"/>
      <c r="E36" s="468"/>
      <c r="F36" s="468"/>
    </row>
    <row r="37" spans="2:7" s="467" customFormat="1" ht="15.75">
      <c r="B37" s="2303"/>
      <c r="C37" s="2303"/>
      <c r="D37" s="2303"/>
      <c r="E37" s="2303"/>
      <c r="F37" s="2303"/>
      <c r="G37" s="2303"/>
    </row>
    <row r="38" spans="2:7" s="467" customFormat="1" ht="15.75">
      <c r="B38" s="468" t="s">
        <v>1326</v>
      </c>
      <c r="C38" s="468"/>
      <c r="D38" s="468"/>
      <c r="E38" s="468"/>
      <c r="F38" s="468"/>
    </row>
    <row r="39" spans="2:7" s="467" customFormat="1" ht="15.75">
      <c r="B39" s="468" t="s">
        <v>1791</v>
      </c>
      <c r="C39" s="468"/>
      <c r="D39" s="468"/>
      <c r="E39" s="481"/>
      <c r="F39" s="468"/>
    </row>
    <row r="40" spans="2:7" s="467" customFormat="1" ht="15.75">
      <c r="B40" s="468"/>
      <c r="C40" s="468"/>
      <c r="D40" s="468"/>
      <c r="E40" s="481"/>
      <c r="F40" s="468"/>
    </row>
    <row r="41" spans="2:7" s="467" customFormat="1" ht="15.75">
      <c r="B41" s="468"/>
      <c r="C41" s="468"/>
      <c r="D41" s="468"/>
      <c r="E41" s="481"/>
      <c r="F41" s="468"/>
    </row>
    <row r="42" spans="2:7" s="467" customFormat="1" ht="15.75">
      <c r="B42" s="468"/>
      <c r="C42" s="468"/>
      <c r="D42" s="468"/>
      <c r="E42" s="481"/>
      <c r="F42" s="468"/>
    </row>
    <row r="43" spans="2:7" s="467" customFormat="1" ht="15.75"/>
    <row r="44" spans="2:7" s="467" customFormat="1" ht="15.75"/>
    <row r="45" spans="2:7" s="467" customFormat="1" ht="15.75">
      <c r="B45" s="467" t="s">
        <v>1327</v>
      </c>
      <c r="D45" s="2304"/>
      <c r="E45" s="2304"/>
      <c r="F45" s="2304" t="s">
        <v>1329</v>
      </c>
      <c r="G45" s="2304"/>
    </row>
  </sheetData>
  <mergeCells count="15">
    <mergeCell ref="B37:G37"/>
    <mergeCell ref="D45:E45"/>
    <mergeCell ref="F45:G45"/>
    <mergeCell ref="B14:B16"/>
    <mergeCell ref="C14:C16"/>
    <mergeCell ref="D14:E14"/>
    <mergeCell ref="F14:G14"/>
    <mergeCell ref="B7:E7"/>
    <mergeCell ref="B9:H9"/>
    <mergeCell ref="B11:H11"/>
    <mergeCell ref="B1:H1"/>
    <mergeCell ref="B3:E3"/>
    <mergeCell ref="B4:E4"/>
    <mergeCell ref="B5:E5"/>
    <mergeCell ref="B6:E6"/>
  </mergeCells>
  <pageMargins left="0.7" right="0.2" top="0.75" bottom="0.75" header="0.3" footer="0.3"/>
  <pageSetup scale="90"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0000"/>
  </sheetPr>
  <dimension ref="B1:L171"/>
  <sheetViews>
    <sheetView view="pageBreakPreview" zoomScale="115" zoomScaleSheetLayoutView="115" workbookViewId="0">
      <selection activeCell="P10" sqref="P10"/>
    </sheetView>
  </sheetViews>
  <sheetFormatPr defaultRowHeight="15.75"/>
  <cols>
    <col min="1" max="1" width="2.42578125" style="338" customWidth="1"/>
    <col min="2" max="2" width="6.7109375" style="401" customWidth="1"/>
    <col min="3" max="3" width="43" style="402" customWidth="1"/>
    <col min="4" max="4" width="5.85546875" style="401" bestFit="1" customWidth="1"/>
    <col min="5" max="5" width="10.140625" style="401" customWidth="1"/>
    <col min="6" max="6" width="7.85546875" style="401" bestFit="1" customWidth="1"/>
    <col min="7" max="7" width="12.140625" style="401" bestFit="1" customWidth="1"/>
    <col min="8" max="8" width="9.85546875" style="401" bestFit="1" customWidth="1"/>
    <col min="9" max="9" width="12.140625" style="487" bestFit="1" customWidth="1"/>
    <col min="10" max="10" width="1.85546875" style="338" customWidth="1"/>
    <col min="11" max="251" width="9.140625" style="338"/>
    <col min="252" max="252" width="6.42578125" style="338" customWidth="1"/>
    <col min="253" max="253" width="47.5703125" style="338" customWidth="1"/>
    <col min="254" max="254" width="6.42578125" style="338" customWidth="1"/>
    <col min="255" max="255" width="11.28515625" style="338" customWidth="1"/>
    <col min="256" max="256" width="9.7109375" style="338" customWidth="1"/>
    <col min="257" max="257" width="9.85546875" style="338" customWidth="1"/>
    <col min="258" max="258" width="8.85546875" style="338" customWidth="1"/>
    <col min="259" max="259" width="10.7109375" style="338" customWidth="1"/>
    <col min="260" max="260" width="12.140625" style="338" bestFit="1" customWidth="1"/>
    <col min="261" max="507" width="9.140625" style="338"/>
    <col min="508" max="508" width="6.42578125" style="338" customWidth="1"/>
    <col min="509" max="509" width="47.5703125" style="338" customWidth="1"/>
    <col min="510" max="510" width="6.42578125" style="338" customWidth="1"/>
    <col min="511" max="511" width="11.28515625" style="338" customWidth="1"/>
    <col min="512" max="512" width="9.7109375" style="338" customWidth="1"/>
    <col min="513" max="513" width="9.85546875" style="338" customWidth="1"/>
    <col min="514" max="514" width="8.85546875" style="338" customWidth="1"/>
    <col min="515" max="515" width="10.7109375" style="338" customWidth="1"/>
    <col min="516" max="516" width="12.140625" style="338" bestFit="1" customWidth="1"/>
    <col min="517" max="763" width="9.140625" style="338"/>
    <col min="764" max="764" width="6.42578125" style="338" customWidth="1"/>
    <col min="765" max="765" width="47.5703125" style="338" customWidth="1"/>
    <col min="766" max="766" width="6.42578125" style="338" customWidth="1"/>
    <col min="767" max="767" width="11.28515625" style="338" customWidth="1"/>
    <col min="768" max="768" width="9.7109375" style="338" customWidth="1"/>
    <col min="769" max="769" width="9.85546875" style="338" customWidth="1"/>
    <col min="770" max="770" width="8.85546875" style="338" customWidth="1"/>
    <col min="771" max="771" width="10.7109375" style="338" customWidth="1"/>
    <col min="772" max="772" width="12.140625" style="338" bestFit="1" customWidth="1"/>
    <col min="773" max="1019" width="9.140625" style="338"/>
    <col min="1020" max="1020" width="6.42578125" style="338" customWidth="1"/>
    <col min="1021" max="1021" width="47.5703125" style="338" customWidth="1"/>
    <col min="1022" max="1022" width="6.42578125" style="338" customWidth="1"/>
    <col min="1023" max="1023" width="11.28515625" style="338" customWidth="1"/>
    <col min="1024" max="1024" width="9.7109375" style="338" customWidth="1"/>
    <col min="1025" max="1025" width="9.85546875" style="338" customWidth="1"/>
    <col min="1026" max="1026" width="8.85546875" style="338" customWidth="1"/>
    <col min="1027" max="1027" width="10.7109375" style="338" customWidth="1"/>
    <col min="1028" max="1028" width="12.140625" style="338" bestFit="1" customWidth="1"/>
    <col min="1029" max="1275" width="9.140625" style="338"/>
    <col min="1276" max="1276" width="6.42578125" style="338" customWidth="1"/>
    <col min="1277" max="1277" width="47.5703125" style="338" customWidth="1"/>
    <col min="1278" max="1278" width="6.42578125" style="338" customWidth="1"/>
    <col min="1279" max="1279" width="11.28515625" style="338" customWidth="1"/>
    <col min="1280" max="1280" width="9.7109375" style="338" customWidth="1"/>
    <col min="1281" max="1281" width="9.85546875" style="338" customWidth="1"/>
    <col min="1282" max="1282" width="8.85546875" style="338" customWidth="1"/>
    <col min="1283" max="1283" width="10.7109375" style="338" customWidth="1"/>
    <col min="1284" max="1284" width="12.140625" style="338" bestFit="1" customWidth="1"/>
    <col min="1285" max="1531" width="9.140625" style="338"/>
    <col min="1532" max="1532" width="6.42578125" style="338" customWidth="1"/>
    <col min="1533" max="1533" width="47.5703125" style="338" customWidth="1"/>
    <col min="1534" max="1534" width="6.42578125" style="338" customWidth="1"/>
    <col min="1535" max="1535" width="11.28515625" style="338" customWidth="1"/>
    <col min="1536" max="1536" width="9.7109375" style="338" customWidth="1"/>
    <col min="1537" max="1537" width="9.85546875" style="338" customWidth="1"/>
    <col min="1538" max="1538" width="8.85546875" style="338" customWidth="1"/>
    <col min="1539" max="1539" width="10.7109375" style="338" customWidth="1"/>
    <col min="1540" max="1540" width="12.140625" style="338" bestFit="1" customWidth="1"/>
    <col min="1541" max="1787" width="9.140625" style="338"/>
    <col min="1788" max="1788" width="6.42578125" style="338" customWidth="1"/>
    <col min="1789" max="1789" width="47.5703125" style="338" customWidth="1"/>
    <col min="1790" max="1790" width="6.42578125" style="338" customWidth="1"/>
    <col min="1791" max="1791" width="11.28515625" style="338" customWidth="1"/>
    <col min="1792" max="1792" width="9.7109375" style="338" customWidth="1"/>
    <col min="1793" max="1793" width="9.85546875" style="338" customWidth="1"/>
    <col min="1794" max="1794" width="8.85546875" style="338" customWidth="1"/>
    <col min="1795" max="1795" width="10.7109375" style="338" customWidth="1"/>
    <col min="1796" max="1796" width="12.140625" style="338" bestFit="1" customWidth="1"/>
    <col min="1797" max="2043" width="9.140625" style="338"/>
    <col min="2044" max="2044" width="6.42578125" style="338" customWidth="1"/>
    <col min="2045" max="2045" width="47.5703125" style="338" customWidth="1"/>
    <col min="2046" max="2046" width="6.42578125" style="338" customWidth="1"/>
    <col min="2047" max="2047" width="11.28515625" style="338" customWidth="1"/>
    <col min="2048" max="2048" width="9.7109375" style="338" customWidth="1"/>
    <col min="2049" max="2049" width="9.85546875" style="338" customWidth="1"/>
    <col min="2050" max="2050" width="8.85546875" style="338" customWidth="1"/>
    <col min="2051" max="2051" width="10.7109375" style="338" customWidth="1"/>
    <col min="2052" max="2052" width="12.140625" style="338" bestFit="1" customWidth="1"/>
    <col min="2053" max="2299" width="9.140625" style="338"/>
    <col min="2300" max="2300" width="6.42578125" style="338" customWidth="1"/>
    <col min="2301" max="2301" width="47.5703125" style="338" customWidth="1"/>
    <col min="2302" max="2302" width="6.42578125" style="338" customWidth="1"/>
    <col min="2303" max="2303" width="11.28515625" style="338" customWidth="1"/>
    <col min="2304" max="2304" width="9.7109375" style="338" customWidth="1"/>
    <col min="2305" max="2305" width="9.85546875" style="338" customWidth="1"/>
    <col min="2306" max="2306" width="8.85546875" style="338" customWidth="1"/>
    <col min="2307" max="2307" width="10.7109375" style="338" customWidth="1"/>
    <col min="2308" max="2308" width="12.140625" style="338" bestFit="1" customWidth="1"/>
    <col min="2309" max="2555" width="9.140625" style="338"/>
    <col min="2556" max="2556" width="6.42578125" style="338" customWidth="1"/>
    <col min="2557" max="2557" width="47.5703125" style="338" customWidth="1"/>
    <col min="2558" max="2558" width="6.42578125" style="338" customWidth="1"/>
    <col min="2559" max="2559" width="11.28515625" style="338" customWidth="1"/>
    <col min="2560" max="2560" width="9.7109375" style="338" customWidth="1"/>
    <col min="2561" max="2561" width="9.85546875" style="338" customWidth="1"/>
    <col min="2562" max="2562" width="8.85546875" style="338" customWidth="1"/>
    <col min="2563" max="2563" width="10.7109375" style="338" customWidth="1"/>
    <col min="2564" max="2564" width="12.140625" style="338" bestFit="1" customWidth="1"/>
    <col min="2565" max="2811" width="9.140625" style="338"/>
    <col min="2812" max="2812" width="6.42578125" style="338" customWidth="1"/>
    <col min="2813" max="2813" width="47.5703125" style="338" customWidth="1"/>
    <col min="2814" max="2814" width="6.42578125" style="338" customWidth="1"/>
    <col min="2815" max="2815" width="11.28515625" style="338" customWidth="1"/>
    <col min="2816" max="2816" width="9.7109375" style="338" customWidth="1"/>
    <col min="2817" max="2817" width="9.85546875" style="338" customWidth="1"/>
    <col min="2818" max="2818" width="8.85546875" style="338" customWidth="1"/>
    <col min="2819" max="2819" width="10.7109375" style="338" customWidth="1"/>
    <col min="2820" max="2820" width="12.140625" style="338" bestFit="1" customWidth="1"/>
    <col min="2821" max="3067" width="9.140625" style="338"/>
    <col min="3068" max="3068" width="6.42578125" style="338" customWidth="1"/>
    <col min="3069" max="3069" width="47.5703125" style="338" customWidth="1"/>
    <col min="3070" max="3070" width="6.42578125" style="338" customWidth="1"/>
    <col min="3071" max="3071" width="11.28515625" style="338" customWidth="1"/>
    <col min="3072" max="3072" width="9.7109375" style="338" customWidth="1"/>
    <col min="3073" max="3073" width="9.85546875" style="338" customWidth="1"/>
    <col min="3074" max="3074" width="8.85546875" style="338" customWidth="1"/>
    <col min="3075" max="3075" width="10.7109375" style="338" customWidth="1"/>
    <col min="3076" max="3076" width="12.140625" style="338" bestFit="1" customWidth="1"/>
    <col min="3077" max="3323" width="9.140625" style="338"/>
    <col min="3324" max="3324" width="6.42578125" style="338" customWidth="1"/>
    <col min="3325" max="3325" width="47.5703125" style="338" customWidth="1"/>
    <col min="3326" max="3326" width="6.42578125" style="338" customWidth="1"/>
    <col min="3327" max="3327" width="11.28515625" style="338" customWidth="1"/>
    <col min="3328" max="3328" width="9.7109375" style="338" customWidth="1"/>
    <col min="3329" max="3329" width="9.85546875" style="338" customWidth="1"/>
    <col min="3330" max="3330" width="8.85546875" style="338" customWidth="1"/>
    <col min="3331" max="3331" width="10.7109375" style="338" customWidth="1"/>
    <col min="3332" max="3332" width="12.140625" style="338" bestFit="1" customWidth="1"/>
    <col min="3333" max="3579" width="9.140625" style="338"/>
    <col min="3580" max="3580" width="6.42578125" style="338" customWidth="1"/>
    <col min="3581" max="3581" width="47.5703125" style="338" customWidth="1"/>
    <col min="3582" max="3582" width="6.42578125" style="338" customWidth="1"/>
    <col min="3583" max="3583" width="11.28515625" style="338" customWidth="1"/>
    <col min="3584" max="3584" width="9.7109375" style="338" customWidth="1"/>
    <col min="3585" max="3585" width="9.85546875" style="338" customWidth="1"/>
    <col min="3586" max="3586" width="8.85546875" style="338" customWidth="1"/>
    <col min="3587" max="3587" width="10.7109375" style="338" customWidth="1"/>
    <col min="3588" max="3588" width="12.140625" style="338" bestFit="1" customWidth="1"/>
    <col min="3589" max="3835" width="9.140625" style="338"/>
    <col min="3836" max="3836" width="6.42578125" style="338" customWidth="1"/>
    <col min="3837" max="3837" width="47.5703125" style="338" customWidth="1"/>
    <col min="3838" max="3838" width="6.42578125" style="338" customWidth="1"/>
    <col min="3839" max="3839" width="11.28515625" style="338" customWidth="1"/>
    <col min="3840" max="3840" width="9.7109375" style="338" customWidth="1"/>
    <col min="3841" max="3841" width="9.85546875" style="338" customWidth="1"/>
    <col min="3842" max="3842" width="8.85546875" style="338" customWidth="1"/>
    <col min="3843" max="3843" width="10.7109375" style="338" customWidth="1"/>
    <col min="3844" max="3844" width="12.140625" style="338" bestFit="1" customWidth="1"/>
    <col min="3845" max="4091" width="9.140625" style="338"/>
    <col min="4092" max="4092" width="6.42578125" style="338" customWidth="1"/>
    <col min="4093" max="4093" width="47.5703125" style="338" customWidth="1"/>
    <col min="4094" max="4094" width="6.42578125" style="338" customWidth="1"/>
    <col min="4095" max="4095" width="11.28515625" style="338" customWidth="1"/>
    <col min="4096" max="4096" width="9.7109375" style="338" customWidth="1"/>
    <col min="4097" max="4097" width="9.85546875" style="338" customWidth="1"/>
    <col min="4098" max="4098" width="8.85546875" style="338" customWidth="1"/>
    <col min="4099" max="4099" width="10.7109375" style="338" customWidth="1"/>
    <col min="4100" max="4100" width="12.140625" style="338" bestFit="1" customWidth="1"/>
    <col min="4101" max="4347" width="9.140625" style="338"/>
    <col min="4348" max="4348" width="6.42578125" style="338" customWidth="1"/>
    <col min="4349" max="4349" width="47.5703125" style="338" customWidth="1"/>
    <col min="4350" max="4350" width="6.42578125" style="338" customWidth="1"/>
    <col min="4351" max="4351" width="11.28515625" style="338" customWidth="1"/>
    <col min="4352" max="4352" width="9.7109375" style="338" customWidth="1"/>
    <col min="4353" max="4353" width="9.85546875" style="338" customWidth="1"/>
    <col min="4354" max="4354" width="8.85546875" style="338" customWidth="1"/>
    <col min="4355" max="4355" width="10.7109375" style="338" customWidth="1"/>
    <col min="4356" max="4356" width="12.140625" style="338" bestFit="1" customWidth="1"/>
    <col min="4357" max="4603" width="9.140625" style="338"/>
    <col min="4604" max="4604" width="6.42578125" style="338" customWidth="1"/>
    <col min="4605" max="4605" width="47.5703125" style="338" customWidth="1"/>
    <col min="4606" max="4606" width="6.42578125" style="338" customWidth="1"/>
    <col min="4607" max="4607" width="11.28515625" style="338" customWidth="1"/>
    <col min="4608" max="4608" width="9.7109375" style="338" customWidth="1"/>
    <col min="4609" max="4609" width="9.85546875" style="338" customWidth="1"/>
    <col min="4610" max="4610" width="8.85546875" style="338" customWidth="1"/>
    <col min="4611" max="4611" width="10.7109375" style="338" customWidth="1"/>
    <col min="4612" max="4612" width="12.140625" style="338" bestFit="1" customWidth="1"/>
    <col min="4613" max="4859" width="9.140625" style="338"/>
    <col min="4860" max="4860" width="6.42578125" style="338" customWidth="1"/>
    <col min="4861" max="4861" width="47.5703125" style="338" customWidth="1"/>
    <col min="4862" max="4862" width="6.42578125" style="338" customWidth="1"/>
    <col min="4863" max="4863" width="11.28515625" style="338" customWidth="1"/>
    <col min="4864" max="4864" width="9.7109375" style="338" customWidth="1"/>
    <col min="4865" max="4865" width="9.85546875" style="338" customWidth="1"/>
    <col min="4866" max="4866" width="8.85546875" style="338" customWidth="1"/>
    <col min="4867" max="4867" width="10.7109375" style="338" customWidth="1"/>
    <col min="4868" max="4868" width="12.140625" style="338" bestFit="1" customWidth="1"/>
    <col min="4869" max="5115" width="9.140625" style="338"/>
    <col min="5116" max="5116" width="6.42578125" style="338" customWidth="1"/>
    <col min="5117" max="5117" width="47.5703125" style="338" customWidth="1"/>
    <col min="5118" max="5118" width="6.42578125" style="338" customWidth="1"/>
    <col min="5119" max="5119" width="11.28515625" style="338" customWidth="1"/>
    <col min="5120" max="5120" width="9.7109375" style="338" customWidth="1"/>
    <col min="5121" max="5121" width="9.85546875" style="338" customWidth="1"/>
    <col min="5122" max="5122" width="8.85546875" style="338" customWidth="1"/>
    <col min="5123" max="5123" width="10.7109375" style="338" customWidth="1"/>
    <col min="5124" max="5124" width="12.140625" style="338" bestFit="1" customWidth="1"/>
    <col min="5125" max="5371" width="9.140625" style="338"/>
    <col min="5372" max="5372" width="6.42578125" style="338" customWidth="1"/>
    <col min="5373" max="5373" width="47.5703125" style="338" customWidth="1"/>
    <col min="5374" max="5374" width="6.42578125" style="338" customWidth="1"/>
    <col min="5375" max="5375" width="11.28515625" style="338" customWidth="1"/>
    <col min="5376" max="5376" width="9.7109375" style="338" customWidth="1"/>
    <col min="5377" max="5377" width="9.85546875" style="338" customWidth="1"/>
    <col min="5378" max="5378" width="8.85546875" style="338" customWidth="1"/>
    <col min="5379" max="5379" width="10.7109375" style="338" customWidth="1"/>
    <col min="5380" max="5380" width="12.140625" style="338" bestFit="1" customWidth="1"/>
    <col min="5381" max="5627" width="9.140625" style="338"/>
    <col min="5628" max="5628" width="6.42578125" style="338" customWidth="1"/>
    <col min="5629" max="5629" width="47.5703125" style="338" customWidth="1"/>
    <col min="5630" max="5630" width="6.42578125" style="338" customWidth="1"/>
    <col min="5631" max="5631" width="11.28515625" style="338" customWidth="1"/>
    <col min="5632" max="5632" width="9.7109375" style="338" customWidth="1"/>
    <col min="5633" max="5633" width="9.85546875" style="338" customWidth="1"/>
    <col min="5634" max="5634" width="8.85546875" style="338" customWidth="1"/>
    <col min="5635" max="5635" width="10.7109375" style="338" customWidth="1"/>
    <col min="5636" max="5636" width="12.140625" style="338" bestFit="1" customWidth="1"/>
    <col min="5637" max="5883" width="9.140625" style="338"/>
    <col min="5884" max="5884" width="6.42578125" style="338" customWidth="1"/>
    <col min="5885" max="5885" width="47.5703125" style="338" customWidth="1"/>
    <col min="5886" max="5886" width="6.42578125" style="338" customWidth="1"/>
    <col min="5887" max="5887" width="11.28515625" style="338" customWidth="1"/>
    <col min="5888" max="5888" width="9.7109375" style="338" customWidth="1"/>
    <col min="5889" max="5889" width="9.85546875" style="338" customWidth="1"/>
    <col min="5890" max="5890" width="8.85546875" style="338" customWidth="1"/>
    <col min="5891" max="5891" width="10.7109375" style="338" customWidth="1"/>
    <col min="5892" max="5892" width="12.140625" style="338" bestFit="1" customWidth="1"/>
    <col min="5893" max="6139" width="9.140625" style="338"/>
    <col min="6140" max="6140" width="6.42578125" style="338" customWidth="1"/>
    <col min="6141" max="6141" width="47.5703125" style="338" customWidth="1"/>
    <col min="6142" max="6142" width="6.42578125" style="338" customWidth="1"/>
    <col min="6143" max="6143" width="11.28515625" style="338" customWidth="1"/>
    <col min="6144" max="6144" width="9.7109375" style="338" customWidth="1"/>
    <col min="6145" max="6145" width="9.85546875" style="338" customWidth="1"/>
    <col min="6146" max="6146" width="8.85546875" style="338" customWidth="1"/>
    <col min="6147" max="6147" width="10.7109375" style="338" customWidth="1"/>
    <col min="6148" max="6148" width="12.140625" style="338" bestFit="1" customWidth="1"/>
    <col min="6149" max="6395" width="9.140625" style="338"/>
    <col min="6396" max="6396" width="6.42578125" style="338" customWidth="1"/>
    <col min="6397" max="6397" width="47.5703125" style="338" customWidth="1"/>
    <col min="6398" max="6398" width="6.42578125" style="338" customWidth="1"/>
    <col min="6399" max="6399" width="11.28515625" style="338" customWidth="1"/>
    <col min="6400" max="6400" width="9.7109375" style="338" customWidth="1"/>
    <col min="6401" max="6401" width="9.85546875" style="338" customWidth="1"/>
    <col min="6402" max="6402" width="8.85546875" style="338" customWidth="1"/>
    <col min="6403" max="6403" width="10.7109375" style="338" customWidth="1"/>
    <col min="6404" max="6404" width="12.140625" style="338" bestFit="1" customWidth="1"/>
    <col min="6405" max="6651" width="9.140625" style="338"/>
    <col min="6652" max="6652" width="6.42578125" style="338" customWidth="1"/>
    <col min="6653" max="6653" width="47.5703125" style="338" customWidth="1"/>
    <col min="6654" max="6654" width="6.42578125" style="338" customWidth="1"/>
    <col min="6655" max="6655" width="11.28515625" style="338" customWidth="1"/>
    <col min="6656" max="6656" width="9.7109375" style="338" customWidth="1"/>
    <col min="6657" max="6657" width="9.85546875" style="338" customWidth="1"/>
    <col min="6658" max="6658" width="8.85546875" style="338" customWidth="1"/>
    <col min="6659" max="6659" width="10.7109375" style="338" customWidth="1"/>
    <col min="6660" max="6660" width="12.140625" style="338" bestFit="1" customWidth="1"/>
    <col min="6661" max="6907" width="9.140625" style="338"/>
    <col min="6908" max="6908" width="6.42578125" style="338" customWidth="1"/>
    <col min="6909" max="6909" width="47.5703125" style="338" customWidth="1"/>
    <col min="6910" max="6910" width="6.42578125" style="338" customWidth="1"/>
    <col min="6911" max="6911" width="11.28515625" style="338" customWidth="1"/>
    <col min="6912" max="6912" width="9.7109375" style="338" customWidth="1"/>
    <col min="6913" max="6913" width="9.85546875" style="338" customWidth="1"/>
    <col min="6914" max="6914" width="8.85546875" style="338" customWidth="1"/>
    <col min="6915" max="6915" width="10.7109375" style="338" customWidth="1"/>
    <col min="6916" max="6916" width="12.140625" style="338" bestFit="1" customWidth="1"/>
    <col min="6917" max="7163" width="9.140625" style="338"/>
    <col min="7164" max="7164" width="6.42578125" style="338" customWidth="1"/>
    <col min="7165" max="7165" width="47.5703125" style="338" customWidth="1"/>
    <col min="7166" max="7166" width="6.42578125" style="338" customWidth="1"/>
    <col min="7167" max="7167" width="11.28515625" style="338" customWidth="1"/>
    <col min="7168" max="7168" width="9.7109375" style="338" customWidth="1"/>
    <col min="7169" max="7169" width="9.85546875" style="338" customWidth="1"/>
    <col min="7170" max="7170" width="8.85546875" style="338" customWidth="1"/>
    <col min="7171" max="7171" width="10.7109375" style="338" customWidth="1"/>
    <col min="7172" max="7172" width="12.140625" style="338" bestFit="1" customWidth="1"/>
    <col min="7173" max="7419" width="9.140625" style="338"/>
    <col min="7420" max="7420" width="6.42578125" style="338" customWidth="1"/>
    <col min="7421" max="7421" width="47.5703125" style="338" customWidth="1"/>
    <col min="7422" max="7422" width="6.42578125" style="338" customWidth="1"/>
    <col min="7423" max="7423" width="11.28515625" style="338" customWidth="1"/>
    <col min="7424" max="7424" width="9.7109375" style="338" customWidth="1"/>
    <col min="7425" max="7425" width="9.85546875" style="338" customWidth="1"/>
    <col min="7426" max="7426" width="8.85546875" style="338" customWidth="1"/>
    <col min="7427" max="7427" width="10.7109375" style="338" customWidth="1"/>
    <col min="7428" max="7428" width="12.140625" style="338" bestFit="1" customWidth="1"/>
    <col min="7429" max="7675" width="9.140625" style="338"/>
    <col min="7676" max="7676" width="6.42578125" style="338" customWidth="1"/>
    <col min="7677" max="7677" width="47.5703125" style="338" customWidth="1"/>
    <col min="7678" max="7678" width="6.42578125" style="338" customWidth="1"/>
    <col min="7679" max="7679" width="11.28515625" style="338" customWidth="1"/>
    <col min="7680" max="7680" width="9.7109375" style="338" customWidth="1"/>
    <col min="7681" max="7681" width="9.85546875" style="338" customWidth="1"/>
    <col min="7682" max="7682" width="8.85546875" style="338" customWidth="1"/>
    <col min="7683" max="7683" width="10.7109375" style="338" customWidth="1"/>
    <col min="7684" max="7684" width="12.140625" style="338" bestFit="1" customWidth="1"/>
    <col min="7685" max="7931" width="9.140625" style="338"/>
    <col min="7932" max="7932" width="6.42578125" style="338" customWidth="1"/>
    <col min="7933" max="7933" width="47.5703125" style="338" customWidth="1"/>
    <col min="7934" max="7934" width="6.42578125" style="338" customWidth="1"/>
    <col min="7935" max="7935" width="11.28515625" style="338" customWidth="1"/>
    <col min="7936" max="7936" width="9.7109375" style="338" customWidth="1"/>
    <col min="7937" max="7937" width="9.85546875" style="338" customWidth="1"/>
    <col min="7938" max="7938" width="8.85546875" style="338" customWidth="1"/>
    <col min="7939" max="7939" width="10.7109375" style="338" customWidth="1"/>
    <col min="7940" max="7940" width="12.140625" style="338" bestFit="1" customWidth="1"/>
    <col min="7941" max="8187" width="9.140625" style="338"/>
    <col min="8188" max="8188" width="6.42578125" style="338" customWidth="1"/>
    <col min="8189" max="8189" width="47.5703125" style="338" customWidth="1"/>
    <col min="8190" max="8190" width="6.42578125" style="338" customWidth="1"/>
    <col min="8191" max="8191" width="11.28515625" style="338" customWidth="1"/>
    <col min="8192" max="8192" width="9.7109375" style="338" customWidth="1"/>
    <col min="8193" max="8193" width="9.85546875" style="338" customWidth="1"/>
    <col min="8194" max="8194" width="8.85546875" style="338" customWidth="1"/>
    <col min="8195" max="8195" width="10.7109375" style="338" customWidth="1"/>
    <col min="8196" max="8196" width="12.140625" style="338" bestFit="1" customWidth="1"/>
    <col min="8197" max="8443" width="9.140625" style="338"/>
    <col min="8444" max="8444" width="6.42578125" style="338" customWidth="1"/>
    <col min="8445" max="8445" width="47.5703125" style="338" customWidth="1"/>
    <col min="8446" max="8446" width="6.42578125" style="338" customWidth="1"/>
    <col min="8447" max="8447" width="11.28515625" style="338" customWidth="1"/>
    <col min="8448" max="8448" width="9.7109375" style="338" customWidth="1"/>
    <col min="8449" max="8449" width="9.85546875" style="338" customWidth="1"/>
    <col min="8450" max="8450" width="8.85546875" style="338" customWidth="1"/>
    <col min="8451" max="8451" width="10.7109375" style="338" customWidth="1"/>
    <col min="8452" max="8452" width="12.140625" style="338" bestFit="1" customWidth="1"/>
    <col min="8453" max="8699" width="9.140625" style="338"/>
    <col min="8700" max="8700" width="6.42578125" style="338" customWidth="1"/>
    <col min="8701" max="8701" width="47.5703125" style="338" customWidth="1"/>
    <col min="8702" max="8702" width="6.42578125" style="338" customWidth="1"/>
    <col min="8703" max="8703" width="11.28515625" style="338" customWidth="1"/>
    <col min="8704" max="8704" width="9.7109375" style="338" customWidth="1"/>
    <col min="8705" max="8705" width="9.85546875" style="338" customWidth="1"/>
    <col min="8706" max="8706" width="8.85546875" style="338" customWidth="1"/>
    <col min="8707" max="8707" width="10.7109375" style="338" customWidth="1"/>
    <col min="8708" max="8708" width="12.140625" style="338" bestFit="1" customWidth="1"/>
    <col min="8709" max="8955" width="9.140625" style="338"/>
    <col min="8956" max="8956" width="6.42578125" style="338" customWidth="1"/>
    <col min="8957" max="8957" width="47.5703125" style="338" customWidth="1"/>
    <col min="8958" max="8958" width="6.42578125" style="338" customWidth="1"/>
    <col min="8959" max="8959" width="11.28515625" style="338" customWidth="1"/>
    <col min="8960" max="8960" width="9.7109375" style="338" customWidth="1"/>
    <col min="8961" max="8961" width="9.85546875" style="338" customWidth="1"/>
    <col min="8962" max="8962" width="8.85546875" style="338" customWidth="1"/>
    <col min="8963" max="8963" width="10.7109375" style="338" customWidth="1"/>
    <col min="8964" max="8964" width="12.140625" style="338" bestFit="1" customWidth="1"/>
    <col min="8965" max="9211" width="9.140625" style="338"/>
    <col min="9212" max="9212" width="6.42578125" style="338" customWidth="1"/>
    <col min="9213" max="9213" width="47.5703125" style="338" customWidth="1"/>
    <col min="9214" max="9214" width="6.42578125" style="338" customWidth="1"/>
    <col min="9215" max="9215" width="11.28515625" style="338" customWidth="1"/>
    <col min="9216" max="9216" width="9.7109375" style="338" customWidth="1"/>
    <col min="9217" max="9217" width="9.85546875" style="338" customWidth="1"/>
    <col min="9218" max="9218" width="8.85546875" style="338" customWidth="1"/>
    <col min="9219" max="9219" width="10.7109375" style="338" customWidth="1"/>
    <col min="9220" max="9220" width="12.140625" style="338" bestFit="1" customWidth="1"/>
    <col min="9221" max="9467" width="9.140625" style="338"/>
    <col min="9468" max="9468" width="6.42578125" style="338" customWidth="1"/>
    <col min="9469" max="9469" width="47.5703125" style="338" customWidth="1"/>
    <col min="9470" max="9470" width="6.42578125" style="338" customWidth="1"/>
    <col min="9471" max="9471" width="11.28515625" style="338" customWidth="1"/>
    <col min="9472" max="9472" width="9.7109375" style="338" customWidth="1"/>
    <col min="9473" max="9473" width="9.85546875" style="338" customWidth="1"/>
    <col min="9474" max="9474" width="8.85546875" style="338" customWidth="1"/>
    <col min="9475" max="9475" width="10.7109375" style="338" customWidth="1"/>
    <col min="9476" max="9476" width="12.140625" style="338" bestFit="1" customWidth="1"/>
    <col min="9477" max="9723" width="9.140625" style="338"/>
    <col min="9724" max="9724" width="6.42578125" style="338" customWidth="1"/>
    <col min="9725" max="9725" width="47.5703125" style="338" customWidth="1"/>
    <col min="9726" max="9726" width="6.42578125" style="338" customWidth="1"/>
    <col min="9727" max="9727" width="11.28515625" style="338" customWidth="1"/>
    <col min="9728" max="9728" width="9.7109375" style="338" customWidth="1"/>
    <col min="9729" max="9729" width="9.85546875" style="338" customWidth="1"/>
    <col min="9730" max="9730" width="8.85546875" style="338" customWidth="1"/>
    <col min="9731" max="9731" width="10.7109375" style="338" customWidth="1"/>
    <col min="9732" max="9732" width="12.140625" style="338" bestFit="1" customWidth="1"/>
    <col min="9733" max="9979" width="9.140625" style="338"/>
    <col min="9980" max="9980" width="6.42578125" style="338" customWidth="1"/>
    <col min="9981" max="9981" width="47.5703125" style="338" customWidth="1"/>
    <col min="9982" max="9982" width="6.42578125" style="338" customWidth="1"/>
    <col min="9983" max="9983" width="11.28515625" style="338" customWidth="1"/>
    <col min="9984" max="9984" width="9.7109375" style="338" customWidth="1"/>
    <col min="9985" max="9985" width="9.85546875" style="338" customWidth="1"/>
    <col min="9986" max="9986" width="8.85546875" style="338" customWidth="1"/>
    <col min="9987" max="9987" width="10.7109375" style="338" customWidth="1"/>
    <col min="9988" max="9988" width="12.140625" style="338" bestFit="1" customWidth="1"/>
    <col min="9989" max="10235" width="9.140625" style="338"/>
    <col min="10236" max="10236" width="6.42578125" style="338" customWidth="1"/>
    <col min="10237" max="10237" width="47.5703125" style="338" customWidth="1"/>
    <col min="10238" max="10238" width="6.42578125" style="338" customWidth="1"/>
    <col min="10239" max="10239" width="11.28515625" style="338" customWidth="1"/>
    <col min="10240" max="10240" width="9.7109375" style="338" customWidth="1"/>
    <col min="10241" max="10241" width="9.85546875" style="338" customWidth="1"/>
    <col min="10242" max="10242" width="8.85546875" style="338" customWidth="1"/>
    <col min="10243" max="10243" width="10.7109375" style="338" customWidth="1"/>
    <col min="10244" max="10244" width="12.140625" style="338" bestFit="1" customWidth="1"/>
    <col min="10245" max="10491" width="9.140625" style="338"/>
    <col min="10492" max="10492" width="6.42578125" style="338" customWidth="1"/>
    <col min="10493" max="10493" width="47.5703125" style="338" customWidth="1"/>
    <col min="10494" max="10494" width="6.42578125" style="338" customWidth="1"/>
    <col min="10495" max="10495" width="11.28515625" style="338" customWidth="1"/>
    <col min="10496" max="10496" width="9.7109375" style="338" customWidth="1"/>
    <col min="10497" max="10497" width="9.85546875" style="338" customWidth="1"/>
    <col min="10498" max="10498" width="8.85546875" style="338" customWidth="1"/>
    <col min="10499" max="10499" width="10.7109375" style="338" customWidth="1"/>
    <col min="10500" max="10500" width="12.140625" style="338" bestFit="1" customWidth="1"/>
    <col min="10501" max="10747" width="9.140625" style="338"/>
    <col min="10748" max="10748" width="6.42578125" style="338" customWidth="1"/>
    <col min="10749" max="10749" width="47.5703125" style="338" customWidth="1"/>
    <col min="10750" max="10750" width="6.42578125" style="338" customWidth="1"/>
    <col min="10751" max="10751" width="11.28515625" style="338" customWidth="1"/>
    <col min="10752" max="10752" width="9.7109375" style="338" customWidth="1"/>
    <col min="10753" max="10753" width="9.85546875" style="338" customWidth="1"/>
    <col min="10754" max="10754" width="8.85546875" style="338" customWidth="1"/>
    <col min="10755" max="10755" width="10.7109375" style="338" customWidth="1"/>
    <col min="10756" max="10756" width="12.140625" style="338" bestFit="1" customWidth="1"/>
    <col min="10757" max="11003" width="9.140625" style="338"/>
    <col min="11004" max="11004" width="6.42578125" style="338" customWidth="1"/>
    <col min="11005" max="11005" width="47.5703125" style="338" customWidth="1"/>
    <col min="11006" max="11006" width="6.42578125" style="338" customWidth="1"/>
    <col min="11007" max="11007" width="11.28515625" style="338" customWidth="1"/>
    <col min="11008" max="11008" width="9.7109375" style="338" customWidth="1"/>
    <col min="11009" max="11009" width="9.85546875" style="338" customWidth="1"/>
    <col min="11010" max="11010" width="8.85546875" style="338" customWidth="1"/>
    <col min="11011" max="11011" width="10.7109375" style="338" customWidth="1"/>
    <col min="11012" max="11012" width="12.140625" style="338" bestFit="1" customWidth="1"/>
    <col min="11013" max="11259" width="9.140625" style="338"/>
    <col min="11260" max="11260" width="6.42578125" style="338" customWidth="1"/>
    <col min="11261" max="11261" width="47.5703125" style="338" customWidth="1"/>
    <col min="11262" max="11262" width="6.42578125" style="338" customWidth="1"/>
    <col min="11263" max="11263" width="11.28515625" style="338" customWidth="1"/>
    <col min="11264" max="11264" width="9.7109375" style="338" customWidth="1"/>
    <col min="11265" max="11265" width="9.85546875" style="338" customWidth="1"/>
    <col min="11266" max="11266" width="8.85546875" style="338" customWidth="1"/>
    <col min="11267" max="11267" width="10.7109375" style="338" customWidth="1"/>
    <col min="11268" max="11268" width="12.140625" style="338" bestFit="1" customWidth="1"/>
    <col min="11269" max="11515" width="9.140625" style="338"/>
    <col min="11516" max="11516" width="6.42578125" style="338" customWidth="1"/>
    <col min="11517" max="11517" width="47.5703125" style="338" customWidth="1"/>
    <col min="11518" max="11518" width="6.42578125" style="338" customWidth="1"/>
    <col min="11519" max="11519" width="11.28515625" style="338" customWidth="1"/>
    <col min="11520" max="11520" width="9.7109375" style="338" customWidth="1"/>
    <col min="11521" max="11521" width="9.85546875" style="338" customWidth="1"/>
    <col min="11522" max="11522" width="8.85546875" style="338" customWidth="1"/>
    <col min="11523" max="11523" width="10.7109375" style="338" customWidth="1"/>
    <col min="11524" max="11524" width="12.140625" style="338" bestFit="1" customWidth="1"/>
    <col min="11525" max="11771" width="9.140625" style="338"/>
    <col min="11772" max="11772" width="6.42578125" style="338" customWidth="1"/>
    <col min="11773" max="11773" width="47.5703125" style="338" customWidth="1"/>
    <col min="11774" max="11774" width="6.42578125" style="338" customWidth="1"/>
    <col min="11775" max="11775" width="11.28515625" style="338" customWidth="1"/>
    <col min="11776" max="11776" width="9.7109375" style="338" customWidth="1"/>
    <col min="11777" max="11777" width="9.85546875" style="338" customWidth="1"/>
    <col min="11778" max="11778" width="8.85546875" style="338" customWidth="1"/>
    <col min="11779" max="11779" width="10.7109375" style="338" customWidth="1"/>
    <col min="11780" max="11780" width="12.140625" style="338" bestFit="1" customWidth="1"/>
    <col min="11781" max="12027" width="9.140625" style="338"/>
    <col min="12028" max="12028" width="6.42578125" style="338" customWidth="1"/>
    <col min="12029" max="12029" width="47.5703125" style="338" customWidth="1"/>
    <col min="12030" max="12030" width="6.42578125" style="338" customWidth="1"/>
    <col min="12031" max="12031" width="11.28515625" style="338" customWidth="1"/>
    <col min="12032" max="12032" width="9.7109375" style="338" customWidth="1"/>
    <col min="12033" max="12033" width="9.85546875" style="338" customWidth="1"/>
    <col min="12034" max="12034" width="8.85546875" style="338" customWidth="1"/>
    <col min="12035" max="12035" width="10.7109375" style="338" customWidth="1"/>
    <col min="12036" max="12036" width="12.140625" style="338" bestFit="1" customWidth="1"/>
    <col min="12037" max="12283" width="9.140625" style="338"/>
    <col min="12284" max="12284" width="6.42578125" style="338" customWidth="1"/>
    <col min="12285" max="12285" width="47.5703125" style="338" customWidth="1"/>
    <col min="12286" max="12286" width="6.42578125" style="338" customWidth="1"/>
    <col min="12287" max="12287" width="11.28515625" style="338" customWidth="1"/>
    <col min="12288" max="12288" width="9.7109375" style="338" customWidth="1"/>
    <col min="12289" max="12289" width="9.85546875" style="338" customWidth="1"/>
    <col min="12290" max="12290" width="8.85546875" style="338" customWidth="1"/>
    <col min="12291" max="12291" width="10.7109375" style="338" customWidth="1"/>
    <col min="12292" max="12292" width="12.140625" style="338" bestFit="1" customWidth="1"/>
    <col min="12293" max="12539" width="9.140625" style="338"/>
    <col min="12540" max="12540" width="6.42578125" style="338" customWidth="1"/>
    <col min="12541" max="12541" width="47.5703125" style="338" customWidth="1"/>
    <col min="12542" max="12542" width="6.42578125" style="338" customWidth="1"/>
    <col min="12543" max="12543" width="11.28515625" style="338" customWidth="1"/>
    <col min="12544" max="12544" width="9.7109375" style="338" customWidth="1"/>
    <col min="12545" max="12545" width="9.85546875" style="338" customWidth="1"/>
    <col min="12546" max="12546" width="8.85546875" style="338" customWidth="1"/>
    <col min="12547" max="12547" width="10.7109375" style="338" customWidth="1"/>
    <col min="12548" max="12548" width="12.140625" style="338" bestFit="1" customWidth="1"/>
    <col min="12549" max="12795" width="9.140625" style="338"/>
    <col min="12796" max="12796" width="6.42578125" style="338" customWidth="1"/>
    <col min="12797" max="12797" width="47.5703125" style="338" customWidth="1"/>
    <col min="12798" max="12798" width="6.42578125" style="338" customWidth="1"/>
    <col min="12799" max="12799" width="11.28515625" style="338" customWidth="1"/>
    <col min="12800" max="12800" width="9.7109375" style="338" customWidth="1"/>
    <col min="12801" max="12801" width="9.85546875" style="338" customWidth="1"/>
    <col min="12802" max="12802" width="8.85546875" style="338" customWidth="1"/>
    <col min="12803" max="12803" width="10.7109375" style="338" customWidth="1"/>
    <col min="12804" max="12804" width="12.140625" style="338" bestFit="1" customWidth="1"/>
    <col min="12805" max="13051" width="9.140625" style="338"/>
    <col min="13052" max="13052" width="6.42578125" style="338" customWidth="1"/>
    <col min="13053" max="13053" width="47.5703125" style="338" customWidth="1"/>
    <col min="13054" max="13054" width="6.42578125" style="338" customWidth="1"/>
    <col min="13055" max="13055" width="11.28515625" style="338" customWidth="1"/>
    <col min="13056" max="13056" width="9.7109375" style="338" customWidth="1"/>
    <col min="13057" max="13057" width="9.85546875" style="338" customWidth="1"/>
    <col min="13058" max="13058" width="8.85546875" style="338" customWidth="1"/>
    <col min="13059" max="13059" width="10.7109375" style="338" customWidth="1"/>
    <col min="13060" max="13060" width="12.140625" style="338" bestFit="1" customWidth="1"/>
    <col min="13061" max="13307" width="9.140625" style="338"/>
    <col min="13308" max="13308" width="6.42578125" style="338" customWidth="1"/>
    <col min="13309" max="13309" width="47.5703125" style="338" customWidth="1"/>
    <col min="13310" max="13310" width="6.42578125" style="338" customWidth="1"/>
    <col min="13311" max="13311" width="11.28515625" style="338" customWidth="1"/>
    <col min="13312" max="13312" width="9.7109375" style="338" customWidth="1"/>
    <col min="13313" max="13313" width="9.85546875" style="338" customWidth="1"/>
    <col min="13314" max="13314" width="8.85546875" style="338" customWidth="1"/>
    <col min="13315" max="13315" width="10.7109375" style="338" customWidth="1"/>
    <col min="13316" max="13316" width="12.140625" style="338" bestFit="1" customWidth="1"/>
    <col min="13317" max="13563" width="9.140625" style="338"/>
    <col min="13564" max="13564" width="6.42578125" style="338" customWidth="1"/>
    <col min="13565" max="13565" width="47.5703125" style="338" customWidth="1"/>
    <col min="13566" max="13566" width="6.42578125" style="338" customWidth="1"/>
    <col min="13567" max="13567" width="11.28515625" style="338" customWidth="1"/>
    <col min="13568" max="13568" width="9.7109375" style="338" customWidth="1"/>
    <col min="13569" max="13569" width="9.85546875" style="338" customWidth="1"/>
    <col min="13570" max="13570" width="8.85546875" style="338" customWidth="1"/>
    <col min="13571" max="13571" width="10.7109375" style="338" customWidth="1"/>
    <col min="13572" max="13572" width="12.140625" style="338" bestFit="1" customWidth="1"/>
    <col min="13573" max="13819" width="9.140625" style="338"/>
    <col min="13820" max="13820" width="6.42578125" style="338" customWidth="1"/>
    <col min="13821" max="13821" width="47.5703125" style="338" customWidth="1"/>
    <col min="13822" max="13822" width="6.42578125" style="338" customWidth="1"/>
    <col min="13823" max="13823" width="11.28515625" style="338" customWidth="1"/>
    <col min="13824" max="13824" width="9.7109375" style="338" customWidth="1"/>
    <col min="13825" max="13825" width="9.85546875" style="338" customWidth="1"/>
    <col min="13826" max="13826" width="8.85546875" style="338" customWidth="1"/>
    <col min="13827" max="13827" width="10.7109375" style="338" customWidth="1"/>
    <col min="13828" max="13828" width="12.140625" style="338" bestFit="1" customWidth="1"/>
    <col min="13829" max="14075" width="9.140625" style="338"/>
    <col min="14076" max="14076" width="6.42578125" style="338" customWidth="1"/>
    <col min="14077" max="14077" width="47.5703125" style="338" customWidth="1"/>
    <col min="14078" max="14078" width="6.42578125" style="338" customWidth="1"/>
    <col min="14079" max="14079" width="11.28515625" style="338" customWidth="1"/>
    <col min="14080" max="14080" width="9.7109375" style="338" customWidth="1"/>
    <col min="14081" max="14081" width="9.85546875" style="338" customWidth="1"/>
    <col min="14082" max="14082" width="8.85546875" style="338" customWidth="1"/>
    <col min="14083" max="14083" width="10.7109375" style="338" customWidth="1"/>
    <col min="14084" max="14084" width="12.140625" style="338" bestFit="1" customWidth="1"/>
    <col min="14085" max="14331" width="9.140625" style="338"/>
    <col min="14332" max="14332" width="6.42578125" style="338" customWidth="1"/>
    <col min="14333" max="14333" width="47.5703125" style="338" customWidth="1"/>
    <col min="14334" max="14334" width="6.42578125" style="338" customWidth="1"/>
    <col min="14335" max="14335" width="11.28515625" style="338" customWidth="1"/>
    <col min="14336" max="14336" width="9.7109375" style="338" customWidth="1"/>
    <col min="14337" max="14337" width="9.85546875" style="338" customWidth="1"/>
    <col min="14338" max="14338" width="8.85546875" style="338" customWidth="1"/>
    <col min="14339" max="14339" width="10.7109375" style="338" customWidth="1"/>
    <col min="14340" max="14340" width="12.140625" style="338" bestFit="1" customWidth="1"/>
    <col min="14341" max="14587" width="9.140625" style="338"/>
    <col min="14588" max="14588" width="6.42578125" style="338" customWidth="1"/>
    <col min="14589" max="14589" width="47.5703125" style="338" customWidth="1"/>
    <col min="14590" max="14590" width="6.42578125" style="338" customWidth="1"/>
    <col min="14591" max="14591" width="11.28515625" style="338" customWidth="1"/>
    <col min="14592" max="14592" width="9.7109375" style="338" customWidth="1"/>
    <col min="14593" max="14593" width="9.85546875" style="338" customWidth="1"/>
    <col min="14594" max="14594" width="8.85546875" style="338" customWidth="1"/>
    <col min="14595" max="14595" width="10.7109375" style="338" customWidth="1"/>
    <col min="14596" max="14596" width="12.140625" style="338" bestFit="1" customWidth="1"/>
    <col min="14597" max="14843" width="9.140625" style="338"/>
    <col min="14844" max="14844" width="6.42578125" style="338" customWidth="1"/>
    <col min="14845" max="14845" width="47.5703125" style="338" customWidth="1"/>
    <col min="14846" max="14846" width="6.42578125" style="338" customWidth="1"/>
    <col min="14847" max="14847" width="11.28515625" style="338" customWidth="1"/>
    <col min="14848" max="14848" width="9.7109375" style="338" customWidth="1"/>
    <col min="14849" max="14849" width="9.85546875" style="338" customWidth="1"/>
    <col min="14850" max="14850" width="8.85546875" style="338" customWidth="1"/>
    <col min="14851" max="14851" width="10.7109375" style="338" customWidth="1"/>
    <col min="14852" max="14852" width="12.140625" style="338" bestFit="1" customWidth="1"/>
    <col min="14853" max="15099" width="9.140625" style="338"/>
    <col min="15100" max="15100" width="6.42578125" style="338" customWidth="1"/>
    <col min="15101" max="15101" width="47.5703125" style="338" customWidth="1"/>
    <col min="15102" max="15102" width="6.42578125" style="338" customWidth="1"/>
    <col min="15103" max="15103" width="11.28515625" style="338" customWidth="1"/>
    <col min="15104" max="15104" width="9.7109375" style="338" customWidth="1"/>
    <col min="15105" max="15105" width="9.85546875" style="338" customWidth="1"/>
    <col min="15106" max="15106" width="8.85546875" style="338" customWidth="1"/>
    <col min="15107" max="15107" width="10.7109375" style="338" customWidth="1"/>
    <col min="15108" max="15108" width="12.140625" style="338" bestFit="1" customWidth="1"/>
    <col min="15109" max="15355" width="9.140625" style="338"/>
    <col min="15356" max="15356" width="6.42578125" style="338" customWidth="1"/>
    <col min="15357" max="15357" width="47.5703125" style="338" customWidth="1"/>
    <col min="15358" max="15358" width="6.42578125" style="338" customWidth="1"/>
    <col min="15359" max="15359" width="11.28515625" style="338" customWidth="1"/>
    <col min="15360" max="15360" width="9.7109375" style="338" customWidth="1"/>
    <col min="15361" max="15361" width="9.85546875" style="338" customWidth="1"/>
    <col min="15362" max="15362" width="8.85546875" style="338" customWidth="1"/>
    <col min="15363" max="15363" width="10.7109375" style="338" customWidth="1"/>
    <col min="15364" max="15364" width="12.140625" style="338" bestFit="1" customWidth="1"/>
    <col min="15365" max="15611" width="9.140625" style="338"/>
    <col min="15612" max="15612" width="6.42578125" style="338" customWidth="1"/>
    <col min="15613" max="15613" width="47.5703125" style="338" customWidth="1"/>
    <col min="15614" max="15614" width="6.42578125" style="338" customWidth="1"/>
    <col min="15615" max="15615" width="11.28515625" style="338" customWidth="1"/>
    <col min="15616" max="15616" width="9.7109375" style="338" customWidth="1"/>
    <col min="15617" max="15617" width="9.85546875" style="338" customWidth="1"/>
    <col min="15618" max="15618" width="8.85546875" style="338" customWidth="1"/>
    <col min="15619" max="15619" width="10.7109375" style="338" customWidth="1"/>
    <col min="15620" max="15620" width="12.140625" style="338" bestFit="1" customWidth="1"/>
    <col min="15621" max="15867" width="9.140625" style="338"/>
    <col min="15868" max="15868" width="6.42578125" style="338" customWidth="1"/>
    <col min="15869" max="15869" width="47.5703125" style="338" customWidth="1"/>
    <col min="15870" max="15870" width="6.42578125" style="338" customWidth="1"/>
    <col min="15871" max="15871" width="11.28515625" style="338" customWidth="1"/>
    <col min="15872" max="15872" width="9.7109375" style="338" customWidth="1"/>
    <col min="15873" max="15873" width="9.85546875" style="338" customWidth="1"/>
    <col min="15874" max="15874" width="8.85546875" style="338" customWidth="1"/>
    <col min="15875" max="15875" width="10.7109375" style="338" customWidth="1"/>
    <col min="15876" max="15876" width="12.140625" style="338" bestFit="1" customWidth="1"/>
    <col min="15877" max="16123" width="9.140625" style="338"/>
    <col min="16124" max="16124" width="6.42578125" style="338" customWidth="1"/>
    <col min="16125" max="16125" width="47.5703125" style="338" customWidth="1"/>
    <col min="16126" max="16126" width="6.42578125" style="338" customWidth="1"/>
    <col min="16127" max="16127" width="11.28515625" style="338" customWidth="1"/>
    <col min="16128" max="16128" width="9.7109375" style="338" customWidth="1"/>
    <col min="16129" max="16129" width="9.85546875" style="338" customWidth="1"/>
    <col min="16130" max="16130" width="8.85546875" style="338" customWidth="1"/>
    <col min="16131" max="16131" width="10.7109375" style="338" customWidth="1"/>
    <col min="16132" max="16132" width="12.140625" style="338" bestFit="1" customWidth="1"/>
    <col min="16133" max="16384" width="9.140625" style="338"/>
  </cols>
  <sheetData>
    <row r="1" spans="2:12" s="457" customFormat="1" ht="17.25">
      <c r="B1" s="458" t="s">
        <v>1257</v>
      </c>
      <c r="D1" s="458"/>
      <c r="E1" s="458"/>
      <c r="F1" s="458"/>
      <c r="G1" s="458"/>
      <c r="H1" s="458"/>
      <c r="I1" s="488"/>
      <c r="J1" s="488"/>
    </row>
    <row r="2" spans="2:12" s="457" customFormat="1" ht="17.25">
      <c r="B2" s="458" t="s">
        <v>1208</v>
      </c>
      <c r="D2" s="458"/>
      <c r="E2" s="458"/>
      <c r="F2" s="458"/>
      <c r="G2" s="489"/>
      <c r="H2" s="489"/>
    </row>
    <row r="3" spans="2:12" s="457" customFormat="1" ht="17.25">
      <c r="B3" s="458" t="s">
        <v>1258</v>
      </c>
      <c r="D3" s="458"/>
      <c r="E3" s="458"/>
      <c r="F3" s="458"/>
      <c r="H3" s="2313" t="s">
        <v>1796</v>
      </c>
      <c r="I3" s="2313"/>
    </row>
    <row r="4" spans="2:12" s="457" customFormat="1" ht="17.25">
      <c r="B4" s="458" t="s">
        <v>1209</v>
      </c>
      <c r="D4" s="458"/>
      <c r="E4" s="458"/>
      <c r="F4" s="458"/>
      <c r="G4" s="458"/>
      <c r="H4" s="458"/>
      <c r="I4" s="458"/>
      <c r="J4" s="458"/>
      <c r="L4" s="459"/>
    </row>
    <row r="5" spans="2:12" s="457" customFormat="1" ht="17.25">
      <c r="B5" s="458"/>
      <c r="D5" s="458"/>
      <c r="E5" s="458"/>
      <c r="F5" s="458"/>
      <c r="G5" s="458"/>
      <c r="H5" s="458"/>
      <c r="I5" s="458"/>
      <c r="J5" s="458"/>
      <c r="L5" s="459"/>
    </row>
    <row r="6" spans="2:12" s="397" customFormat="1">
      <c r="B6" s="2055" t="s">
        <v>1492</v>
      </c>
      <c r="C6" s="2055" t="s">
        <v>0</v>
      </c>
      <c r="D6" s="2055" t="s">
        <v>1491</v>
      </c>
      <c r="E6" s="2055" t="s">
        <v>1307</v>
      </c>
      <c r="F6" s="2055"/>
      <c r="G6" s="2055"/>
      <c r="H6" s="2055" t="s">
        <v>1308</v>
      </c>
      <c r="I6" s="2055"/>
    </row>
    <row r="7" spans="2:12" s="397" customFormat="1">
      <c r="B7" s="2146"/>
      <c r="C7" s="2146"/>
      <c r="D7" s="2146"/>
      <c r="E7" s="1419" t="s">
        <v>1487</v>
      </c>
      <c r="F7" s="1419" t="s">
        <v>1488</v>
      </c>
      <c r="G7" s="1419" t="s">
        <v>1486</v>
      </c>
      <c r="H7" s="1419" t="s">
        <v>1487</v>
      </c>
      <c r="I7" s="1419" t="s">
        <v>1486</v>
      </c>
    </row>
    <row r="8" spans="2:12">
      <c r="B8" s="1496"/>
      <c r="C8" s="1551" t="s">
        <v>1485</v>
      </c>
      <c r="D8" s="1493"/>
      <c r="E8" s="1493"/>
      <c r="F8" s="1493"/>
      <c r="G8" s="1493"/>
      <c r="H8" s="1493"/>
      <c r="I8" s="1552"/>
    </row>
    <row r="9" spans="2:12">
      <c r="B9" s="1497"/>
      <c r="C9" s="1547" t="s">
        <v>1484</v>
      </c>
      <c r="D9" s="1448"/>
      <c r="E9" s="1448"/>
      <c r="F9" s="1448"/>
      <c r="G9" s="1448"/>
      <c r="H9" s="1448"/>
      <c r="I9" s="1549"/>
    </row>
    <row r="10" spans="2:12" ht="18">
      <c r="B10" s="1498">
        <v>1.1000000000000001</v>
      </c>
      <c r="C10" s="1453" t="s">
        <v>1483</v>
      </c>
      <c r="D10" s="1451" t="s">
        <v>3201</v>
      </c>
      <c r="E10" s="1451">
        <v>462</v>
      </c>
      <c r="F10" s="1584">
        <v>8</v>
      </c>
      <c r="G10" s="1451">
        <f>E10*F10</f>
        <v>3696</v>
      </c>
      <c r="H10" s="1451">
        <f>'Kit. Sub TOS'!D12</f>
        <v>462.03500000000003</v>
      </c>
      <c r="I10" s="1550">
        <f>F10*H10</f>
        <v>3696.28</v>
      </c>
    </row>
    <row r="11" spans="2:12" ht="18">
      <c r="B11" s="1498">
        <v>1.2</v>
      </c>
      <c r="C11" s="1453" t="s">
        <v>1482</v>
      </c>
      <c r="D11" s="1451" t="s">
        <v>3200</v>
      </c>
      <c r="E11" s="1451">
        <v>375</v>
      </c>
      <c r="F11" s="1584">
        <v>70</v>
      </c>
      <c r="G11" s="1451">
        <f t="shared" ref="G11:G70" si="0">E11*F11</f>
        <v>26250</v>
      </c>
      <c r="H11" s="1451">
        <f>'Kit. Sub TOS'!D28</f>
        <v>40.257700000000007</v>
      </c>
      <c r="I11" s="1550">
        <f t="shared" ref="I11:I15" si="1">F11*H11</f>
        <v>2818.0390000000007</v>
      </c>
    </row>
    <row r="12" spans="2:12" ht="18">
      <c r="B12" s="1498">
        <v>1.3</v>
      </c>
      <c r="C12" s="1453" t="s">
        <v>1481</v>
      </c>
      <c r="D12" s="1451" t="s">
        <v>3200</v>
      </c>
      <c r="E12" s="1451">
        <f>E11/3</f>
        <v>125</v>
      </c>
      <c r="F12" s="1584">
        <v>70</v>
      </c>
      <c r="G12" s="1451">
        <f t="shared" si="0"/>
        <v>8750</v>
      </c>
      <c r="H12" s="1451">
        <f>'Kit. Sub TOS'!D39</f>
        <v>122.31450000000001</v>
      </c>
      <c r="I12" s="1550">
        <f t="shared" si="1"/>
        <v>8562.0150000000012</v>
      </c>
    </row>
    <row r="13" spans="2:12" ht="18">
      <c r="B13" s="1498">
        <v>1.4</v>
      </c>
      <c r="C13" s="1453" t="s">
        <v>1480</v>
      </c>
      <c r="D13" s="1451" t="s">
        <v>3200</v>
      </c>
      <c r="E13" s="1451">
        <f>E12+E11</f>
        <v>500</v>
      </c>
      <c r="F13" s="1584">
        <v>150</v>
      </c>
      <c r="G13" s="1451">
        <f t="shared" si="0"/>
        <v>75000</v>
      </c>
      <c r="H13" s="1451">
        <f>'Kit. Sub TOS'!H21</f>
        <v>126.47669999999997</v>
      </c>
      <c r="I13" s="1550">
        <f t="shared" si="1"/>
        <v>18971.504999999994</v>
      </c>
    </row>
    <row r="14" spans="2:12" ht="18">
      <c r="B14" s="1498">
        <v>1.5</v>
      </c>
      <c r="C14" s="1453" t="s">
        <v>1815</v>
      </c>
      <c r="D14" s="1451" t="s">
        <v>3402</v>
      </c>
      <c r="E14" s="1451">
        <v>56.6</v>
      </c>
      <c r="F14" s="1584">
        <v>56.6</v>
      </c>
      <c r="G14" s="1451">
        <f>F14*E14</f>
        <v>3203.56</v>
      </c>
      <c r="H14" s="1451">
        <f>'Kit. Sub TOS'!D62</f>
        <v>95.517750000000007</v>
      </c>
      <c r="I14" s="1550">
        <f t="shared" si="1"/>
        <v>5406.3046500000009</v>
      </c>
    </row>
    <row r="15" spans="2:12" ht="18">
      <c r="B15" s="1498">
        <v>1.5</v>
      </c>
      <c r="C15" s="1453" t="s">
        <v>1479</v>
      </c>
      <c r="D15" s="1451" t="s">
        <v>3200</v>
      </c>
      <c r="E15" s="1451">
        <f>E13+(E10*0.3)</f>
        <v>638.6</v>
      </c>
      <c r="F15" s="1584">
        <v>70</v>
      </c>
      <c r="G15" s="1451">
        <f t="shared" si="0"/>
        <v>44702</v>
      </c>
      <c r="H15" s="1451">
        <f>'Kit. Sub TOS'!H30</f>
        <v>205.66495</v>
      </c>
      <c r="I15" s="1550">
        <f t="shared" si="1"/>
        <v>14396.5465</v>
      </c>
    </row>
    <row r="16" spans="2:12" ht="18">
      <c r="B16" s="1499">
        <v>1.6</v>
      </c>
      <c r="C16" s="1483" t="s">
        <v>1497</v>
      </c>
      <c r="D16" s="1479" t="s">
        <v>3201</v>
      </c>
      <c r="E16" s="1479">
        <v>288</v>
      </c>
      <c r="F16" s="1591">
        <v>200</v>
      </c>
      <c r="G16" s="1479">
        <f t="shared" si="0"/>
        <v>57600</v>
      </c>
      <c r="H16" s="1479">
        <f>'Kit. Sub TOS'!H44</f>
        <v>327.76</v>
      </c>
      <c r="I16" s="1553">
        <f>F16*H16</f>
        <v>65552</v>
      </c>
    </row>
    <row r="17" spans="2:9">
      <c r="B17" s="2058" t="s">
        <v>1330</v>
      </c>
      <c r="C17" s="2058"/>
      <c r="D17" s="2058"/>
      <c r="E17" s="1481"/>
      <c r="F17" s="1481"/>
      <c r="G17" s="1481">
        <f>SUM(G10:G16)</f>
        <v>219201.56</v>
      </c>
      <c r="H17" s="1481"/>
      <c r="I17" s="1481">
        <f>SUM(I10:I16)</f>
        <v>119402.69014999999</v>
      </c>
    </row>
    <row r="18" spans="2:9">
      <c r="B18" s="1500"/>
      <c r="C18" s="1554" t="s">
        <v>1477</v>
      </c>
      <c r="D18" s="1484"/>
      <c r="E18" s="1484"/>
      <c r="F18" s="1484"/>
      <c r="G18" s="1484"/>
      <c r="H18" s="1484"/>
      <c r="I18" s="1555"/>
    </row>
    <row r="19" spans="2:9" ht="18">
      <c r="B19" s="1498">
        <v>2.1</v>
      </c>
      <c r="C19" s="1453" t="s">
        <v>1476</v>
      </c>
      <c r="D19" s="1451" t="s">
        <v>3201</v>
      </c>
      <c r="E19" s="1451">
        <v>95</v>
      </c>
      <c r="F19" s="1584">
        <v>150</v>
      </c>
      <c r="G19" s="1451">
        <f t="shared" si="0"/>
        <v>14250</v>
      </c>
      <c r="H19" s="1451">
        <f>'Kit. Sub TOS'!H54</f>
        <v>73.400000000000006</v>
      </c>
      <c r="I19" s="1550">
        <f t="shared" ref="I19:I70" si="2">F19*H19</f>
        <v>11010</v>
      </c>
    </row>
    <row r="20" spans="2:9" ht="18">
      <c r="B20" s="1498">
        <v>2.2000000000000002</v>
      </c>
      <c r="C20" s="1453" t="s">
        <v>1475</v>
      </c>
      <c r="D20" s="1451" t="s">
        <v>3201</v>
      </c>
      <c r="E20" s="1451">
        <v>24</v>
      </c>
      <c r="F20" s="1584">
        <v>150</v>
      </c>
      <c r="G20" s="1451">
        <f t="shared" si="0"/>
        <v>3600</v>
      </c>
      <c r="H20" s="1451"/>
      <c r="I20" s="1550">
        <f t="shared" si="2"/>
        <v>0</v>
      </c>
    </row>
    <row r="21" spans="2:9" ht="18">
      <c r="B21" s="1498">
        <v>2.2999999999999998</v>
      </c>
      <c r="C21" s="1453" t="s">
        <v>1474</v>
      </c>
      <c r="D21" s="1451" t="s">
        <v>3201</v>
      </c>
      <c r="E21" s="1451">
        <v>288</v>
      </c>
      <c r="F21" s="1584">
        <v>400</v>
      </c>
      <c r="G21" s="1451">
        <f t="shared" si="0"/>
        <v>115200</v>
      </c>
      <c r="H21" s="1451">
        <f>'Kit. Sub TOS'!D78</f>
        <v>327.76</v>
      </c>
      <c r="I21" s="1550">
        <f t="shared" si="2"/>
        <v>131104</v>
      </c>
    </row>
    <row r="22" spans="2:9" ht="18">
      <c r="B22" s="1498">
        <v>2.4</v>
      </c>
      <c r="C22" s="1453" t="s">
        <v>1573</v>
      </c>
      <c r="D22" s="1451" t="s">
        <v>3200</v>
      </c>
      <c r="E22" s="1451">
        <v>19</v>
      </c>
      <c r="F22" s="1584">
        <v>3200</v>
      </c>
      <c r="G22" s="1451">
        <f t="shared" si="0"/>
        <v>60800</v>
      </c>
      <c r="H22" s="1451">
        <f>'Kit. Sub TOS'!D90</f>
        <v>18.71</v>
      </c>
      <c r="I22" s="1550">
        <f t="shared" si="2"/>
        <v>59872</v>
      </c>
    </row>
    <row r="23" spans="2:9">
      <c r="B23" s="1498"/>
      <c r="C23" s="1453" t="s">
        <v>1568</v>
      </c>
      <c r="D23" s="1451"/>
      <c r="E23" s="1451"/>
      <c r="F23" s="1584"/>
      <c r="G23" s="1451"/>
      <c r="H23" s="1451"/>
      <c r="I23" s="1550"/>
    </row>
    <row r="24" spans="2:9" ht="18">
      <c r="B24" s="1498">
        <v>2.7</v>
      </c>
      <c r="C24" s="1453" t="s">
        <v>1</v>
      </c>
      <c r="D24" s="1451" t="s">
        <v>3201</v>
      </c>
      <c r="E24" s="1451">
        <v>153</v>
      </c>
      <c r="F24" s="1584">
        <v>120</v>
      </c>
      <c r="G24" s="1451">
        <f t="shared" si="0"/>
        <v>18360</v>
      </c>
      <c r="H24" s="1451">
        <f>'Kit. Sub TOS'!D103</f>
        <v>146.48000000000002</v>
      </c>
      <c r="I24" s="1550">
        <f t="shared" si="2"/>
        <v>17577.600000000002</v>
      </c>
    </row>
    <row r="25" spans="2:9" ht="18">
      <c r="B25" s="1501">
        <v>2.1</v>
      </c>
      <c r="C25" s="1453" t="s">
        <v>2</v>
      </c>
      <c r="D25" s="1451" t="s">
        <v>3201</v>
      </c>
      <c r="E25" s="1451">
        <v>5</v>
      </c>
      <c r="F25" s="1584">
        <v>150</v>
      </c>
      <c r="G25" s="1451">
        <f t="shared" si="0"/>
        <v>750</v>
      </c>
      <c r="H25" s="1451"/>
      <c r="I25" s="1550">
        <f t="shared" si="2"/>
        <v>0</v>
      </c>
    </row>
    <row r="26" spans="2:9">
      <c r="B26" s="1501"/>
      <c r="C26" s="1453" t="s">
        <v>1454</v>
      </c>
      <c r="D26" s="1451"/>
      <c r="E26" s="1451"/>
      <c r="F26" s="1584"/>
      <c r="G26" s="1451"/>
      <c r="H26" s="1451"/>
      <c r="I26" s="1550"/>
    </row>
    <row r="27" spans="2:9">
      <c r="B27" s="1501">
        <v>2.11</v>
      </c>
      <c r="C27" s="1453" t="s">
        <v>1453</v>
      </c>
      <c r="D27" s="1451" t="s">
        <v>1450</v>
      </c>
      <c r="E27" s="1451">
        <v>1381</v>
      </c>
      <c r="F27" s="1584">
        <v>36</v>
      </c>
      <c r="G27" s="1451">
        <f t="shared" si="0"/>
        <v>49716</v>
      </c>
      <c r="H27" s="1451">
        <f>'Kit. Sub TOS'!D107</f>
        <v>1505.5788</v>
      </c>
      <c r="I27" s="1550">
        <f t="shared" si="2"/>
        <v>54200.836799999997</v>
      </c>
    </row>
    <row r="28" spans="2:9">
      <c r="B28" s="1501">
        <v>2.12</v>
      </c>
      <c r="C28" s="1453" t="s">
        <v>1467</v>
      </c>
      <c r="D28" s="1451" t="s">
        <v>1450</v>
      </c>
      <c r="E28" s="1451">
        <v>696</v>
      </c>
      <c r="F28" s="1584">
        <v>36</v>
      </c>
      <c r="G28" s="1451">
        <f t="shared" si="0"/>
        <v>25056</v>
      </c>
      <c r="H28" s="1451"/>
      <c r="I28" s="1550">
        <f t="shared" si="2"/>
        <v>0</v>
      </c>
    </row>
    <row r="29" spans="2:9">
      <c r="B29" s="1501">
        <v>2.13</v>
      </c>
      <c r="C29" s="1453" t="s">
        <v>1451</v>
      </c>
      <c r="D29" s="1451" t="s">
        <v>1450</v>
      </c>
      <c r="E29" s="1451">
        <v>1891</v>
      </c>
      <c r="F29" s="1584">
        <v>36</v>
      </c>
      <c r="G29" s="1451">
        <f t="shared" si="0"/>
        <v>68076</v>
      </c>
      <c r="H29" s="1451">
        <f>'Kit. Sub TOS'!D110</f>
        <v>1853.9482999999996</v>
      </c>
      <c r="I29" s="1550">
        <f t="shared" si="2"/>
        <v>66742.138799999986</v>
      </c>
    </row>
    <row r="30" spans="2:9">
      <c r="B30" s="1502">
        <v>2.14</v>
      </c>
      <c r="C30" s="1483" t="s">
        <v>1466</v>
      </c>
      <c r="D30" s="1479" t="s">
        <v>1406</v>
      </c>
      <c r="E30" s="1479">
        <v>277</v>
      </c>
      <c r="F30" s="1591">
        <v>30</v>
      </c>
      <c r="G30" s="1479">
        <f t="shared" si="0"/>
        <v>8310</v>
      </c>
      <c r="H30" s="1479">
        <v>282.89999999999998</v>
      </c>
      <c r="I30" s="1553">
        <f t="shared" si="2"/>
        <v>8487</v>
      </c>
    </row>
    <row r="31" spans="2:9">
      <c r="B31" s="2058" t="s">
        <v>1330</v>
      </c>
      <c r="C31" s="2058"/>
      <c r="D31" s="2058"/>
      <c r="E31" s="1481"/>
      <c r="F31" s="1481"/>
      <c r="G31" s="1481">
        <f>SUM(G19:G30)</f>
        <v>364118</v>
      </c>
      <c r="H31" s="1481"/>
      <c r="I31" s="1481">
        <f>SUM(I19:I30)</f>
        <v>348993.57559999998</v>
      </c>
    </row>
    <row r="32" spans="2:9">
      <c r="B32" s="1500"/>
      <c r="C32" s="1554" t="s">
        <v>1465</v>
      </c>
      <c r="D32" s="1484"/>
      <c r="E32" s="1484"/>
      <c r="F32" s="1484"/>
      <c r="G32" s="1484"/>
      <c r="H32" s="1484"/>
      <c r="I32" s="1555"/>
    </row>
    <row r="33" spans="2:9" ht="18">
      <c r="B33" s="1498">
        <v>3.1</v>
      </c>
      <c r="C33" s="1453" t="s">
        <v>1464</v>
      </c>
      <c r="D33" s="1451" t="s">
        <v>3200</v>
      </c>
      <c r="E33" s="1451">
        <v>140</v>
      </c>
      <c r="F33" s="1584">
        <v>1250</v>
      </c>
      <c r="G33" s="1451">
        <f t="shared" si="0"/>
        <v>175000</v>
      </c>
      <c r="H33" s="1451">
        <f>'Kit. Sub TOS'!H99</f>
        <v>37.811799999999991</v>
      </c>
      <c r="I33" s="1550">
        <f t="shared" si="2"/>
        <v>47264.749999999985</v>
      </c>
    </row>
    <row r="34" spans="2:9" ht="18">
      <c r="B34" s="1499">
        <v>3.2</v>
      </c>
      <c r="C34" s="1483" t="s">
        <v>1463</v>
      </c>
      <c r="D34" s="1479" t="s">
        <v>3200</v>
      </c>
      <c r="E34" s="1479">
        <v>19</v>
      </c>
      <c r="F34" s="1591">
        <v>1450</v>
      </c>
      <c r="G34" s="1479">
        <f t="shared" si="0"/>
        <v>27550</v>
      </c>
      <c r="H34" s="1479">
        <f>'Kit. Sub TOS'!H95</f>
        <v>4.0262000000000011</v>
      </c>
      <c r="I34" s="1553">
        <f t="shared" si="2"/>
        <v>5837.9900000000016</v>
      </c>
    </row>
    <row r="35" spans="2:9">
      <c r="B35" s="2058" t="s">
        <v>1330</v>
      </c>
      <c r="C35" s="2058"/>
      <c r="D35" s="2058"/>
      <c r="E35" s="1481"/>
      <c r="F35" s="1481"/>
      <c r="G35" s="1481">
        <f>SUM(G33:G34)</f>
        <v>202550</v>
      </c>
      <c r="H35" s="1481"/>
      <c r="I35" s="1481">
        <f>SUM(I33:I34)</f>
        <v>53102.739999999991</v>
      </c>
    </row>
    <row r="36" spans="2:9">
      <c r="B36" s="1500"/>
      <c r="C36" s="1485" t="s">
        <v>1462</v>
      </c>
      <c r="D36" s="1484"/>
      <c r="E36" s="1484"/>
      <c r="F36" s="1484"/>
      <c r="G36" s="1484"/>
      <c r="H36" s="1484"/>
      <c r="I36" s="1555"/>
    </row>
    <row r="37" spans="2:9">
      <c r="B37" s="1501"/>
      <c r="C37" s="1454" t="s">
        <v>1461</v>
      </c>
      <c r="D37" s="1451"/>
      <c r="E37" s="1451"/>
      <c r="F37" s="1451"/>
      <c r="G37" s="1451"/>
      <c r="H37" s="1451"/>
      <c r="I37" s="1550"/>
    </row>
    <row r="38" spans="2:9">
      <c r="B38" s="1501"/>
      <c r="C38" s="1453" t="s">
        <v>1460</v>
      </c>
      <c r="D38" s="1451"/>
      <c r="E38" s="1451"/>
      <c r="F38" s="1451"/>
      <c r="G38" s="1451"/>
      <c r="H38" s="1451"/>
      <c r="I38" s="1550"/>
    </row>
    <row r="39" spans="2:9" ht="18">
      <c r="B39" s="1498">
        <v>1.1000000000000001</v>
      </c>
      <c r="C39" s="1453" t="s">
        <v>1459</v>
      </c>
      <c r="D39" s="1451" t="s">
        <v>3200</v>
      </c>
      <c r="E39" s="1451">
        <v>2.9</v>
      </c>
      <c r="F39" s="1584">
        <v>3200</v>
      </c>
      <c r="G39" s="1451">
        <f t="shared" si="0"/>
        <v>9280</v>
      </c>
      <c r="H39" s="1451">
        <f>'Kit Super TOS'!D13</f>
        <v>2.6208</v>
      </c>
      <c r="I39" s="1550">
        <f t="shared" si="2"/>
        <v>8386.56</v>
      </c>
    </row>
    <row r="40" spans="2:9" ht="18">
      <c r="B40" s="1498">
        <v>1.2</v>
      </c>
      <c r="C40" s="1453" t="s">
        <v>1458</v>
      </c>
      <c r="D40" s="1451" t="s">
        <v>3200</v>
      </c>
      <c r="E40" s="1451">
        <v>12</v>
      </c>
      <c r="F40" s="1584">
        <v>3200</v>
      </c>
      <c r="G40" s="1451">
        <f t="shared" si="0"/>
        <v>38400</v>
      </c>
      <c r="H40" s="1451">
        <f>'Kit Super TOS'!D32</f>
        <v>11.268000000000001</v>
      </c>
      <c r="I40" s="1550">
        <f t="shared" si="2"/>
        <v>36057.600000000006</v>
      </c>
    </row>
    <row r="41" spans="2:9" ht="18">
      <c r="B41" s="1498">
        <v>1.3</v>
      </c>
      <c r="C41" s="1453" t="s">
        <v>3</v>
      </c>
      <c r="D41" s="1451" t="s">
        <v>3200</v>
      </c>
      <c r="E41" s="1451">
        <v>0.9</v>
      </c>
      <c r="F41" s="1584">
        <v>3200</v>
      </c>
      <c r="G41" s="1451">
        <f t="shared" si="0"/>
        <v>2880</v>
      </c>
      <c r="H41" s="1451">
        <f>'Kit Super TOS'!D47</f>
        <v>0.38800000000000001</v>
      </c>
      <c r="I41" s="1550">
        <f t="shared" si="2"/>
        <v>1241.6000000000001</v>
      </c>
    </row>
    <row r="42" spans="2:9">
      <c r="B42" s="1498"/>
      <c r="C42" s="1453" t="s">
        <v>1568</v>
      </c>
      <c r="D42" s="1451"/>
      <c r="E42" s="1451"/>
      <c r="F42" s="1584"/>
      <c r="G42" s="1451"/>
      <c r="H42" s="1451"/>
      <c r="I42" s="1550"/>
    </row>
    <row r="43" spans="2:9">
      <c r="B43" s="1498"/>
      <c r="C43" s="1453" t="s">
        <v>1666</v>
      </c>
      <c r="D43" s="1451"/>
      <c r="E43" s="1451"/>
      <c r="F43" s="1584"/>
      <c r="G43" s="1451"/>
      <c r="H43" s="1451"/>
      <c r="I43" s="1550"/>
    </row>
    <row r="44" spans="2:9" ht="18">
      <c r="B44" s="1498">
        <v>1.4</v>
      </c>
      <c r="C44" s="1453" t="s">
        <v>1456</v>
      </c>
      <c r="D44" s="1451" t="s">
        <v>3201</v>
      </c>
      <c r="E44" s="1451">
        <v>58</v>
      </c>
      <c r="F44" s="1584">
        <v>130</v>
      </c>
      <c r="G44" s="1451">
        <f t="shared" si="0"/>
        <v>7540</v>
      </c>
      <c r="H44" s="1451">
        <f>'Kit Super TOS'!D53</f>
        <v>52.416000000000004</v>
      </c>
      <c r="I44" s="1550">
        <f t="shared" si="2"/>
        <v>6814.0800000000008</v>
      </c>
    </row>
    <row r="45" spans="2:9" ht="18">
      <c r="B45" s="1498">
        <v>1.5</v>
      </c>
      <c r="C45" s="1453" t="s">
        <v>1455</v>
      </c>
      <c r="D45" s="1451" t="s">
        <v>3201</v>
      </c>
      <c r="E45" s="1451">
        <v>152</v>
      </c>
      <c r="F45" s="1584">
        <v>130</v>
      </c>
      <c r="G45" s="1451">
        <f t="shared" si="0"/>
        <v>19760</v>
      </c>
      <c r="H45" s="1451">
        <f>'Kit Super TOS'!H13</f>
        <v>147.60000000000002</v>
      </c>
      <c r="I45" s="1550">
        <f t="shared" si="2"/>
        <v>19188.000000000004</v>
      </c>
    </row>
    <row r="46" spans="2:9" ht="18">
      <c r="B46" s="1498">
        <v>1.6</v>
      </c>
      <c r="C46" s="1453" t="s">
        <v>3</v>
      </c>
      <c r="D46" s="1451" t="s">
        <v>3201</v>
      </c>
      <c r="E46" s="1451">
        <v>9.3000000000000007</v>
      </c>
      <c r="F46" s="1584">
        <v>130</v>
      </c>
      <c r="G46" s="1451">
        <f t="shared" si="0"/>
        <v>1209</v>
      </c>
      <c r="H46" s="1451">
        <f>'Kit Super TOS'!H25</f>
        <v>7.18</v>
      </c>
      <c r="I46" s="1550">
        <f t="shared" si="2"/>
        <v>933.4</v>
      </c>
    </row>
    <row r="47" spans="2:9">
      <c r="B47" s="1498"/>
      <c r="C47" s="1453" t="s">
        <v>1454</v>
      </c>
      <c r="D47" s="1451"/>
      <c r="E47" s="1451"/>
      <c r="F47" s="1584">
        <v>36</v>
      </c>
      <c r="G47" s="1451"/>
      <c r="H47" s="1451"/>
      <c r="I47" s="1550"/>
    </row>
    <row r="48" spans="2:9">
      <c r="B48" s="1498">
        <v>1.7</v>
      </c>
      <c r="C48" s="1453" t="s">
        <v>1453</v>
      </c>
      <c r="D48" s="1451" t="s">
        <v>1450</v>
      </c>
      <c r="E48" s="1451" t="s">
        <v>1444</v>
      </c>
      <c r="F48" s="1584">
        <v>36</v>
      </c>
      <c r="G48" s="1451">
        <v>35</v>
      </c>
      <c r="H48" s="1451">
        <f>'Kit Super TOS'!H28</f>
        <v>35.622399999999999</v>
      </c>
      <c r="I48" s="1550">
        <f t="shared" si="2"/>
        <v>1282.4063999999998</v>
      </c>
    </row>
    <row r="49" spans="2:9">
      <c r="B49" s="1498">
        <v>1.8</v>
      </c>
      <c r="C49" s="1453" t="s">
        <v>1452</v>
      </c>
      <c r="D49" s="1451" t="s">
        <v>1450</v>
      </c>
      <c r="E49" s="1451">
        <v>1314</v>
      </c>
      <c r="F49" s="1584">
        <v>36</v>
      </c>
      <c r="G49" s="1451">
        <f t="shared" si="0"/>
        <v>47304</v>
      </c>
      <c r="H49" s="1451">
        <f>'Kit Super TOS'!H31</f>
        <v>1494.2731200000001</v>
      </c>
      <c r="I49" s="1550">
        <f t="shared" si="2"/>
        <v>53793.832320000001</v>
      </c>
    </row>
    <row r="50" spans="2:9">
      <c r="B50" s="1499">
        <v>1.9</v>
      </c>
      <c r="C50" s="1483" t="s">
        <v>1451</v>
      </c>
      <c r="D50" s="1479" t="s">
        <v>1450</v>
      </c>
      <c r="E50" s="1479">
        <v>396</v>
      </c>
      <c r="F50" s="1591">
        <v>36</v>
      </c>
      <c r="G50" s="1479">
        <f t="shared" si="0"/>
        <v>14256</v>
      </c>
      <c r="H50" s="1479">
        <f>'Kit Super TOS'!H34</f>
        <v>486.04750000000013</v>
      </c>
      <c r="I50" s="1553">
        <f t="shared" si="2"/>
        <v>17497.710000000006</v>
      </c>
    </row>
    <row r="51" spans="2:9">
      <c r="B51" s="2058" t="s">
        <v>1330</v>
      </c>
      <c r="C51" s="2058"/>
      <c r="D51" s="2058"/>
      <c r="E51" s="1481"/>
      <c r="F51" s="1481"/>
      <c r="G51" s="1481">
        <f>SUM(G39:G50)</f>
        <v>140664</v>
      </c>
      <c r="H51" s="1481"/>
      <c r="I51" s="1481">
        <f>SUM(I39:I50)</f>
        <v>145195.18872000001</v>
      </c>
    </row>
    <row r="52" spans="2:9">
      <c r="B52" s="1500"/>
      <c r="C52" s="1556" t="s">
        <v>1449</v>
      </c>
      <c r="D52" s="1484"/>
      <c r="E52" s="1484"/>
      <c r="F52" s="1484"/>
      <c r="G52" s="1484"/>
      <c r="H52" s="1484"/>
      <c r="I52" s="1555"/>
    </row>
    <row r="53" spans="2:9" ht="18">
      <c r="B53" s="1498">
        <v>2.1</v>
      </c>
      <c r="C53" s="1453" t="s">
        <v>1447</v>
      </c>
      <c r="D53" s="1451" t="s">
        <v>3201</v>
      </c>
      <c r="E53" s="1451">
        <v>287</v>
      </c>
      <c r="F53" s="1584">
        <v>350</v>
      </c>
      <c r="G53" s="1451">
        <f t="shared" si="0"/>
        <v>100450</v>
      </c>
      <c r="H53" s="1451">
        <f>'Kit Super TOS'!D90</f>
        <v>435.27199999999993</v>
      </c>
      <c r="I53" s="1550">
        <f t="shared" si="2"/>
        <v>152345.19999999998</v>
      </c>
    </row>
    <row r="54" spans="2:9">
      <c r="B54" s="1499">
        <v>2.2000000000000002</v>
      </c>
      <c r="C54" s="1483" t="s">
        <v>1667</v>
      </c>
      <c r="D54" s="1479" t="s">
        <v>1445</v>
      </c>
      <c r="E54" s="1479">
        <v>139</v>
      </c>
      <c r="F54" s="1591">
        <v>320</v>
      </c>
      <c r="G54" s="1479">
        <f t="shared" si="0"/>
        <v>44480</v>
      </c>
      <c r="H54" s="1479">
        <f>'Kit Super TOS'!D108</f>
        <v>67.117499999999993</v>
      </c>
      <c r="I54" s="1553">
        <f t="shared" si="2"/>
        <v>21477.599999999999</v>
      </c>
    </row>
    <row r="55" spans="2:9">
      <c r="B55" s="2058" t="s">
        <v>1330</v>
      </c>
      <c r="C55" s="2058"/>
      <c r="D55" s="2058"/>
      <c r="E55" s="1481"/>
      <c r="F55" s="1481"/>
      <c r="G55" s="1481">
        <f>SUM(G53:G54)</f>
        <v>144930</v>
      </c>
      <c r="H55" s="1481"/>
      <c r="I55" s="1481">
        <f>SUM(I53:I54)</f>
        <v>173822.8</v>
      </c>
    </row>
    <row r="56" spans="2:9">
      <c r="B56" s="1500"/>
      <c r="C56" s="1554" t="s">
        <v>1443</v>
      </c>
      <c r="D56" s="1484"/>
      <c r="E56" s="1484"/>
      <c r="F56" s="1484"/>
      <c r="G56" s="1484"/>
      <c r="H56" s="1484"/>
      <c r="I56" s="1555"/>
    </row>
    <row r="57" spans="2:9" ht="18">
      <c r="B57" s="1498">
        <v>3.1</v>
      </c>
      <c r="C57" s="1453" t="s">
        <v>1442</v>
      </c>
      <c r="D57" s="1451" t="s">
        <v>3201</v>
      </c>
      <c r="E57" s="1451">
        <v>424.17</v>
      </c>
      <c r="F57" s="1584">
        <v>360</v>
      </c>
      <c r="G57" s="1451">
        <f t="shared" si="0"/>
        <v>152701.20000000001</v>
      </c>
      <c r="H57" s="1451">
        <f>'Kit Super TOS'!D114</f>
        <v>423.87</v>
      </c>
      <c r="I57" s="1550">
        <f>F57*H57</f>
        <v>152593.20000000001</v>
      </c>
    </row>
    <row r="58" spans="2:9" ht="18">
      <c r="B58" s="1498">
        <v>3.2</v>
      </c>
      <c r="C58" s="1456" t="s">
        <v>1575</v>
      </c>
      <c r="D58" s="1451" t="s">
        <v>3201</v>
      </c>
      <c r="E58" s="1451">
        <v>50</v>
      </c>
      <c r="F58" s="1584">
        <v>160</v>
      </c>
      <c r="G58" s="1451">
        <f t="shared" si="0"/>
        <v>8000</v>
      </c>
      <c r="H58" s="1451">
        <f>'Kit Super TOS'!D123</f>
        <v>53.244</v>
      </c>
      <c r="I58" s="1550">
        <f t="shared" si="2"/>
        <v>8519.0400000000009</v>
      </c>
    </row>
    <row r="59" spans="2:9">
      <c r="B59" s="1498">
        <v>3.3</v>
      </c>
      <c r="C59" s="1453" t="s">
        <v>1440</v>
      </c>
      <c r="D59" s="1451" t="s">
        <v>1406</v>
      </c>
      <c r="E59" s="1451">
        <v>85</v>
      </c>
      <c r="F59" s="1584">
        <v>110</v>
      </c>
      <c r="G59" s="1451">
        <f t="shared" si="0"/>
        <v>9350</v>
      </c>
      <c r="H59" s="1451">
        <f>'Kit Super TOS'!H68</f>
        <v>29.04</v>
      </c>
      <c r="I59" s="1550">
        <f t="shared" si="2"/>
        <v>3194.4</v>
      </c>
    </row>
    <row r="60" spans="2:9">
      <c r="B60" s="1499">
        <v>3.4</v>
      </c>
      <c r="C60" s="1490" t="s">
        <v>1576</v>
      </c>
      <c r="D60" s="1479" t="s">
        <v>1406</v>
      </c>
      <c r="E60" s="1479">
        <v>29</v>
      </c>
      <c r="F60" s="1591">
        <v>120</v>
      </c>
      <c r="G60" s="1479">
        <f t="shared" si="0"/>
        <v>3480</v>
      </c>
      <c r="H60" s="1479">
        <f>'Kit Super TOS'!H72</f>
        <v>59.7</v>
      </c>
      <c r="I60" s="1553">
        <f t="shared" si="2"/>
        <v>7164</v>
      </c>
    </row>
    <row r="61" spans="2:9">
      <c r="B61" s="2058" t="s">
        <v>1330</v>
      </c>
      <c r="C61" s="2058"/>
      <c r="D61" s="2058"/>
      <c r="E61" s="1481"/>
      <c r="F61" s="1481"/>
      <c r="G61" s="1481">
        <f>SUM(G57:G60)</f>
        <v>173531.2</v>
      </c>
      <c r="H61" s="1481"/>
      <c r="I61" s="1481">
        <f>SUM(I57:I60)</f>
        <v>171470.64</v>
      </c>
    </row>
    <row r="62" spans="2:9">
      <c r="B62" s="1500"/>
      <c r="C62" s="1554" t="s">
        <v>1438</v>
      </c>
      <c r="D62" s="1484"/>
      <c r="E62" s="1484"/>
      <c r="F62" s="1484"/>
      <c r="G62" s="1484"/>
      <c r="H62" s="1484"/>
      <c r="I62" s="1555"/>
    </row>
    <row r="63" spans="2:9">
      <c r="B63" s="1498">
        <v>4.0999999999999996</v>
      </c>
      <c r="C63" s="1453" t="s">
        <v>1501</v>
      </c>
      <c r="D63" s="1451" t="s">
        <v>1406</v>
      </c>
      <c r="E63" s="1451">
        <v>558.20000000000005</v>
      </c>
      <c r="F63" s="1584">
        <v>23</v>
      </c>
      <c r="G63" s="1451">
        <f t="shared" si="0"/>
        <v>12838.6</v>
      </c>
      <c r="H63" s="1451">
        <f>'Kit Super TOS'!H81</f>
        <v>664.69999999999993</v>
      </c>
      <c r="I63" s="1550">
        <f t="shared" si="2"/>
        <v>15288.099999999999</v>
      </c>
    </row>
    <row r="64" spans="2:9">
      <c r="B64" s="1498">
        <v>4.2</v>
      </c>
      <c r="C64" s="1453" t="s">
        <v>1598</v>
      </c>
      <c r="D64" s="1451" t="s">
        <v>1406</v>
      </c>
      <c r="E64" s="1451">
        <v>346</v>
      </c>
      <c r="F64" s="1584">
        <v>16</v>
      </c>
      <c r="G64" s="1451">
        <f t="shared" si="0"/>
        <v>5536</v>
      </c>
      <c r="H64" s="1451">
        <f>'Kit Super TOS'!H91</f>
        <v>764.98</v>
      </c>
      <c r="I64" s="1550">
        <f t="shared" si="2"/>
        <v>12239.68</v>
      </c>
    </row>
    <row r="65" spans="2:9">
      <c r="B65" s="1498">
        <v>4.3</v>
      </c>
      <c r="C65" s="1453" t="s">
        <v>1435</v>
      </c>
      <c r="D65" s="1451" t="s">
        <v>1406</v>
      </c>
      <c r="E65" s="1451">
        <v>477.6</v>
      </c>
      <c r="F65" s="1584">
        <v>33</v>
      </c>
      <c r="G65" s="1451">
        <f t="shared" si="0"/>
        <v>15760.800000000001</v>
      </c>
      <c r="H65" s="1451">
        <f>'Kit Super TOS'!H96</f>
        <v>537.30000000000007</v>
      </c>
      <c r="I65" s="1550">
        <f t="shared" si="2"/>
        <v>17730.900000000001</v>
      </c>
    </row>
    <row r="66" spans="2:9">
      <c r="B66" s="1498">
        <v>4.4000000000000004</v>
      </c>
      <c r="C66" s="1453" t="s">
        <v>1434</v>
      </c>
      <c r="D66" s="1451" t="s">
        <v>1406</v>
      </c>
      <c r="E66" s="1451">
        <v>59.7</v>
      </c>
      <c r="F66" s="1584">
        <v>71</v>
      </c>
      <c r="G66" s="1451">
        <f t="shared" si="0"/>
        <v>4238.7</v>
      </c>
      <c r="H66" s="1451">
        <f>'Kit Super TOS'!H105</f>
        <v>88.740000000000009</v>
      </c>
      <c r="I66" s="1550">
        <f t="shared" si="2"/>
        <v>6300.5400000000009</v>
      </c>
    </row>
    <row r="67" spans="2:9">
      <c r="B67" s="1498"/>
      <c r="C67" s="1453" t="s">
        <v>1433</v>
      </c>
      <c r="D67" s="1451"/>
      <c r="E67" s="1451"/>
      <c r="F67" s="1451"/>
      <c r="G67" s="1451"/>
      <c r="H67" s="1451"/>
      <c r="I67" s="1550"/>
    </row>
    <row r="68" spans="2:9">
      <c r="B68" s="1498">
        <v>4.5</v>
      </c>
      <c r="C68" s="1453" t="s">
        <v>1431</v>
      </c>
      <c r="D68" s="1451" t="s">
        <v>1416</v>
      </c>
      <c r="E68" s="1451">
        <v>7</v>
      </c>
      <c r="F68" s="1452">
        <v>4149.6000000000004</v>
      </c>
      <c r="G68" s="1451">
        <f t="shared" si="0"/>
        <v>29047.200000000004</v>
      </c>
      <c r="H68" s="1451">
        <f>'Kit Super TOS'!H110</f>
        <v>5</v>
      </c>
      <c r="I68" s="1550">
        <f>F68*H68</f>
        <v>20748</v>
      </c>
    </row>
    <row r="69" spans="2:9">
      <c r="B69" s="1498">
        <v>4.5</v>
      </c>
      <c r="C69" s="1453" t="s">
        <v>3150</v>
      </c>
      <c r="D69" s="1451" t="s">
        <v>1818</v>
      </c>
      <c r="E69" s="1451">
        <v>6</v>
      </c>
      <c r="F69" s="1452">
        <v>3630.9</v>
      </c>
      <c r="G69" s="1451">
        <f t="shared" si="0"/>
        <v>21785.4</v>
      </c>
      <c r="H69" s="1451">
        <f>'Kit Super TOS'!H114</f>
        <v>5</v>
      </c>
      <c r="I69" s="1550">
        <f t="shared" si="2"/>
        <v>18154.5</v>
      </c>
    </row>
    <row r="70" spans="2:9">
      <c r="B70" s="1499">
        <v>4.7</v>
      </c>
      <c r="C70" s="1483" t="s">
        <v>1429</v>
      </c>
      <c r="D70" s="1479" t="s">
        <v>1416</v>
      </c>
      <c r="E70" s="1479">
        <v>10</v>
      </c>
      <c r="F70" s="1482">
        <v>4668.3</v>
      </c>
      <c r="G70" s="1479">
        <f t="shared" si="0"/>
        <v>46683</v>
      </c>
      <c r="H70" s="1479">
        <f>'Kit Super TOS'!H118</f>
        <v>2</v>
      </c>
      <c r="I70" s="1553">
        <f t="shared" si="2"/>
        <v>9336.6</v>
      </c>
    </row>
    <row r="71" spans="2:9">
      <c r="B71" s="2058" t="s">
        <v>1330</v>
      </c>
      <c r="C71" s="2058"/>
      <c r="D71" s="2058"/>
      <c r="E71" s="1481"/>
      <c r="F71" s="1481"/>
      <c r="G71" s="1481">
        <f>SUM(G63:G70)</f>
        <v>135889.70000000001</v>
      </c>
      <c r="H71" s="1481"/>
      <c r="I71" s="1481">
        <f>SUM(I63:I70)</f>
        <v>99798.32</v>
      </c>
    </row>
    <row r="72" spans="2:9">
      <c r="B72" s="1500"/>
      <c r="C72" s="1554" t="s">
        <v>1428</v>
      </c>
      <c r="D72" s="1484"/>
      <c r="E72" s="1484"/>
      <c r="F72" s="1484"/>
      <c r="G72" s="1484"/>
      <c r="H72" s="1484"/>
      <c r="I72" s="1555"/>
    </row>
    <row r="73" spans="2:9">
      <c r="B73" s="1498"/>
      <c r="C73" s="1453" t="s">
        <v>1427</v>
      </c>
      <c r="D73" s="1451"/>
      <c r="E73" s="1451"/>
      <c r="F73" s="1451"/>
      <c r="G73" s="1451"/>
      <c r="H73" s="1451"/>
      <c r="I73" s="1550"/>
    </row>
    <row r="74" spans="2:9">
      <c r="B74" s="1498">
        <v>5.0999999999999996</v>
      </c>
      <c r="C74" s="1453" t="s">
        <v>1426</v>
      </c>
      <c r="D74" s="1451" t="s">
        <v>1416</v>
      </c>
      <c r="E74" s="1451">
        <v>12</v>
      </c>
      <c r="F74" s="1584">
        <v>2000</v>
      </c>
      <c r="G74" s="1451">
        <f t="shared" ref="G74:G109" si="3">E74*F74</f>
        <v>24000</v>
      </c>
      <c r="H74" s="1451">
        <f>'Kit Super TOS'!H122</f>
        <v>12</v>
      </c>
      <c r="I74" s="1550">
        <f t="shared" ref="I74:I109" si="4">F74*H74</f>
        <v>24000</v>
      </c>
    </row>
    <row r="75" spans="2:9">
      <c r="B75" s="1498">
        <v>5.2</v>
      </c>
      <c r="C75" s="1453" t="s">
        <v>1425</v>
      </c>
      <c r="D75" s="1451" t="s">
        <v>1416</v>
      </c>
      <c r="E75" s="1451">
        <v>4</v>
      </c>
      <c r="F75" s="1584">
        <v>1700</v>
      </c>
      <c r="G75" s="1451">
        <f t="shared" si="3"/>
        <v>6800</v>
      </c>
      <c r="H75" s="1451">
        <f>'Kit Super TOS'!D128</f>
        <v>4</v>
      </c>
      <c r="I75" s="1550">
        <f t="shared" si="4"/>
        <v>6800</v>
      </c>
    </row>
    <row r="76" spans="2:9">
      <c r="B76" s="1498">
        <v>5.3</v>
      </c>
      <c r="C76" s="1453" t="s">
        <v>1422</v>
      </c>
      <c r="D76" s="1451" t="s">
        <v>1416</v>
      </c>
      <c r="E76" s="1451">
        <v>2</v>
      </c>
      <c r="F76" s="1584">
        <v>1500</v>
      </c>
      <c r="G76" s="1451">
        <f t="shared" si="3"/>
        <v>3000</v>
      </c>
      <c r="H76" s="1451">
        <f>'Kit Super TOS'!D132</f>
        <v>2</v>
      </c>
      <c r="I76" s="1550">
        <f t="shared" si="4"/>
        <v>3000</v>
      </c>
    </row>
    <row r="77" spans="2:9">
      <c r="B77" s="1498">
        <v>5.5</v>
      </c>
      <c r="C77" s="1453" t="s">
        <v>1668</v>
      </c>
      <c r="D77" s="1451" t="s">
        <v>1416</v>
      </c>
      <c r="E77" s="1451">
        <v>0</v>
      </c>
      <c r="F77" s="1584">
        <v>2500</v>
      </c>
      <c r="G77" s="1451">
        <f t="shared" si="3"/>
        <v>0</v>
      </c>
      <c r="H77" s="1451"/>
      <c r="I77" s="1550">
        <f t="shared" si="4"/>
        <v>0</v>
      </c>
    </row>
    <row r="78" spans="2:9">
      <c r="B78" s="1498"/>
      <c r="C78" s="1453" t="s">
        <v>1420</v>
      </c>
      <c r="D78" s="1451"/>
      <c r="E78" s="1451"/>
      <c r="F78" s="1451"/>
      <c r="G78" s="1451"/>
      <c r="H78" s="1451"/>
      <c r="I78" s="1550"/>
    </row>
    <row r="79" spans="2:9">
      <c r="B79" s="1498">
        <v>5.6</v>
      </c>
      <c r="C79" s="1453" t="s">
        <v>1505</v>
      </c>
      <c r="D79" s="1451" t="s">
        <v>1416</v>
      </c>
      <c r="E79" s="1451">
        <v>3</v>
      </c>
      <c r="F79" s="1452">
        <v>3892.5</v>
      </c>
      <c r="G79" s="1451">
        <f t="shared" si="3"/>
        <v>11677.5</v>
      </c>
      <c r="H79" s="1451">
        <f>'Kit Super TOS'!D136</f>
        <v>2</v>
      </c>
      <c r="I79" s="1550">
        <f t="shared" si="4"/>
        <v>7785</v>
      </c>
    </row>
    <row r="80" spans="2:9">
      <c r="B80" s="1498">
        <v>5.7</v>
      </c>
      <c r="C80" s="1453" t="s">
        <v>1669</v>
      </c>
      <c r="D80" s="1451" t="s">
        <v>1416</v>
      </c>
      <c r="E80" s="1451">
        <v>6</v>
      </c>
      <c r="F80" s="1584">
        <v>1700</v>
      </c>
      <c r="G80" s="1451">
        <f t="shared" si="3"/>
        <v>10200</v>
      </c>
      <c r="H80" s="1451">
        <f>'Kit Super TOS'!D140</f>
        <v>4</v>
      </c>
      <c r="I80" s="1550">
        <f t="shared" si="4"/>
        <v>6800</v>
      </c>
    </row>
    <row r="81" spans="2:9">
      <c r="B81" s="1499">
        <v>5.8</v>
      </c>
      <c r="C81" s="1483" t="s">
        <v>1418</v>
      </c>
      <c r="D81" s="1479" t="s">
        <v>1416</v>
      </c>
      <c r="E81" s="1479">
        <v>4</v>
      </c>
      <c r="F81" s="1591">
        <v>2000</v>
      </c>
      <c r="G81" s="1479">
        <f t="shared" si="3"/>
        <v>8000</v>
      </c>
      <c r="H81" s="1479">
        <f>'Kit Super TOS'!D144</f>
        <v>1</v>
      </c>
      <c r="I81" s="1553">
        <f t="shared" si="4"/>
        <v>2000</v>
      </c>
    </row>
    <row r="82" spans="2:9">
      <c r="B82" s="2058" t="s">
        <v>1330</v>
      </c>
      <c r="C82" s="2058"/>
      <c r="D82" s="2058"/>
      <c r="E82" s="1481"/>
      <c r="F82" s="1481"/>
      <c r="G82" s="1481">
        <f>SUM(G74:G81)</f>
        <v>63677.5</v>
      </c>
      <c r="H82" s="1481"/>
      <c r="I82" s="1481">
        <f>SUM(I74:I81)</f>
        <v>50385</v>
      </c>
    </row>
    <row r="83" spans="2:9">
      <c r="B83" s="1500"/>
      <c r="C83" s="1554" t="s">
        <v>1415</v>
      </c>
      <c r="D83" s="1484"/>
      <c r="E83" s="1484"/>
      <c r="F83" s="1484"/>
      <c r="G83" s="1484"/>
      <c r="H83" s="1484"/>
      <c r="I83" s="1555"/>
    </row>
    <row r="84" spans="2:9" ht="18">
      <c r="B84" s="1498">
        <v>6.1</v>
      </c>
      <c r="C84" s="1453" t="s">
        <v>1414</v>
      </c>
      <c r="D84" s="1451" t="s">
        <v>3201</v>
      </c>
      <c r="E84" s="1451">
        <v>198</v>
      </c>
      <c r="F84" s="1584">
        <v>140</v>
      </c>
      <c r="G84" s="1451">
        <f t="shared" si="3"/>
        <v>27720</v>
      </c>
      <c r="H84" s="1451">
        <f>'Kit Super TOS'!D174</f>
        <v>180.11599999999999</v>
      </c>
      <c r="I84" s="1550">
        <f t="shared" si="4"/>
        <v>25216.239999999998</v>
      </c>
    </row>
    <row r="85" spans="2:9" ht="18">
      <c r="B85" s="1498">
        <v>6.2</v>
      </c>
      <c r="C85" s="1458" t="s">
        <v>1413</v>
      </c>
      <c r="D85" s="1451" t="s">
        <v>3201</v>
      </c>
      <c r="E85" s="1451">
        <v>664</v>
      </c>
      <c r="F85" s="1584">
        <v>150</v>
      </c>
      <c r="G85" s="1451">
        <f t="shared" si="3"/>
        <v>99600</v>
      </c>
      <c r="H85" s="1451">
        <f>'Kit Super TOS'!H229</f>
        <v>932.65100000000018</v>
      </c>
      <c r="I85" s="1550">
        <f t="shared" si="4"/>
        <v>139897.65000000002</v>
      </c>
    </row>
    <row r="86" spans="2:9" s="339" customFormat="1" ht="18">
      <c r="B86" s="1498">
        <v>6.3</v>
      </c>
      <c r="C86" s="1453" t="s">
        <v>1412</v>
      </c>
      <c r="D86" s="1451" t="s">
        <v>3201</v>
      </c>
      <c r="E86" s="1451">
        <f>E21</f>
        <v>288</v>
      </c>
      <c r="F86" s="1584">
        <v>310</v>
      </c>
      <c r="G86" s="1451">
        <f t="shared" si="3"/>
        <v>89280</v>
      </c>
      <c r="H86" s="1451">
        <f>'Kit Super TOS'!D273</f>
        <v>327.79250000000002</v>
      </c>
      <c r="I86" s="1550">
        <f t="shared" si="4"/>
        <v>101615.675</v>
      </c>
    </row>
    <row r="87" spans="2:9" ht="18">
      <c r="B87" s="1501">
        <v>6.5</v>
      </c>
      <c r="C87" s="1453" t="s">
        <v>1616</v>
      </c>
      <c r="D87" s="1451" t="s">
        <v>3201</v>
      </c>
      <c r="E87" s="1451">
        <v>288</v>
      </c>
      <c r="F87" s="1584">
        <v>300</v>
      </c>
      <c r="G87" s="1451">
        <f t="shared" si="3"/>
        <v>86400</v>
      </c>
      <c r="H87" s="1451">
        <f>'Kit Super TOS'!H282</f>
        <v>338.84050000000002</v>
      </c>
      <c r="I87" s="1550">
        <f t="shared" si="4"/>
        <v>101652.15000000001</v>
      </c>
    </row>
    <row r="88" spans="2:9">
      <c r="B88" s="1501">
        <v>6.6</v>
      </c>
      <c r="C88" s="1459" t="s">
        <v>1409</v>
      </c>
      <c r="D88" s="1451" t="s">
        <v>1406</v>
      </c>
      <c r="E88" s="1451">
        <v>277</v>
      </c>
      <c r="F88" s="1584">
        <v>100</v>
      </c>
      <c r="G88" s="1451">
        <f t="shared" si="3"/>
        <v>27700</v>
      </c>
      <c r="H88" s="1451">
        <f>'Kit Super TOS'!D326</f>
        <v>278.8</v>
      </c>
      <c r="I88" s="1550">
        <f t="shared" si="4"/>
        <v>27880</v>
      </c>
    </row>
    <row r="89" spans="2:9">
      <c r="B89" s="1501">
        <v>6.7</v>
      </c>
      <c r="C89" s="1459" t="s">
        <v>3401</v>
      </c>
      <c r="D89" s="1451" t="s">
        <v>1406</v>
      </c>
      <c r="E89" s="1451">
        <v>30</v>
      </c>
      <c r="F89" s="1584">
        <v>150</v>
      </c>
      <c r="G89" s="1451">
        <f t="shared" si="3"/>
        <v>4500</v>
      </c>
      <c r="H89" s="1451">
        <f>'Kit Super TOS'!D336</f>
        <v>25.8</v>
      </c>
      <c r="I89" s="1550">
        <f t="shared" si="4"/>
        <v>3870</v>
      </c>
    </row>
    <row r="90" spans="2:9">
      <c r="B90" s="1501">
        <v>6.9</v>
      </c>
      <c r="C90" s="1453" t="s">
        <v>1405</v>
      </c>
      <c r="D90" s="1451" t="s">
        <v>1670</v>
      </c>
      <c r="E90" s="1585">
        <v>106</v>
      </c>
      <c r="F90" s="1586">
        <v>550</v>
      </c>
      <c r="G90" s="1451">
        <f t="shared" si="3"/>
        <v>58300</v>
      </c>
      <c r="H90" s="1451">
        <f>'Kit Super TOS'!D346</f>
        <v>87.24</v>
      </c>
      <c r="I90" s="1550">
        <f t="shared" si="4"/>
        <v>47982</v>
      </c>
    </row>
    <row r="91" spans="2:9">
      <c r="B91" s="1501">
        <v>6.12</v>
      </c>
      <c r="C91" s="1460" t="s">
        <v>3397</v>
      </c>
      <c r="D91" s="1451" t="s">
        <v>1402</v>
      </c>
      <c r="E91" s="1585">
        <v>97</v>
      </c>
      <c r="F91" s="1586">
        <v>100</v>
      </c>
      <c r="G91" s="1451">
        <f t="shared" si="3"/>
        <v>9700</v>
      </c>
      <c r="H91" s="1451">
        <f>'Kit Super TOS'!H308</f>
        <v>74.600000000000009</v>
      </c>
      <c r="I91" s="1550">
        <f t="shared" si="4"/>
        <v>7460.0000000000009</v>
      </c>
    </row>
    <row r="92" spans="2:9">
      <c r="B92" s="1502"/>
      <c r="C92" s="1486" t="s">
        <v>1403</v>
      </c>
      <c r="D92" s="1479" t="s">
        <v>1402</v>
      </c>
      <c r="E92" s="1589">
        <v>97</v>
      </c>
      <c r="F92" s="1590">
        <v>265</v>
      </c>
      <c r="G92" s="1479">
        <f t="shared" si="3"/>
        <v>25705</v>
      </c>
      <c r="H92" s="1479"/>
      <c r="I92" s="1553">
        <f t="shared" si="4"/>
        <v>0</v>
      </c>
    </row>
    <row r="93" spans="2:9">
      <c r="B93" s="2058" t="s">
        <v>1330</v>
      </c>
      <c r="C93" s="2058"/>
      <c r="D93" s="2058"/>
      <c r="E93" s="1481"/>
      <c r="F93" s="1481"/>
      <c r="G93" s="1481">
        <f>SUM(G84:G92)</f>
        <v>428905</v>
      </c>
      <c r="H93" s="1481"/>
      <c r="I93" s="1481">
        <f>SUM(I84:I92)</f>
        <v>455573.71500000003</v>
      </c>
    </row>
    <row r="94" spans="2:9">
      <c r="B94" s="1500"/>
      <c r="C94" s="1554" t="s">
        <v>1401</v>
      </c>
      <c r="D94" s="1484"/>
      <c r="E94" s="1484"/>
      <c r="F94" s="1484"/>
      <c r="G94" s="1484"/>
      <c r="H94" s="1484"/>
      <c r="I94" s="1555"/>
    </row>
    <row r="95" spans="2:9" ht="18">
      <c r="B95" s="1498">
        <v>7.1</v>
      </c>
      <c r="C95" s="1453" t="s">
        <v>1400</v>
      </c>
      <c r="D95" s="1451" t="s">
        <v>3201</v>
      </c>
      <c r="E95" s="1451">
        <v>664</v>
      </c>
      <c r="F95" s="1451">
        <f>28*2/3</f>
        <v>18.666666666666668</v>
      </c>
      <c r="G95" s="1451">
        <f t="shared" si="3"/>
        <v>12394.666666666668</v>
      </c>
      <c r="H95" s="1451">
        <f>'Kit Super TOS'!H314</f>
        <v>932.65100000000018</v>
      </c>
      <c r="I95" s="1550">
        <f t="shared" si="4"/>
        <v>17409.485333333338</v>
      </c>
    </row>
    <row r="96" spans="2:9" ht="18">
      <c r="B96" s="1498">
        <v>7.2</v>
      </c>
      <c r="C96" s="1453" t="s">
        <v>1399</v>
      </c>
      <c r="D96" s="1451" t="s">
        <v>3201</v>
      </c>
      <c r="E96" s="1451">
        <f>E21</f>
        <v>288</v>
      </c>
      <c r="F96" s="1451">
        <f t="shared" ref="F96:F97" si="5">28*2/3</f>
        <v>18.666666666666668</v>
      </c>
      <c r="G96" s="1451">
        <f t="shared" si="3"/>
        <v>5376</v>
      </c>
      <c r="H96" s="1451">
        <f>'Kit Super TOS'!H318</f>
        <v>327.79250000000002</v>
      </c>
      <c r="I96" s="1550">
        <f t="shared" si="4"/>
        <v>6118.793333333334</v>
      </c>
    </row>
    <row r="97" spans="2:9" ht="18">
      <c r="B97" s="1499">
        <v>7.3</v>
      </c>
      <c r="C97" s="1483" t="s">
        <v>1398</v>
      </c>
      <c r="D97" s="1479" t="s">
        <v>3201</v>
      </c>
      <c r="E97" s="1479">
        <v>198</v>
      </c>
      <c r="F97" s="1479">
        <f t="shared" si="5"/>
        <v>18.666666666666668</v>
      </c>
      <c r="G97" s="1479">
        <f t="shared" si="3"/>
        <v>3696.0000000000005</v>
      </c>
      <c r="H97" s="1479">
        <f>'Kit Super TOS'!H322</f>
        <v>180.11599999999999</v>
      </c>
      <c r="I97" s="1553">
        <f t="shared" si="4"/>
        <v>3362.1653333333334</v>
      </c>
    </row>
    <row r="98" spans="2:9">
      <c r="B98" s="2058" t="s">
        <v>1330</v>
      </c>
      <c r="C98" s="2058"/>
      <c r="D98" s="2058"/>
      <c r="E98" s="1481"/>
      <c r="F98" s="1481"/>
      <c r="G98" s="1481">
        <f>SUM(G95:G97)</f>
        <v>21466.666666666668</v>
      </c>
      <c r="H98" s="1481"/>
      <c r="I98" s="1481">
        <f>SUM(I95:I97)</f>
        <v>26890.444000000007</v>
      </c>
    </row>
    <row r="99" spans="2:9">
      <c r="B99" s="1500"/>
      <c r="C99" s="1554" t="s">
        <v>1395</v>
      </c>
      <c r="D99" s="1484"/>
      <c r="E99" s="1484"/>
      <c r="F99" s="1484"/>
      <c r="G99" s="1484"/>
      <c r="H99" s="1484"/>
      <c r="I99" s="1555"/>
    </row>
    <row r="100" spans="2:9">
      <c r="B100" s="1498">
        <v>9.1</v>
      </c>
      <c r="C100" s="1453" t="s">
        <v>1394</v>
      </c>
      <c r="D100" s="1451"/>
      <c r="E100" s="1451"/>
      <c r="F100" s="1451"/>
      <c r="G100" s="1451"/>
      <c r="H100" s="1451"/>
      <c r="I100" s="1550"/>
    </row>
    <row r="101" spans="2:9">
      <c r="B101" s="1498"/>
      <c r="C101" s="1453" t="s">
        <v>1391</v>
      </c>
      <c r="D101" s="1451" t="s">
        <v>1370</v>
      </c>
      <c r="E101" s="1451">
        <v>20</v>
      </c>
      <c r="F101" s="1451">
        <v>40</v>
      </c>
      <c r="G101" s="1451">
        <f t="shared" si="3"/>
        <v>800</v>
      </c>
      <c r="H101" s="1451">
        <f>'Kit Super TOS'!H327</f>
        <v>31.56</v>
      </c>
      <c r="I101" s="1550">
        <f t="shared" si="4"/>
        <v>1262.3999999999999</v>
      </c>
    </row>
    <row r="102" spans="2:9">
      <c r="B102" s="1498"/>
      <c r="C102" s="1453" t="s">
        <v>1390</v>
      </c>
      <c r="D102" s="1451" t="s">
        <v>1370</v>
      </c>
      <c r="E102" s="1451">
        <v>15</v>
      </c>
      <c r="F102" s="1451">
        <v>45</v>
      </c>
      <c r="G102" s="1451">
        <f t="shared" si="3"/>
        <v>675</v>
      </c>
      <c r="H102" s="1451"/>
      <c r="I102" s="1550">
        <f t="shared" si="4"/>
        <v>0</v>
      </c>
    </row>
    <row r="103" spans="2:9">
      <c r="B103" s="1498">
        <v>9.3000000000000007</v>
      </c>
      <c r="C103" s="1453" t="s">
        <v>1386</v>
      </c>
      <c r="D103" s="1451"/>
      <c r="E103" s="1451"/>
      <c r="F103" s="1451"/>
      <c r="G103" s="1451"/>
      <c r="H103" s="1451"/>
      <c r="I103" s="1550"/>
    </row>
    <row r="104" spans="2:9">
      <c r="B104" s="1498"/>
      <c r="C104" s="1453" t="s">
        <v>1384</v>
      </c>
      <c r="D104" s="1451" t="s">
        <v>4</v>
      </c>
      <c r="E104" s="1451">
        <v>10</v>
      </c>
      <c r="F104" s="1451">
        <v>120</v>
      </c>
      <c r="G104" s="1451">
        <f t="shared" si="3"/>
        <v>1200</v>
      </c>
      <c r="H104" s="1451">
        <f>'Kit Super TOS'!H335</f>
        <v>5</v>
      </c>
      <c r="I104" s="1550">
        <f t="shared" si="4"/>
        <v>600</v>
      </c>
    </row>
    <row r="105" spans="2:9">
      <c r="B105" s="1498"/>
      <c r="C105" s="1453" t="s">
        <v>1383</v>
      </c>
      <c r="D105" s="1451" t="s">
        <v>4</v>
      </c>
      <c r="E105" s="1451">
        <v>4</v>
      </c>
      <c r="F105" s="1451">
        <v>150</v>
      </c>
      <c r="G105" s="1451">
        <f t="shared" si="3"/>
        <v>600</v>
      </c>
      <c r="H105" s="1451"/>
      <c r="I105" s="1550">
        <f t="shared" si="4"/>
        <v>0</v>
      </c>
    </row>
    <row r="106" spans="2:9">
      <c r="B106" s="1498">
        <v>9.5</v>
      </c>
      <c r="C106" s="1453" t="s">
        <v>1380</v>
      </c>
      <c r="D106" s="1451"/>
      <c r="E106" s="1451"/>
      <c r="F106" s="1451"/>
      <c r="G106" s="1451"/>
      <c r="H106" s="1451"/>
      <c r="I106" s="1550"/>
    </row>
    <row r="107" spans="2:9">
      <c r="B107" s="1498"/>
      <c r="C107" s="1453" t="s">
        <v>1379</v>
      </c>
      <c r="D107" s="1451" t="s">
        <v>1370</v>
      </c>
      <c r="E107" s="1451">
        <v>16</v>
      </c>
      <c r="F107" s="1451">
        <v>50</v>
      </c>
      <c r="G107" s="1451">
        <f t="shared" si="3"/>
        <v>800</v>
      </c>
      <c r="H107" s="1451">
        <f>'Kit Super TOS'!H341</f>
        <v>53.21</v>
      </c>
      <c r="I107" s="1550">
        <f t="shared" si="4"/>
        <v>2660.5</v>
      </c>
    </row>
    <row r="108" spans="2:9">
      <c r="B108" s="1498"/>
      <c r="C108" s="1453" t="s">
        <v>1378</v>
      </c>
      <c r="D108" s="1451" t="s">
        <v>1370</v>
      </c>
      <c r="E108" s="1451">
        <v>10</v>
      </c>
      <c r="F108" s="1451">
        <v>55</v>
      </c>
      <c r="G108" s="1451">
        <f t="shared" si="3"/>
        <v>550</v>
      </c>
      <c r="H108" s="1451">
        <f>'Kit Super TOS'!H344</f>
        <v>13.45</v>
      </c>
      <c r="I108" s="1550">
        <f t="shared" si="4"/>
        <v>739.75</v>
      </c>
    </row>
    <row r="109" spans="2:9">
      <c r="B109" s="1499"/>
      <c r="C109" s="1483" t="s">
        <v>1377</v>
      </c>
      <c r="D109" s="1479" t="s">
        <v>1370</v>
      </c>
      <c r="E109" s="1479">
        <v>14</v>
      </c>
      <c r="F109" s="1479">
        <v>60</v>
      </c>
      <c r="G109" s="1479">
        <f t="shared" si="3"/>
        <v>840</v>
      </c>
      <c r="H109" s="1479">
        <f>'Kit Super TOS'!H347</f>
        <v>20.55</v>
      </c>
      <c r="I109" s="1553">
        <f t="shared" si="4"/>
        <v>1233</v>
      </c>
    </row>
    <row r="110" spans="2:9">
      <c r="B110" s="2058" t="s">
        <v>1330</v>
      </c>
      <c r="C110" s="2058"/>
      <c r="D110" s="2058"/>
      <c r="E110" s="1481"/>
      <c r="F110" s="1481"/>
      <c r="G110" s="1481">
        <f>SUM(G101:G109)</f>
        <v>5465</v>
      </c>
      <c r="H110" s="1481"/>
      <c r="I110" s="1481">
        <f>SUM(I101:I109)</f>
        <v>6495.65</v>
      </c>
    </row>
    <row r="111" spans="2:9">
      <c r="B111" s="1496"/>
      <c r="C111" s="1551" t="s">
        <v>1368</v>
      </c>
      <c r="D111" s="1493"/>
      <c r="E111" s="1493"/>
      <c r="F111" s="1493"/>
      <c r="G111" s="1484"/>
      <c r="H111" s="1484"/>
      <c r="I111" s="1555"/>
    </row>
    <row r="112" spans="2:9">
      <c r="B112" s="1497">
        <v>2</v>
      </c>
      <c r="C112" s="1466" t="s">
        <v>1366</v>
      </c>
      <c r="D112" s="1464"/>
      <c r="E112" s="1464"/>
      <c r="F112" s="1448"/>
      <c r="G112" s="1451"/>
      <c r="H112" s="1451"/>
      <c r="I112" s="1550"/>
    </row>
    <row r="113" spans="2:9" ht="18">
      <c r="B113" s="1497">
        <v>2.0099999999999998</v>
      </c>
      <c r="C113" s="1466" t="s">
        <v>3202</v>
      </c>
      <c r="D113" s="1464" t="s">
        <v>1332</v>
      </c>
      <c r="E113" s="1464">
        <v>39</v>
      </c>
      <c r="F113" s="1448">
        <v>200</v>
      </c>
      <c r="G113" s="1451">
        <f t="shared" ref="G113:G140" si="6">E113*F113</f>
        <v>7800</v>
      </c>
      <c r="H113" s="1451">
        <f>'Kit Super TOS'!D365</f>
        <v>45</v>
      </c>
      <c r="I113" s="1550">
        <f t="shared" ref="I113:I140" si="7">F113*H113</f>
        <v>9000</v>
      </c>
    </row>
    <row r="114" spans="2:9">
      <c r="B114" s="1497">
        <v>3</v>
      </c>
      <c r="C114" s="1466" t="s">
        <v>1365</v>
      </c>
      <c r="D114" s="1464"/>
      <c r="E114" s="1464"/>
      <c r="F114" s="1448"/>
      <c r="G114" s="1451"/>
      <c r="H114" s="1451"/>
      <c r="I114" s="1550"/>
    </row>
    <row r="115" spans="2:9">
      <c r="B115" s="1497">
        <v>3.01</v>
      </c>
      <c r="C115" s="1466" t="s">
        <v>1364</v>
      </c>
      <c r="D115" s="1464" t="s">
        <v>1332</v>
      </c>
      <c r="E115" s="1464">
        <v>6</v>
      </c>
      <c r="F115" s="1448">
        <v>81.25</v>
      </c>
      <c r="G115" s="1451">
        <f t="shared" si="6"/>
        <v>487.5</v>
      </c>
      <c r="H115" s="1451">
        <f>'Kit Super TOS'!D370</f>
        <v>10</v>
      </c>
      <c r="I115" s="1550">
        <f t="shared" si="7"/>
        <v>812.5</v>
      </c>
    </row>
    <row r="116" spans="2:9">
      <c r="B116" s="1497">
        <v>3.02</v>
      </c>
      <c r="C116" s="1466" t="s">
        <v>1363</v>
      </c>
      <c r="D116" s="1464" t="s">
        <v>1360</v>
      </c>
      <c r="E116" s="1464">
        <v>11</v>
      </c>
      <c r="F116" s="1448">
        <v>131.25</v>
      </c>
      <c r="G116" s="1451">
        <f t="shared" si="6"/>
        <v>1443.75</v>
      </c>
      <c r="H116" s="1451">
        <f>'Kit Super TOS'!D374</f>
        <v>9</v>
      </c>
      <c r="I116" s="1550">
        <f t="shared" si="7"/>
        <v>1181.25</v>
      </c>
    </row>
    <row r="117" spans="2:9">
      <c r="B117" s="1497">
        <v>4</v>
      </c>
      <c r="C117" s="1466" t="s">
        <v>1359</v>
      </c>
      <c r="D117" s="1464"/>
      <c r="E117" s="1464"/>
      <c r="F117" s="1448"/>
      <c r="G117" s="1451"/>
      <c r="H117" s="1451"/>
      <c r="I117" s="1550"/>
    </row>
    <row r="118" spans="2:9">
      <c r="B118" s="1497">
        <v>4.01</v>
      </c>
      <c r="C118" s="1466" t="s">
        <v>1358</v>
      </c>
      <c r="D118" s="1464" t="s">
        <v>1332</v>
      </c>
      <c r="E118" s="1464">
        <v>23</v>
      </c>
      <c r="F118" s="1448">
        <v>200</v>
      </c>
      <c r="G118" s="1451">
        <f t="shared" si="6"/>
        <v>4600</v>
      </c>
      <c r="H118" s="1451">
        <f>'Kit Super TOS'!D379</f>
        <v>26</v>
      </c>
      <c r="I118" s="1550">
        <f t="shared" si="7"/>
        <v>5200</v>
      </c>
    </row>
    <row r="119" spans="2:9">
      <c r="B119" s="1497">
        <v>4.0199999999999996</v>
      </c>
      <c r="C119" s="1466" t="s">
        <v>1563</v>
      </c>
      <c r="D119" s="1464" t="s">
        <v>1332</v>
      </c>
      <c r="E119" s="1464">
        <v>5</v>
      </c>
      <c r="F119" s="1448">
        <v>785</v>
      </c>
      <c r="G119" s="1451">
        <f t="shared" si="6"/>
        <v>3925</v>
      </c>
      <c r="H119" s="1451">
        <f>'Kit Super TOS'!D383</f>
        <v>3</v>
      </c>
      <c r="I119" s="1550">
        <f t="shared" si="7"/>
        <v>2355</v>
      </c>
    </row>
    <row r="120" spans="2:9">
      <c r="B120" s="1497">
        <v>4.03</v>
      </c>
      <c r="C120" s="1466" t="s">
        <v>1671</v>
      </c>
      <c r="D120" s="1464" t="s">
        <v>1332</v>
      </c>
      <c r="E120" s="1464">
        <v>2</v>
      </c>
      <c r="F120" s="1448">
        <v>350</v>
      </c>
      <c r="G120" s="1451">
        <f t="shared" si="6"/>
        <v>700</v>
      </c>
      <c r="H120" s="1451">
        <f>'Kit Super TOS'!D387</f>
        <v>2</v>
      </c>
      <c r="I120" s="1550">
        <f t="shared" si="7"/>
        <v>700</v>
      </c>
    </row>
    <row r="121" spans="2:9">
      <c r="B121" s="1497">
        <v>4.04</v>
      </c>
      <c r="C121" s="1466" t="s">
        <v>1672</v>
      </c>
      <c r="D121" s="1464" t="s">
        <v>1332</v>
      </c>
      <c r="E121" s="1464">
        <v>2</v>
      </c>
      <c r="F121" s="1448">
        <v>70</v>
      </c>
      <c r="G121" s="1451">
        <f t="shared" si="6"/>
        <v>140</v>
      </c>
      <c r="H121" s="1451">
        <f>'Kit Super TOS'!D395</f>
        <v>2</v>
      </c>
      <c r="I121" s="1550">
        <f t="shared" si="7"/>
        <v>140</v>
      </c>
    </row>
    <row r="122" spans="2:9">
      <c r="B122" s="1497">
        <v>4.05</v>
      </c>
      <c r="C122" s="1466" t="s">
        <v>1673</v>
      </c>
      <c r="D122" s="1464" t="s">
        <v>1332</v>
      </c>
      <c r="E122" s="1464">
        <v>2</v>
      </c>
      <c r="F122" s="1448">
        <v>80</v>
      </c>
      <c r="G122" s="1451">
        <f t="shared" si="6"/>
        <v>160</v>
      </c>
      <c r="H122" s="1451">
        <f>'Kit Super TOS'!D391</f>
        <v>3</v>
      </c>
      <c r="I122" s="1550">
        <f t="shared" si="7"/>
        <v>240</v>
      </c>
    </row>
    <row r="123" spans="2:9">
      <c r="B123" s="1497">
        <v>5</v>
      </c>
      <c r="C123" s="1466" t="s">
        <v>1356</v>
      </c>
      <c r="D123" s="1464"/>
      <c r="E123" s="1464"/>
      <c r="F123" s="1448"/>
      <c r="G123" s="1451"/>
      <c r="H123" s="1451"/>
      <c r="I123" s="1550"/>
    </row>
    <row r="124" spans="2:9">
      <c r="B124" s="1497">
        <v>5.01</v>
      </c>
      <c r="C124" s="1466" t="s">
        <v>1355</v>
      </c>
      <c r="D124" s="1464" t="s">
        <v>1332</v>
      </c>
      <c r="E124" s="1464">
        <v>23</v>
      </c>
      <c r="F124" s="1448">
        <v>90</v>
      </c>
      <c r="G124" s="1451">
        <f t="shared" si="6"/>
        <v>2070</v>
      </c>
      <c r="H124" s="1451">
        <f>'Kit Super TOS'!D400</f>
        <v>26</v>
      </c>
      <c r="I124" s="1550">
        <f t="shared" si="7"/>
        <v>2340</v>
      </c>
    </row>
    <row r="125" spans="2:9">
      <c r="B125" s="1497">
        <v>5.0199999999999996</v>
      </c>
      <c r="C125" s="1466" t="s">
        <v>1674</v>
      </c>
      <c r="D125" s="1464" t="s">
        <v>1332</v>
      </c>
      <c r="E125" s="1464">
        <v>2</v>
      </c>
      <c r="F125" s="1448">
        <v>281.25</v>
      </c>
      <c r="G125" s="1451">
        <f t="shared" si="6"/>
        <v>562.5</v>
      </c>
      <c r="H125" s="1451">
        <f>'Kit Super TOS'!D404</f>
        <v>3</v>
      </c>
      <c r="I125" s="1550">
        <f t="shared" si="7"/>
        <v>843.75</v>
      </c>
    </row>
    <row r="126" spans="2:9">
      <c r="B126" s="1497">
        <v>5.03</v>
      </c>
      <c r="C126" s="1466" t="s">
        <v>1675</v>
      </c>
      <c r="D126" s="1464" t="s">
        <v>1332</v>
      </c>
      <c r="E126" s="1464">
        <v>5</v>
      </c>
      <c r="F126" s="1448">
        <v>80</v>
      </c>
      <c r="G126" s="1451">
        <f t="shared" si="6"/>
        <v>400</v>
      </c>
      <c r="H126" s="1451">
        <f>'Kit Super TOS'!D408</f>
        <v>2</v>
      </c>
      <c r="I126" s="1550">
        <f t="shared" si="7"/>
        <v>160</v>
      </c>
    </row>
    <row r="127" spans="2:9">
      <c r="B127" s="1497">
        <v>5.0599999999999996</v>
      </c>
      <c r="C127" s="1466" t="s">
        <v>1565</v>
      </c>
      <c r="D127" s="1464" t="s">
        <v>1332</v>
      </c>
      <c r="E127" s="1464">
        <v>2</v>
      </c>
      <c r="F127" s="1448">
        <v>80</v>
      </c>
      <c r="G127" s="1451">
        <f t="shared" si="6"/>
        <v>160</v>
      </c>
      <c r="H127" s="1451">
        <f>'Kit Super TOS'!D412</f>
        <v>3</v>
      </c>
      <c r="I127" s="1550">
        <f t="shared" si="7"/>
        <v>240</v>
      </c>
    </row>
    <row r="128" spans="2:9">
      <c r="B128" s="1497">
        <v>5.07</v>
      </c>
      <c r="C128" s="1466" t="s">
        <v>1676</v>
      </c>
      <c r="D128" s="1464" t="s">
        <v>1332</v>
      </c>
      <c r="E128" s="1464">
        <v>2</v>
      </c>
      <c r="F128" s="1448">
        <v>80</v>
      </c>
      <c r="G128" s="1451">
        <f t="shared" si="6"/>
        <v>160</v>
      </c>
      <c r="H128" s="1451">
        <f>'Kit Super TOS'!D416</f>
        <v>2</v>
      </c>
      <c r="I128" s="1550">
        <f t="shared" si="7"/>
        <v>160</v>
      </c>
    </row>
    <row r="129" spans="2:9">
      <c r="B129" s="1497">
        <v>6</v>
      </c>
      <c r="C129" s="1466" t="s">
        <v>1353</v>
      </c>
      <c r="D129" s="1464"/>
      <c r="E129" s="1464"/>
      <c r="F129" s="1448"/>
      <c r="G129" s="1451"/>
      <c r="H129" s="1451"/>
      <c r="I129" s="1550"/>
    </row>
    <row r="130" spans="2:9">
      <c r="B130" s="1497">
        <v>6.01</v>
      </c>
      <c r="C130" s="1466" t="s">
        <v>1352</v>
      </c>
      <c r="D130" s="1464" t="s">
        <v>1332</v>
      </c>
      <c r="E130" s="1464">
        <v>5</v>
      </c>
      <c r="F130" s="1448">
        <v>600</v>
      </c>
      <c r="G130" s="1451">
        <f t="shared" si="6"/>
        <v>3000</v>
      </c>
      <c r="H130" s="1451">
        <f>'Kit Super TOS'!H364</f>
        <v>6</v>
      </c>
      <c r="I130" s="1550">
        <f t="shared" si="7"/>
        <v>3600</v>
      </c>
    </row>
    <row r="131" spans="2:9">
      <c r="B131" s="1497">
        <v>6.03</v>
      </c>
      <c r="C131" s="1466" t="s">
        <v>1351</v>
      </c>
      <c r="D131" s="1464"/>
      <c r="E131" s="1464"/>
      <c r="F131" s="1448"/>
      <c r="G131" s="1451"/>
      <c r="H131" s="1451"/>
      <c r="I131" s="1550"/>
    </row>
    <row r="132" spans="2:9">
      <c r="B132" s="1497"/>
      <c r="C132" s="1466" t="s">
        <v>1677</v>
      </c>
      <c r="D132" s="1464" t="s">
        <v>1332</v>
      </c>
      <c r="E132" s="1464">
        <v>5</v>
      </c>
      <c r="F132" s="1448">
        <v>200</v>
      </c>
      <c r="G132" s="1451">
        <f t="shared" si="6"/>
        <v>1000</v>
      </c>
      <c r="H132" s="1451"/>
      <c r="I132" s="1550">
        <f t="shared" si="7"/>
        <v>0</v>
      </c>
    </row>
    <row r="133" spans="2:9">
      <c r="B133" s="1497">
        <v>7</v>
      </c>
      <c r="C133" s="1466" t="s">
        <v>1350</v>
      </c>
      <c r="D133" s="1464"/>
      <c r="E133" s="1464"/>
      <c r="F133" s="1448"/>
      <c r="G133" s="1451"/>
      <c r="H133" s="1451"/>
      <c r="I133" s="1550"/>
    </row>
    <row r="134" spans="2:9">
      <c r="B134" s="1497">
        <v>7.01</v>
      </c>
      <c r="C134" s="1466" t="s">
        <v>1589</v>
      </c>
      <c r="D134" s="1464" t="s">
        <v>1332</v>
      </c>
      <c r="E134" s="1464">
        <v>15</v>
      </c>
      <c r="F134" s="1448">
        <v>800</v>
      </c>
      <c r="G134" s="1451">
        <f t="shared" si="6"/>
        <v>12000</v>
      </c>
      <c r="H134" s="1451">
        <f>'Kit Super TOS'!H371</f>
        <v>10</v>
      </c>
      <c r="I134" s="1550">
        <f t="shared" si="7"/>
        <v>8000</v>
      </c>
    </row>
    <row r="135" spans="2:9">
      <c r="B135" s="1497">
        <v>7.02</v>
      </c>
      <c r="C135" s="1466" t="s">
        <v>1590</v>
      </c>
      <c r="D135" s="1464" t="s">
        <v>1332</v>
      </c>
      <c r="E135" s="1464">
        <v>10</v>
      </c>
      <c r="F135" s="1448">
        <v>600</v>
      </c>
      <c r="G135" s="1451">
        <f t="shared" si="6"/>
        <v>6000</v>
      </c>
      <c r="H135" s="1451">
        <f>'Kit Super TOS'!H375</f>
        <v>16</v>
      </c>
      <c r="I135" s="1550">
        <f t="shared" si="7"/>
        <v>9600</v>
      </c>
    </row>
    <row r="136" spans="2:9">
      <c r="B136" s="1497">
        <v>7.03</v>
      </c>
      <c r="C136" s="1466" t="s">
        <v>1347</v>
      </c>
      <c r="D136" s="1464" t="s">
        <v>1332</v>
      </c>
      <c r="E136" s="1464">
        <v>4</v>
      </c>
      <c r="F136" s="1448">
        <v>200</v>
      </c>
      <c r="G136" s="1451">
        <f t="shared" si="6"/>
        <v>800</v>
      </c>
      <c r="H136" s="1451">
        <f>'Kit Super TOS'!H379</f>
        <v>6</v>
      </c>
      <c r="I136" s="1550">
        <f t="shared" si="7"/>
        <v>1200</v>
      </c>
    </row>
    <row r="137" spans="2:9">
      <c r="B137" s="1497">
        <v>7.04</v>
      </c>
      <c r="C137" s="1466" t="s">
        <v>1346</v>
      </c>
      <c r="D137" s="1464" t="s">
        <v>1332</v>
      </c>
      <c r="E137" s="1464">
        <v>2</v>
      </c>
      <c r="F137" s="1448">
        <v>200</v>
      </c>
      <c r="G137" s="1451">
        <f t="shared" si="6"/>
        <v>400</v>
      </c>
      <c r="H137" s="1451">
        <f>'Kit Super TOS'!H383</f>
        <v>2</v>
      </c>
      <c r="I137" s="1550">
        <f t="shared" si="7"/>
        <v>400</v>
      </c>
    </row>
    <row r="138" spans="2:9">
      <c r="B138" s="1497">
        <v>7.05</v>
      </c>
      <c r="C138" s="1466" t="s">
        <v>1678</v>
      </c>
      <c r="D138" s="1464" t="s">
        <v>1332</v>
      </c>
      <c r="E138" s="1464">
        <v>8</v>
      </c>
      <c r="F138" s="1448">
        <v>300</v>
      </c>
      <c r="G138" s="1451">
        <f t="shared" si="6"/>
        <v>2400</v>
      </c>
      <c r="H138" s="1451">
        <f>'Kit Super TOS'!H387</f>
        <v>8</v>
      </c>
      <c r="I138" s="1550">
        <f t="shared" si="7"/>
        <v>2400</v>
      </c>
    </row>
    <row r="139" spans="2:9">
      <c r="B139" s="1497">
        <v>10</v>
      </c>
      <c r="C139" s="1466" t="s">
        <v>1340</v>
      </c>
      <c r="D139" s="1464"/>
      <c r="E139" s="1464"/>
      <c r="F139" s="1448"/>
      <c r="G139" s="1451">
        <f t="shared" si="6"/>
        <v>0</v>
      </c>
      <c r="H139" s="1451"/>
      <c r="I139" s="1550">
        <f t="shared" si="7"/>
        <v>0</v>
      </c>
    </row>
    <row r="140" spans="2:9">
      <c r="B140" s="1512">
        <v>10.039999999999999</v>
      </c>
      <c r="C140" s="1475" t="s">
        <v>1593</v>
      </c>
      <c r="D140" s="1476" t="s">
        <v>1336</v>
      </c>
      <c r="E140" s="1587">
        <v>34</v>
      </c>
      <c r="F140" s="1588">
        <v>35</v>
      </c>
      <c r="G140" s="1479">
        <f t="shared" si="6"/>
        <v>1190</v>
      </c>
      <c r="H140" s="1588">
        <f>'Kit Super TOS'!H397</f>
        <v>37.4</v>
      </c>
      <c r="I140" s="1553">
        <f t="shared" si="7"/>
        <v>1309</v>
      </c>
    </row>
    <row r="141" spans="2:9">
      <c r="B141" s="2058" t="s">
        <v>1330</v>
      </c>
      <c r="C141" s="2058"/>
      <c r="D141" s="2058"/>
      <c r="E141" s="1481"/>
      <c r="F141" s="1481"/>
      <c r="G141" s="1481">
        <f>SUM(G112:G140)</f>
        <v>49398.75</v>
      </c>
      <c r="H141" s="1481"/>
      <c r="I141" s="1481">
        <f>SUM(I112:I140)</f>
        <v>49881.5</v>
      </c>
    </row>
    <row r="142" spans="2:9">
      <c r="I142" s="401"/>
    </row>
    <row r="143" spans="2:9">
      <c r="I143" s="401"/>
    </row>
    <row r="144" spans="2:9">
      <c r="I144" s="401"/>
    </row>
    <row r="145" spans="9:10">
      <c r="I145" s="401"/>
    </row>
    <row r="146" spans="9:10">
      <c r="I146" s="401"/>
    </row>
    <row r="147" spans="9:10">
      <c r="I147" s="401"/>
      <c r="J147" s="338" t="s">
        <v>1679</v>
      </c>
    </row>
    <row r="148" spans="9:10">
      <c r="I148" s="401"/>
    </row>
    <row r="149" spans="9:10">
      <c r="I149" s="401"/>
    </row>
    <row r="150" spans="9:10">
      <c r="I150" s="401"/>
    </row>
    <row r="151" spans="9:10">
      <c r="I151" s="401"/>
    </row>
    <row r="152" spans="9:10">
      <c r="I152" s="401"/>
    </row>
    <row r="153" spans="9:10">
      <c r="I153" s="401"/>
    </row>
    <row r="154" spans="9:10">
      <c r="I154" s="401"/>
    </row>
    <row r="155" spans="9:10">
      <c r="I155" s="401"/>
    </row>
    <row r="156" spans="9:10">
      <c r="I156" s="401"/>
    </row>
    <row r="157" spans="9:10">
      <c r="I157" s="401"/>
    </row>
    <row r="158" spans="9:10">
      <c r="I158" s="401"/>
    </row>
    <row r="159" spans="9:10">
      <c r="I159" s="401"/>
    </row>
    <row r="160" spans="9:10">
      <c r="I160" s="401"/>
    </row>
    <row r="161" spans="9:9">
      <c r="I161" s="401"/>
    </row>
    <row r="162" spans="9:9">
      <c r="I162" s="401"/>
    </row>
    <row r="163" spans="9:9">
      <c r="I163" s="401"/>
    </row>
    <row r="164" spans="9:9">
      <c r="I164" s="401"/>
    </row>
    <row r="165" spans="9:9">
      <c r="I165" s="401"/>
    </row>
    <row r="166" spans="9:9">
      <c r="I166" s="401"/>
    </row>
    <row r="167" spans="9:9">
      <c r="I167" s="401"/>
    </row>
    <row r="168" spans="9:9">
      <c r="I168" s="401"/>
    </row>
    <row r="169" spans="9:9">
      <c r="I169" s="401"/>
    </row>
    <row r="170" spans="9:9">
      <c r="I170" s="401"/>
    </row>
    <row r="171" spans="9:9">
      <c r="I171" s="401"/>
    </row>
  </sheetData>
  <protectedRanges>
    <protectedRange password="CC12" sqref="F14" name="Range1_1_1_1_1_2"/>
  </protectedRanges>
  <mergeCells count="18">
    <mergeCell ref="E6:G6"/>
    <mergeCell ref="H6:I6"/>
    <mergeCell ref="H3:I3"/>
    <mergeCell ref="B141:D141"/>
    <mergeCell ref="B110:D110"/>
    <mergeCell ref="B98:D98"/>
    <mergeCell ref="B93:D93"/>
    <mergeCell ref="B82:D82"/>
    <mergeCell ref="B31:D31"/>
    <mergeCell ref="B17:D17"/>
    <mergeCell ref="B6:B7"/>
    <mergeCell ref="B71:D71"/>
    <mergeCell ref="B61:D61"/>
    <mergeCell ref="B55:D55"/>
    <mergeCell ref="B51:D51"/>
    <mergeCell ref="B35:D35"/>
    <mergeCell ref="C6:C7"/>
    <mergeCell ref="D6:D7"/>
  </mergeCells>
  <pageMargins left="0.5" right="0.25" top="0.75" bottom="0.75" header="0.25" footer="0.25"/>
  <pageSetup paperSize="9" scale="85" firstPageNumber="120" orientation="portrait" useFirstPageNumber="1" r:id="rId1"/>
  <headerFooter alignWithMargins="0">
    <oddHeader>Page &amp;P of &amp;N</oddHeader>
    <oddFooter>&amp;LContractor: - ______________&amp;CConsultant: - ______________&amp;RClient: - __________________</oddFooter>
  </headerFooter>
  <rowBreaks count="2" manualBreakCount="2">
    <brk id="51" max="9" man="1"/>
    <brk id="93" max="9"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view="pageBreakPreview" zoomScale="85" zoomScaleNormal="115" zoomScaleSheetLayoutView="85" zoomScalePageLayoutView="85" workbookViewId="0">
      <selection activeCell="H1" sqref="H1:I1"/>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331"/>
      <c r="H1" s="821"/>
      <c r="I1" s="1332"/>
      <c r="J1" s="820"/>
    </row>
    <row r="2" spans="1:10">
      <c r="A2" s="834"/>
      <c r="B2" s="2059" t="s">
        <v>1917</v>
      </c>
      <c r="C2" s="2059"/>
      <c r="D2" s="2059"/>
      <c r="E2" s="2059"/>
      <c r="F2" s="819"/>
      <c r="G2" s="1331"/>
      <c r="J2" s="834"/>
    </row>
    <row r="3" spans="1:10">
      <c r="A3" s="834"/>
      <c r="B3" s="2059" t="s">
        <v>1920</v>
      </c>
      <c r="C3" s="2059"/>
      <c r="D3" s="2059"/>
      <c r="E3" s="2059"/>
      <c r="F3" s="2059"/>
      <c r="G3" s="1331"/>
      <c r="H3" s="2060" t="s">
        <v>3207</v>
      </c>
      <c r="I3" s="2060"/>
      <c r="J3" s="834"/>
    </row>
    <row r="4" spans="1:10">
      <c r="A4" s="834"/>
      <c r="B4" s="2059" t="s">
        <v>1921</v>
      </c>
      <c r="C4" s="2059"/>
      <c r="D4" s="2059"/>
      <c r="E4" s="2059"/>
      <c r="F4" s="819"/>
      <c r="G4" s="1331"/>
      <c r="H4" s="2061"/>
      <c r="I4" s="2061"/>
      <c r="J4" s="834"/>
    </row>
    <row r="5" spans="1:10">
      <c r="A5" s="834"/>
      <c r="B5" s="824"/>
      <c r="C5" s="1331"/>
      <c r="D5" s="1331"/>
      <c r="E5" s="825"/>
      <c r="F5" s="819"/>
      <c r="G5" s="1330"/>
      <c r="H5" s="827"/>
      <c r="I5" s="1330"/>
      <c r="J5" s="834"/>
    </row>
    <row r="6" spans="1:10">
      <c r="A6" s="1162"/>
      <c r="B6" s="909" t="s">
        <v>1884</v>
      </c>
      <c r="C6" s="911" t="s">
        <v>526</v>
      </c>
      <c r="D6" s="910" t="s">
        <v>1885</v>
      </c>
      <c r="E6" s="911" t="s">
        <v>1886</v>
      </c>
      <c r="F6" s="909" t="s">
        <v>1884</v>
      </c>
      <c r="G6" s="911" t="s">
        <v>526</v>
      </c>
      <c r="H6" s="910" t="s">
        <v>1885</v>
      </c>
      <c r="I6" s="911" t="s">
        <v>1886</v>
      </c>
      <c r="J6" s="1162"/>
    </row>
    <row r="7" spans="1:10">
      <c r="A7" s="834"/>
      <c r="B7" s="435"/>
      <c r="C7" s="829"/>
      <c r="D7" s="832"/>
      <c r="E7" s="844" t="s">
        <v>1887</v>
      </c>
      <c r="F7" s="435"/>
      <c r="G7" s="829"/>
      <c r="H7" s="832"/>
      <c r="I7" s="844" t="s">
        <v>2916</v>
      </c>
    </row>
    <row r="8" spans="1:10">
      <c r="A8" s="834"/>
      <c r="B8" s="435"/>
      <c r="C8" s="829"/>
      <c r="D8" s="832"/>
      <c r="E8" s="844" t="s">
        <v>1888</v>
      </c>
      <c r="F8" s="435">
        <v>1</v>
      </c>
      <c r="G8" s="829">
        <v>27.9</v>
      </c>
      <c r="H8" s="832"/>
      <c r="I8" s="844" t="s">
        <v>3217</v>
      </c>
    </row>
    <row r="9" spans="1:10">
      <c r="A9" s="834"/>
      <c r="B9" s="435"/>
      <c r="C9" s="829"/>
      <c r="D9" s="832"/>
      <c r="E9" s="844" t="s">
        <v>1889</v>
      </c>
      <c r="F9" s="435"/>
      <c r="G9" s="829">
        <v>12.25</v>
      </c>
      <c r="H9" s="832"/>
      <c r="I9" s="844" t="s">
        <v>3095</v>
      </c>
    </row>
    <row r="10" spans="1:10">
      <c r="A10" s="834"/>
      <c r="B10" s="435"/>
      <c r="C10" s="829"/>
      <c r="D10" s="832"/>
      <c r="E10" s="844" t="s">
        <v>3208</v>
      </c>
      <c r="F10" s="435"/>
      <c r="G10" s="829">
        <v>0.42</v>
      </c>
      <c r="H10" s="832">
        <f>F8*G8*G9*G10</f>
        <v>143.54549999999998</v>
      </c>
      <c r="I10" s="844"/>
    </row>
    <row r="11" spans="1:10">
      <c r="A11" s="834"/>
      <c r="B11" s="435">
        <v>1</v>
      </c>
      <c r="C11" s="829">
        <v>30.7</v>
      </c>
      <c r="D11" s="832"/>
      <c r="E11" s="844" t="s">
        <v>3209</v>
      </c>
      <c r="F11" s="435"/>
      <c r="G11" s="829"/>
      <c r="H11" s="832"/>
      <c r="I11" s="844"/>
    </row>
    <row r="12" spans="1:10" ht="18">
      <c r="A12" s="834"/>
      <c r="B12" s="435"/>
      <c r="C12" s="829">
        <v>15.05</v>
      </c>
      <c r="D12" s="832">
        <f>C12*C11*B11</f>
        <v>462.03500000000003</v>
      </c>
      <c r="E12" s="844" t="s">
        <v>3185</v>
      </c>
      <c r="F12" s="435"/>
      <c r="G12" s="829"/>
      <c r="H12" s="832"/>
      <c r="I12" s="844" t="s">
        <v>1915</v>
      </c>
    </row>
    <row r="13" spans="1:10">
      <c r="A13" s="834"/>
      <c r="B13" s="435"/>
      <c r="C13" s="1335"/>
      <c r="D13" s="1335"/>
      <c r="E13" s="435"/>
      <c r="F13" s="435">
        <v>2</v>
      </c>
      <c r="G13" s="829">
        <v>27.9</v>
      </c>
      <c r="H13" s="832"/>
      <c r="I13" s="844" t="s">
        <v>1916</v>
      </c>
    </row>
    <row r="14" spans="1:10">
      <c r="A14" s="834"/>
      <c r="B14" s="435"/>
      <c r="C14" s="829"/>
      <c r="D14" s="832"/>
      <c r="E14" s="844" t="s">
        <v>1890</v>
      </c>
      <c r="F14" s="435"/>
      <c r="G14" s="829">
        <v>0.4</v>
      </c>
      <c r="H14" s="832"/>
      <c r="I14" s="844" t="s">
        <v>3218</v>
      </c>
    </row>
    <row r="15" spans="1:10">
      <c r="A15" s="834"/>
      <c r="B15" s="435">
        <v>1</v>
      </c>
      <c r="C15" s="829">
        <v>27.4</v>
      </c>
      <c r="D15" s="832"/>
      <c r="E15" s="844" t="s">
        <v>3210</v>
      </c>
      <c r="F15" s="435"/>
      <c r="G15" s="829">
        <v>0.42</v>
      </c>
      <c r="H15" s="832">
        <f>F13*G13*G14*G15</f>
        <v>9.3743999999999996</v>
      </c>
      <c r="I15" s="844"/>
    </row>
    <row r="16" spans="1:10">
      <c r="A16" s="834"/>
      <c r="B16" s="435"/>
      <c r="C16" s="829">
        <v>11.75</v>
      </c>
      <c r="D16" s="832"/>
      <c r="E16" s="844" t="s">
        <v>3087</v>
      </c>
      <c r="F16" s="435"/>
      <c r="G16" s="829"/>
      <c r="H16" s="832"/>
      <c r="I16" s="844"/>
    </row>
    <row r="17" spans="1:10">
      <c r="A17" s="834"/>
      <c r="B17" s="435"/>
      <c r="C17" s="829">
        <v>0.17</v>
      </c>
      <c r="D17" s="832">
        <f>B15*C15*C16*C17</f>
        <v>54.731500000000004</v>
      </c>
      <c r="E17" s="844"/>
      <c r="F17" s="435">
        <v>4</v>
      </c>
      <c r="G17" s="829">
        <v>11.45</v>
      </c>
      <c r="H17" s="832"/>
      <c r="I17" s="844" t="s">
        <v>1914</v>
      </c>
    </row>
    <row r="18" spans="1:10">
      <c r="A18" s="834"/>
      <c r="B18" s="435"/>
      <c r="C18" s="829"/>
      <c r="D18" s="832"/>
      <c r="E18" s="844"/>
      <c r="F18" s="435"/>
      <c r="G18" s="829">
        <v>0.4</v>
      </c>
      <c r="H18" s="832"/>
      <c r="I18" s="844" t="s">
        <v>3097</v>
      </c>
    </row>
    <row r="19" spans="1:10">
      <c r="A19" s="834"/>
      <c r="B19" s="435"/>
      <c r="C19" s="829"/>
      <c r="D19" s="832"/>
      <c r="E19" s="844" t="s">
        <v>1915</v>
      </c>
      <c r="F19" s="435"/>
      <c r="G19" s="829">
        <v>0.42</v>
      </c>
      <c r="H19" s="832">
        <f>F17*G17*G18*G19</f>
        <v>7.6943999999999999</v>
      </c>
      <c r="I19" s="844"/>
    </row>
    <row r="20" spans="1:10">
      <c r="A20" s="834"/>
      <c r="B20" s="435">
        <v>2</v>
      </c>
      <c r="C20" s="829">
        <v>27.4</v>
      </c>
      <c r="D20" s="832"/>
      <c r="E20" s="844" t="s">
        <v>1916</v>
      </c>
      <c r="F20" s="435"/>
      <c r="G20" s="829"/>
      <c r="H20" s="832"/>
      <c r="I20" s="844"/>
    </row>
    <row r="21" spans="1:10" ht="18">
      <c r="A21" s="834"/>
      <c r="B21" s="435"/>
      <c r="C21" s="829">
        <v>0.9</v>
      </c>
      <c r="D21" s="832"/>
      <c r="E21" s="844" t="s">
        <v>3210</v>
      </c>
      <c r="F21" s="435"/>
      <c r="G21" s="829"/>
      <c r="H21" s="832">
        <f>H10-H15-H19</f>
        <v>126.47669999999997</v>
      </c>
      <c r="I21" s="844" t="s">
        <v>3229</v>
      </c>
    </row>
    <row r="22" spans="1:10">
      <c r="A22" s="834"/>
      <c r="B22" s="435"/>
      <c r="C22" s="829">
        <v>0.17</v>
      </c>
      <c r="D22" s="832">
        <f>B20*C20*C21*C22</f>
        <v>8.3844000000000012</v>
      </c>
      <c r="E22" s="844"/>
      <c r="F22" s="1335"/>
      <c r="G22" s="848"/>
      <c r="H22" s="843"/>
      <c r="I22" s="435"/>
    </row>
    <row r="23" spans="1:10">
      <c r="A23" s="834"/>
      <c r="B23" s="435"/>
      <c r="C23" s="829"/>
      <c r="D23" s="832"/>
      <c r="E23" s="844"/>
      <c r="F23" s="435"/>
      <c r="G23" s="829"/>
      <c r="H23" s="832"/>
      <c r="I23" s="844" t="s">
        <v>2921</v>
      </c>
      <c r="J23" s="834"/>
    </row>
    <row r="24" spans="1:10">
      <c r="A24" s="834"/>
      <c r="B24" s="435">
        <v>4</v>
      </c>
      <c r="C24" s="829">
        <v>9.9499999999999993</v>
      </c>
      <c r="D24" s="832"/>
      <c r="E24" s="844" t="s">
        <v>1914</v>
      </c>
      <c r="F24" s="435">
        <v>1</v>
      </c>
      <c r="G24" s="829">
        <v>30.7</v>
      </c>
      <c r="H24" s="832"/>
      <c r="I24" s="844"/>
      <c r="J24" s="834"/>
    </row>
    <row r="25" spans="1:10">
      <c r="A25" s="834"/>
      <c r="B25" s="435"/>
      <c r="C25" s="829">
        <v>0.9</v>
      </c>
      <c r="D25" s="832"/>
      <c r="E25" s="844" t="s">
        <v>3211</v>
      </c>
      <c r="F25" s="435"/>
      <c r="G25" s="829">
        <v>15.05</v>
      </c>
      <c r="H25" s="832"/>
      <c r="I25" s="844"/>
      <c r="J25" s="834"/>
    </row>
    <row r="26" spans="1:10">
      <c r="A26" s="834"/>
      <c r="B26" s="435"/>
      <c r="C26" s="829">
        <v>0.17</v>
      </c>
      <c r="D26" s="832">
        <f>B24*C24*C25*C26</f>
        <v>6.0894000000000004</v>
      </c>
      <c r="E26" s="844"/>
      <c r="F26" s="435"/>
      <c r="G26" s="829">
        <v>0.3</v>
      </c>
      <c r="H26" s="832">
        <f>F24*G24*G25*G26</f>
        <v>138.6105</v>
      </c>
      <c r="I26" s="844" t="s">
        <v>1936</v>
      </c>
      <c r="J26" s="834"/>
    </row>
    <row r="27" spans="1:10">
      <c r="A27" s="834"/>
      <c r="B27" s="435"/>
      <c r="C27" s="829"/>
      <c r="D27" s="832"/>
      <c r="E27" s="844"/>
      <c r="F27" s="435"/>
      <c r="G27" s="829"/>
      <c r="H27" s="832">
        <f>D28</f>
        <v>40.257700000000007</v>
      </c>
      <c r="I27" s="844" t="s">
        <v>1937</v>
      </c>
      <c r="J27" s="834"/>
    </row>
    <row r="28" spans="1:10" ht="18">
      <c r="A28" s="834"/>
      <c r="B28" s="435"/>
      <c r="C28" s="829"/>
      <c r="D28" s="832">
        <f>D17-D22-D26</f>
        <v>40.257700000000007</v>
      </c>
      <c r="E28" s="844" t="s">
        <v>3162</v>
      </c>
      <c r="F28" s="435"/>
      <c r="G28" s="829"/>
      <c r="H28" s="832">
        <f>D39</f>
        <v>122.31450000000001</v>
      </c>
      <c r="I28" s="844" t="s">
        <v>1938</v>
      </c>
      <c r="J28" s="834"/>
    </row>
    <row r="29" spans="1:10">
      <c r="A29" s="834"/>
      <c r="B29" s="435"/>
      <c r="C29" s="1335"/>
      <c r="D29" s="1335"/>
      <c r="E29" s="435"/>
      <c r="F29" s="435"/>
      <c r="G29" s="829"/>
      <c r="H29" s="832">
        <f>D62</f>
        <v>95.517750000000007</v>
      </c>
      <c r="I29" s="844" t="s">
        <v>1915</v>
      </c>
      <c r="J29" s="834"/>
    </row>
    <row r="30" spans="1:10" ht="18">
      <c r="A30" s="834"/>
      <c r="B30" s="435"/>
      <c r="C30" s="829"/>
      <c r="D30" s="832"/>
      <c r="E30" s="844" t="s">
        <v>2192</v>
      </c>
      <c r="F30" s="435"/>
      <c r="G30" s="829"/>
      <c r="H30" s="832">
        <f>H26+H27+H28-H29</f>
        <v>205.66495</v>
      </c>
      <c r="I30" s="844" t="s">
        <v>3161</v>
      </c>
      <c r="J30" s="834"/>
    </row>
    <row r="31" spans="1:10">
      <c r="A31" s="834"/>
      <c r="B31" s="435">
        <v>4</v>
      </c>
      <c r="C31" s="829">
        <v>29.2</v>
      </c>
      <c r="D31" s="832"/>
      <c r="E31" s="844" t="s">
        <v>1916</v>
      </c>
      <c r="F31" s="435"/>
      <c r="G31" s="829"/>
      <c r="H31" s="832"/>
      <c r="I31" s="844"/>
      <c r="J31" s="834"/>
    </row>
    <row r="32" spans="1:10">
      <c r="A32" s="834"/>
      <c r="B32" s="435"/>
      <c r="C32" s="829">
        <v>0.9</v>
      </c>
      <c r="D32" s="832"/>
      <c r="E32" s="844" t="s">
        <v>3212</v>
      </c>
      <c r="F32" s="435"/>
      <c r="G32" s="829"/>
      <c r="H32" s="832"/>
      <c r="I32" s="844" t="s">
        <v>2557</v>
      </c>
      <c r="J32" s="834"/>
    </row>
    <row r="33" spans="1:10" ht="18.75" customHeight="1">
      <c r="A33" s="834"/>
      <c r="B33" s="435"/>
      <c r="C33" s="829">
        <v>0.77</v>
      </c>
      <c r="D33" s="832">
        <f>B31*C31*C32*C33</f>
        <v>80.942400000000006</v>
      </c>
      <c r="E33" s="844"/>
      <c r="F33" s="435"/>
      <c r="G33" s="829"/>
      <c r="H33" s="832"/>
      <c r="I33" s="844"/>
      <c r="J33" s="834"/>
    </row>
    <row r="34" spans="1:10">
      <c r="A34" s="834"/>
      <c r="B34" s="435"/>
      <c r="C34" s="829"/>
      <c r="D34" s="832"/>
      <c r="E34" s="844"/>
      <c r="F34" s="435">
        <v>1</v>
      </c>
      <c r="G34" s="829">
        <v>28.2</v>
      </c>
      <c r="H34" s="832"/>
      <c r="I34" s="844" t="s">
        <v>3221</v>
      </c>
      <c r="J34" s="834"/>
    </row>
    <row r="35" spans="1:10">
      <c r="A35" s="834"/>
      <c r="B35" s="435">
        <v>6</v>
      </c>
      <c r="C35" s="829">
        <v>9.9499999999999993</v>
      </c>
      <c r="D35" s="832"/>
      <c r="E35" s="844" t="s">
        <v>1914</v>
      </c>
      <c r="F35" s="435"/>
      <c r="G35" s="829">
        <v>12.55</v>
      </c>
      <c r="H35" s="832">
        <f>F34*G34*G35</f>
        <v>353.91</v>
      </c>
      <c r="I35" s="844"/>
      <c r="J35" s="834"/>
    </row>
    <row r="36" spans="1:10" ht="18.75" customHeight="1">
      <c r="A36" s="834"/>
      <c r="B36" s="435"/>
      <c r="C36" s="829">
        <v>0.9</v>
      </c>
      <c r="D36" s="832"/>
      <c r="E36" s="844" t="s">
        <v>3090</v>
      </c>
      <c r="F36" s="435"/>
      <c r="G36" s="829"/>
      <c r="H36" s="832"/>
      <c r="I36" s="844"/>
      <c r="J36" s="834"/>
    </row>
    <row r="37" spans="1:10">
      <c r="A37" s="834"/>
      <c r="B37" s="435"/>
      <c r="C37" s="829">
        <v>0.77</v>
      </c>
      <c r="D37" s="832">
        <f>B35*C35*C36*C37</f>
        <v>41.372099999999996</v>
      </c>
      <c r="E37" s="844" t="s">
        <v>2195</v>
      </c>
      <c r="F37" s="435"/>
      <c r="G37" s="829"/>
      <c r="H37" s="832"/>
      <c r="I37" s="844" t="s">
        <v>1915</v>
      </c>
      <c r="J37" s="834"/>
    </row>
    <row r="38" spans="1:10">
      <c r="A38" s="834"/>
      <c r="B38" s="435"/>
      <c r="C38" s="829"/>
      <c r="D38" s="832"/>
      <c r="E38" s="844"/>
      <c r="F38" s="435">
        <v>2</v>
      </c>
      <c r="G38" s="829">
        <v>28.2</v>
      </c>
      <c r="H38" s="832"/>
      <c r="I38" s="844" t="s">
        <v>3222</v>
      </c>
      <c r="J38" s="834"/>
    </row>
    <row r="39" spans="1:10" ht="18">
      <c r="A39" s="834"/>
      <c r="B39" s="435"/>
      <c r="C39" s="829"/>
      <c r="D39" s="832">
        <f>D33+D37</f>
        <v>122.31450000000001</v>
      </c>
      <c r="E39" s="844" t="s">
        <v>3230</v>
      </c>
      <c r="F39" s="435"/>
      <c r="G39" s="829">
        <v>0.25</v>
      </c>
      <c r="H39" s="832">
        <f>F38*G38*G39</f>
        <v>14.1</v>
      </c>
      <c r="I39" s="844"/>
      <c r="J39" s="834"/>
    </row>
    <row r="40" spans="1:10">
      <c r="A40" s="834"/>
      <c r="B40" s="435"/>
      <c r="C40" s="1335"/>
      <c r="D40" s="1335"/>
      <c r="E40" s="435"/>
      <c r="F40" s="435"/>
      <c r="G40" s="829"/>
      <c r="H40" s="832"/>
      <c r="I40" s="844"/>
      <c r="J40" s="834"/>
    </row>
    <row r="41" spans="1:10">
      <c r="A41" s="834"/>
      <c r="B41" s="435"/>
      <c r="C41" s="829"/>
      <c r="D41" s="832"/>
      <c r="E41" s="844" t="s">
        <v>3213</v>
      </c>
      <c r="F41" s="435">
        <v>4</v>
      </c>
      <c r="G41" s="829">
        <v>12.05</v>
      </c>
      <c r="H41" s="832"/>
      <c r="I41" s="844" t="s">
        <v>3100</v>
      </c>
      <c r="J41" s="834"/>
    </row>
    <row r="42" spans="1:10">
      <c r="A42" s="834"/>
      <c r="B42" s="435"/>
      <c r="C42" s="829"/>
      <c r="D42" s="832"/>
      <c r="E42" s="844" t="s">
        <v>2907</v>
      </c>
      <c r="F42" s="435"/>
      <c r="G42" s="829">
        <v>0.25</v>
      </c>
      <c r="H42" s="832">
        <f>F41*G41*G42</f>
        <v>12.05</v>
      </c>
      <c r="I42" s="844" t="s">
        <v>3101</v>
      </c>
      <c r="J42" s="834"/>
    </row>
    <row r="43" spans="1:10">
      <c r="A43" s="834"/>
      <c r="B43" s="435">
        <v>4</v>
      </c>
      <c r="C43" s="829">
        <v>29.2</v>
      </c>
      <c r="D43" s="832"/>
      <c r="E43" s="844" t="s">
        <v>1929</v>
      </c>
      <c r="F43" s="435"/>
      <c r="G43" s="829"/>
      <c r="H43" s="832"/>
      <c r="I43" s="844"/>
      <c r="J43" s="834"/>
    </row>
    <row r="44" spans="1:10" ht="18">
      <c r="A44" s="834"/>
      <c r="B44" s="435"/>
      <c r="C44" s="829">
        <v>0.9</v>
      </c>
      <c r="D44" s="832"/>
      <c r="E44" s="844" t="s">
        <v>3214</v>
      </c>
      <c r="F44" s="435"/>
      <c r="G44" s="829"/>
      <c r="H44" s="832">
        <f>H35-H39-H42</f>
        <v>327.76</v>
      </c>
      <c r="I44" s="844" t="s">
        <v>3182</v>
      </c>
      <c r="J44" s="834"/>
    </row>
    <row r="45" spans="1:10">
      <c r="A45" s="834"/>
      <c r="B45" s="435"/>
      <c r="C45" s="829">
        <v>0.54</v>
      </c>
      <c r="D45" s="832">
        <f>B43*C43*C44*C45</f>
        <v>56.764800000000008</v>
      </c>
      <c r="E45" s="844"/>
      <c r="F45" s="435"/>
      <c r="G45" s="829"/>
      <c r="H45" s="832"/>
      <c r="I45" s="844"/>
      <c r="J45" s="834"/>
    </row>
    <row r="46" spans="1:10">
      <c r="A46" s="834"/>
      <c r="B46" s="435"/>
      <c r="C46" s="829"/>
      <c r="D46" s="832"/>
      <c r="E46" s="844"/>
      <c r="F46" s="435"/>
      <c r="G46" s="829"/>
      <c r="H46" s="832"/>
      <c r="I46" s="844" t="s">
        <v>1894</v>
      </c>
      <c r="J46" s="834"/>
    </row>
    <row r="47" spans="1:10">
      <c r="A47" s="834"/>
      <c r="B47" s="435">
        <v>6</v>
      </c>
      <c r="C47" s="829">
        <v>9.9499999999999993</v>
      </c>
      <c r="D47" s="832"/>
      <c r="E47" s="844" t="s">
        <v>3000</v>
      </c>
      <c r="F47" s="435"/>
      <c r="G47" s="829"/>
      <c r="H47" s="832"/>
      <c r="I47" s="844" t="s">
        <v>1939</v>
      </c>
      <c r="J47" s="834"/>
    </row>
    <row r="48" spans="1:10">
      <c r="A48" s="834"/>
      <c r="B48" s="435"/>
      <c r="C48" s="829">
        <v>0.9</v>
      </c>
      <c r="D48" s="832"/>
      <c r="E48" s="844" t="s">
        <v>3215</v>
      </c>
      <c r="F48" s="435">
        <v>4</v>
      </c>
      <c r="G48" s="829">
        <v>28.7</v>
      </c>
      <c r="H48" s="832"/>
      <c r="I48" s="844" t="s">
        <v>3223</v>
      </c>
      <c r="J48" s="834"/>
    </row>
    <row r="49" spans="1:10">
      <c r="A49" s="834"/>
      <c r="B49" s="435"/>
      <c r="C49" s="829">
        <v>0.54</v>
      </c>
      <c r="D49" s="832">
        <f>B47*C47*C48*C49</f>
        <v>29.014199999999999</v>
      </c>
      <c r="E49" s="844">
        <f>13.55-(4*0.9)</f>
        <v>9.9500000000000011</v>
      </c>
      <c r="F49" s="435"/>
      <c r="G49" s="829">
        <v>0.4</v>
      </c>
      <c r="H49" s="832">
        <f>G49*G48*F48</f>
        <v>45.92</v>
      </c>
      <c r="I49" s="844"/>
      <c r="J49" s="834"/>
    </row>
    <row r="50" spans="1:10">
      <c r="A50" s="834"/>
      <c r="B50" s="435"/>
      <c r="C50" s="1335"/>
      <c r="D50" s="1335"/>
      <c r="E50" s="435"/>
      <c r="F50" s="435"/>
      <c r="G50" s="829"/>
      <c r="H50" s="832"/>
      <c r="I50" s="844"/>
      <c r="J50" s="834"/>
    </row>
    <row r="51" spans="1:10">
      <c r="A51" s="834"/>
      <c r="B51" s="435"/>
      <c r="C51" s="829"/>
      <c r="D51" s="832"/>
      <c r="E51" s="844" t="s">
        <v>2200</v>
      </c>
      <c r="F51" s="435">
        <v>6</v>
      </c>
      <c r="G51" s="829">
        <v>11.45</v>
      </c>
      <c r="H51" s="832"/>
      <c r="I51" s="844" t="s">
        <v>3104</v>
      </c>
      <c r="J51" s="834"/>
    </row>
    <row r="52" spans="1:10">
      <c r="A52" s="834"/>
      <c r="B52" s="435"/>
      <c r="C52" s="829"/>
      <c r="D52" s="832"/>
      <c r="E52" s="844" t="s">
        <v>1916</v>
      </c>
      <c r="F52" s="435"/>
      <c r="G52" s="829">
        <v>0.4</v>
      </c>
      <c r="H52" s="832">
        <f>G52*G51*F51</f>
        <v>27.48</v>
      </c>
      <c r="I52" s="844"/>
      <c r="J52" s="834"/>
    </row>
    <row r="53" spans="1:10">
      <c r="A53" s="834"/>
      <c r="B53" s="435">
        <v>6</v>
      </c>
      <c r="C53" s="829">
        <v>26.7</v>
      </c>
      <c r="D53" s="832"/>
      <c r="E53" s="844" t="s">
        <v>3216</v>
      </c>
      <c r="F53" s="435"/>
      <c r="G53" s="829"/>
      <c r="H53" s="832"/>
      <c r="I53" s="844"/>
      <c r="J53" s="834"/>
    </row>
    <row r="54" spans="1:10" ht="18">
      <c r="A54" s="834"/>
      <c r="B54" s="435"/>
      <c r="C54" s="829">
        <v>0.25</v>
      </c>
      <c r="D54" s="832"/>
      <c r="E54" s="844" t="s">
        <v>2913</v>
      </c>
      <c r="F54" s="435"/>
      <c r="G54" s="829"/>
      <c r="H54" s="832">
        <f>H52+H49</f>
        <v>73.400000000000006</v>
      </c>
      <c r="I54" s="844" t="s">
        <v>3189</v>
      </c>
      <c r="J54" s="834"/>
    </row>
    <row r="55" spans="1:10">
      <c r="A55" s="834"/>
      <c r="B55" s="435"/>
      <c r="C55" s="829">
        <v>0.15</v>
      </c>
      <c r="D55" s="832">
        <f>B53*C53*C54*C55</f>
        <v>6.0074999999999994</v>
      </c>
      <c r="E55" s="844"/>
      <c r="F55" s="435"/>
      <c r="G55" s="829"/>
      <c r="H55" s="832"/>
      <c r="I55" s="844"/>
      <c r="J55" s="834"/>
    </row>
    <row r="56" spans="1:10">
      <c r="A56" s="834"/>
      <c r="B56" s="435"/>
      <c r="C56" s="829"/>
      <c r="D56" s="832"/>
      <c r="E56" s="844"/>
      <c r="F56" s="435"/>
      <c r="G56" s="829"/>
      <c r="H56" s="832"/>
      <c r="I56" s="844"/>
      <c r="J56" s="834"/>
    </row>
    <row r="57" spans="1:10">
      <c r="A57" s="834"/>
      <c r="B57" s="435"/>
      <c r="C57" s="829"/>
      <c r="D57" s="832"/>
      <c r="E57" s="844" t="s">
        <v>1914</v>
      </c>
      <c r="F57" s="435"/>
      <c r="G57" s="829"/>
      <c r="H57" s="832"/>
      <c r="I57" s="844"/>
      <c r="J57" s="834"/>
    </row>
    <row r="58" spans="1:10">
      <c r="A58" s="834"/>
      <c r="B58" s="435">
        <v>10</v>
      </c>
      <c r="C58" s="829">
        <v>9.9499999999999993</v>
      </c>
      <c r="D58" s="832"/>
      <c r="E58" s="844" t="s">
        <v>3093</v>
      </c>
      <c r="F58" s="435"/>
      <c r="G58" s="829"/>
      <c r="H58" s="832"/>
      <c r="I58" s="844"/>
      <c r="J58" s="834"/>
    </row>
    <row r="59" spans="1:10">
      <c r="A59" s="834"/>
      <c r="B59" s="435"/>
      <c r="C59" s="829">
        <v>0.25</v>
      </c>
      <c r="D59" s="832"/>
      <c r="E59" s="844" t="s">
        <v>2915</v>
      </c>
      <c r="F59" s="435"/>
      <c r="G59" s="829"/>
      <c r="H59" s="832"/>
      <c r="I59" s="844"/>
      <c r="J59" s="834"/>
    </row>
    <row r="60" spans="1:10">
      <c r="A60" s="834"/>
      <c r="B60" s="435"/>
      <c r="C60" s="829">
        <v>0.15</v>
      </c>
      <c r="D60" s="832">
        <f>B58*C58*C59*C60</f>
        <v>3.7312499999999997</v>
      </c>
      <c r="E60" s="844"/>
      <c r="F60" s="435"/>
      <c r="G60" s="829"/>
      <c r="H60" s="832"/>
      <c r="I60" s="844"/>
      <c r="J60" s="834"/>
    </row>
    <row r="61" spans="1:10">
      <c r="A61" s="834"/>
      <c r="B61" s="435"/>
      <c r="C61" s="829"/>
      <c r="D61" s="832"/>
      <c r="E61" s="844"/>
      <c r="F61" s="435"/>
      <c r="G61" s="829"/>
      <c r="H61" s="832"/>
      <c r="I61" s="844"/>
      <c r="J61" s="834"/>
    </row>
    <row r="62" spans="1:10" ht="18">
      <c r="A62" s="834"/>
      <c r="B62" s="435"/>
      <c r="C62" s="829"/>
      <c r="D62" s="832">
        <f>D45+D49+D55+D60</f>
        <v>95.517750000000007</v>
      </c>
      <c r="E62" s="844" t="s">
        <v>3231</v>
      </c>
      <c r="F62" s="435"/>
      <c r="G62" s="829"/>
      <c r="H62" s="832"/>
      <c r="I62" s="844"/>
      <c r="J62" s="834"/>
    </row>
    <row r="63" spans="1:10">
      <c r="A63" s="834"/>
      <c r="B63" s="435"/>
      <c r="C63" s="829"/>
      <c r="D63" s="832"/>
      <c r="E63" s="844"/>
      <c r="F63" s="435"/>
      <c r="G63" s="829"/>
      <c r="H63" s="832"/>
      <c r="I63" s="844"/>
      <c r="J63" s="834"/>
    </row>
    <row r="64" spans="1:10">
      <c r="A64" s="834"/>
      <c r="B64" s="109"/>
      <c r="C64" s="850"/>
      <c r="D64" s="851"/>
      <c r="E64" s="974"/>
      <c r="F64" s="109"/>
      <c r="G64" s="850"/>
      <c r="H64" s="851"/>
      <c r="I64" s="974"/>
      <c r="J64" s="834"/>
    </row>
    <row r="65" spans="1:10">
      <c r="A65" s="1162"/>
      <c r="B65" s="909" t="s">
        <v>1884</v>
      </c>
      <c r="C65" s="911" t="s">
        <v>526</v>
      </c>
      <c r="D65" s="910" t="s">
        <v>1885</v>
      </c>
      <c r="E65" s="911" t="s">
        <v>1886</v>
      </c>
      <c r="F65" s="909" t="s">
        <v>1884</v>
      </c>
      <c r="G65" s="911" t="s">
        <v>526</v>
      </c>
      <c r="H65" s="910" t="s">
        <v>1885</v>
      </c>
      <c r="I65" s="911" t="s">
        <v>1886</v>
      </c>
      <c r="J65" s="1162"/>
    </row>
    <row r="66" spans="1:10">
      <c r="A66" s="834"/>
      <c r="B66" s="435"/>
      <c r="C66" s="829"/>
      <c r="D66" s="832"/>
      <c r="E66" s="844" t="s">
        <v>3022</v>
      </c>
      <c r="F66" s="435"/>
      <c r="G66" s="829"/>
      <c r="H66" s="832"/>
      <c r="I66" s="844" t="s">
        <v>3030</v>
      </c>
    </row>
    <row r="67" spans="1:10">
      <c r="A67" s="834"/>
      <c r="B67" s="435">
        <v>1</v>
      </c>
      <c r="C67" s="829">
        <v>28.2</v>
      </c>
      <c r="D67" s="832"/>
      <c r="E67" s="844" t="s">
        <v>3225</v>
      </c>
      <c r="F67" s="435"/>
      <c r="G67" s="829"/>
      <c r="H67" s="832"/>
      <c r="I67" s="844" t="s">
        <v>1916</v>
      </c>
    </row>
    <row r="68" spans="1:10">
      <c r="A68" s="834"/>
      <c r="B68" s="435"/>
      <c r="C68" s="829">
        <v>12.55</v>
      </c>
      <c r="D68" s="832">
        <f>B67*C67*C68</f>
        <v>353.91</v>
      </c>
      <c r="E68" s="844" t="s">
        <v>3106</v>
      </c>
      <c r="F68" s="435">
        <v>6</v>
      </c>
      <c r="G68" s="829">
        <v>27.2</v>
      </c>
      <c r="H68" s="832"/>
      <c r="I68" s="844" t="s">
        <v>3224</v>
      </c>
    </row>
    <row r="69" spans="1:10">
      <c r="A69" s="834"/>
      <c r="B69" s="435"/>
      <c r="C69" s="829"/>
      <c r="D69" s="832"/>
      <c r="E69" s="844"/>
      <c r="F69" s="435"/>
      <c r="G69" s="829"/>
      <c r="H69" s="832">
        <f>F68*G68</f>
        <v>163.19999999999999</v>
      </c>
      <c r="I69" s="844"/>
    </row>
    <row r="70" spans="1:10">
      <c r="A70" s="834"/>
      <c r="B70" s="435"/>
      <c r="C70" s="829"/>
      <c r="D70" s="832"/>
      <c r="E70" s="844" t="s">
        <v>1915</v>
      </c>
      <c r="F70" s="435"/>
      <c r="G70" s="829"/>
      <c r="H70" s="832"/>
      <c r="I70" s="844" t="s">
        <v>1914</v>
      </c>
    </row>
    <row r="71" spans="1:10">
      <c r="A71" s="834"/>
      <c r="B71" s="435"/>
      <c r="C71" s="829"/>
      <c r="D71" s="832"/>
      <c r="E71" s="844" t="s">
        <v>1916</v>
      </c>
      <c r="F71" s="435">
        <v>8</v>
      </c>
      <c r="G71" s="829">
        <v>12.05</v>
      </c>
      <c r="H71" s="832"/>
      <c r="I71" s="844" t="s">
        <v>3107</v>
      </c>
    </row>
    <row r="72" spans="1:10">
      <c r="A72" s="834"/>
      <c r="B72" s="435">
        <v>2</v>
      </c>
      <c r="C72" s="829">
        <v>28.2</v>
      </c>
      <c r="D72" s="832"/>
      <c r="E72" s="844" t="s">
        <v>3225</v>
      </c>
      <c r="F72" s="435"/>
      <c r="G72" s="829"/>
      <c r="H72" s="832">
        <f>F71*G71</f>
        <v>96.4</v>
      </c>
      <c r="I72" s="844"/>
    </row>
    <row r="73" spans="1:10">
      <c r="A73" s="834"/>
      <c r="B73" s="435"/>
      <c r="C73" s="829">
        <v>0.25</v>
      </c>
      <c r="D73" s="832">
        <f>B72*C72*C73</f>
        <v>14.1</v>
      </c>
      <c r="E73" s="844"/>
      <c r="F73" s="435"/>
      <c r="G73" s="829"/>
      <c r="H73" s="832"/>
      <c r="I73" s="844"/>
    </row>
    <row r="74" spans="1:10">
      <c r="A74" s="834"/>
      <c r="B74" s="435"/>
      <c r="C74" s="829"/>
      <c r="D74" s="832"/>
      <c r="E74" s="844" t="s">
        <v>1914</v>
      </c>
      <c r="F74" s="435"/>
      <c r="G74" s="829"/>
      <c r="H74" s="832">
        <f>H72+H69</f>
        <v>259.60000000000002</v>
      </c>
      <c r="I74" s="844" t="s">
        <v>2936</v>
      </c>
    </row>
    <row r="75" spans="1:10">
      <c r="A75" s="834"/>
      <c r="B75" s="435">
        <v>4</v>
      </c>
      <c r="C75" s="829">
        <v>12.05</v>
      </c>
      <c r="D75" s="832"/>
      <c r="E75" s="844" t="s">
        <v>3107</v>
      </c>
      <c r="F75" s="435"/>
      <c r="G75" s="829"/>
      <c r="H75" s="832"/>
      <c r="I75" s="844"/>
    </row>
    <row r="76" spans="1:10" ht="18.75" customHeight="1">
      <c r="A76" s="834"/>
      <c r="B76" s="435"/>
      <c r="C76" s="829">
        <v>0.25</v>
      </c>
      <c r="D76" s="832">
        <f>B75*C75*C76</f>
        <v>12.05</v>
      </c>
      <c r="E76" s="844"/>
      <c r="F76" s="435"/>
      <c r="G76" s="829"/>
      <c r="H76" s="832"/>
      <c r="I76" s="844" t="s">
        <v>1843</v>
      </c>
    </row>
    <row r="77" spans="1:10">
      <c r="A77" s="834"/>
      <c r="B77" s="435"/>
      <c r="C77" s="829"/>
      <c r="D77" s="832"/>
      <c r="E77" s="844"/>
      <c r="F77" s="435"/>
      <c r="G77" s="829"/>
      <c r="H77" s="832"/>
      <c r="I77" s="844" t="s">
        <v>1957</v>
      </c>
    </row>
    <row r="78" spans="1:10" ht="18">
      <c r="A78" s="834"/>
      <c r="B78" s="435"/>
      <c r="C78" s="829"/>
      <c r="D78" s="832">
        <f>D68-D73-D76</f>
        <v>327.76</v>
      </c>
      <c r="E78" s="844" t="s">
        <v>3188</v>
      </c>
      <c r="F78" s="435">
        <v>4</v>
      </c>
      <c r="G78" s="829">
        <v>28.7</v>
      </c>
      <c r="H78" s="832"/>
      <c r="I78" s="844" t="s">
        <v>1951</v>
      </c>
    </row>
    <row r="79" spans="1:10">
      <c r="A79" s="834"/>
      <c r="B79" s="435"/>
      <c r="C79" s="829"/>
      <c r="D79" s="832"/>
      <c r="E79" s="844"/>
      <c r="F79" s="435"/>
      <c r="G79" s="829">
        <v>0.4</v>
      </c>
      <c r="H79" s="832"/>
      <c r="I79" s="844" t="s">
        <v>3223</v>
      </c>
    </row>
    <row r="80" spans="1:10">
      <c r="A80" s="834"/>
      <c r="B80" s="435"/>
      <c r="C80" s="829"/>
      <c r="D80" s="832"/>
      <c r="E80" s="844"/>
      <c r="F80" s="435"/>
      <c r="G80" s="829">
        <v>0.56999999999999995</v>
      </c>
      <c r="H80" s="832">
        <f>G80*G79*G78*F78</f>
        <v>26.174399999999999</v>
      </c>
      <c r="I80" s="844"/>
    </row>
    <row r="81" spans="1:10">
      <c r="A81" s="834"/>
      <c r="B81" s="435"/>
      <c r="C81" s="829"/>
      <c r="D81" s="832"/>
      <c r="E81" s="844" t="s">
        <v>1942</v>
      </c>
      <c r="F81" s="435"/>
      <c r="G81" s="829"/>
      <c r="H81" s="832"/>
      <c r="I81" s="844"/>
    </row>
    <row r="82" spans="1:10">
      <c r="A82" s="834"/>
      <c r="B82" s="435">
        <v>4</v>
      </c>
      <c r="C82" s="829">
        <v>28.7</v>
      </c>
      <c r="D82" s="832"/>
      <c r="E82" s="844" t="s">
        <v>3219</v>
      </c>
      <c r="F82" s="435">
        <v>6</v>
      </c>
      <c r="G82" s="829">
        <v>11.45</v>
      </c>
      <c r="H82" s="832"/>
      <c r="I82" s="844" t="s">
        <v>1952</v>
      </c>
      <c r="J82" s="834"/>
    </row>
    <row r="83" spans="1:10">
      <c r="A83" s="834"/>
      <c r="B83" s="435"/>
      <c r="C83" s="829">
        <v>0.25</v>
      </c>
      <c r="D83" s="832"/>
      <c r="E83" s="844"/>
      <c r="F83" s="435"/>
      <c r="G83" s="829">
        <v>0.4</v>
      </c>
      <c r="H83" s="832"/>
      <c r="I83" s="844" t="s">
        <v>3104</v>
      </c>
      <c r="J83" s="834"/>
    </row>
    <row r="84" spans="1:10">
      <c r="A84" s="834"/>
      <c r="B84" s="435"/>
      <c r="C84" s="829">
        <v>0.4</v>
      </c>
      <c r="D84" s="832">
        <f>B82*C82*C83*C84</f>
        <v>11.48</v>
      </c>
      <c r="E84" s="844"/>
      <c r="F84" s="435"/>
      <c r="G84" s="829">
        <v>0.56999999999999995</v>
      </c>
      <c r="H84" s="832">
        <f>G84*G83*G82*F82</f>
        <v>15.663599999999999</v>
      </c>
      <c r="I84" s="844"/>
      <c r="J84" s="834"/>
    </row>
    <row r="85" spans="1:10" ht="18">
      <c r="A85" s="834"/>
      <c r="B85" s="435"/>
      <c r="C85" s="1335"/>
      <c r="D85" s="1335"/>
      <c r="E85" s="435"/>
      <c r="F85" s="435"/>
      <c r="G85" s="829"/>
      <c r="H85" s="832">
        <f>H80+H84</f>
        <v>41.837999999999994</v>
      </c>
      <c r="I85" s="844" t="s">
        <v>3232</v>
      </c>
      <c r="J85" s="834"/>
    </row>
    <row r="86" spans="1:10">
      <c r="A86" s="834"/>
      <c r="B86" s="435">
        <v>6</v>
      </c>
      <c r="C86" s="829">
        <v>12.05</v>
      </c>
      <c r="D86" s="832"/>
      <c r="E86" s="844" t="s">
        <v>3109</v>
      </c>
      <c r="F86" s="435"/>
      <c r="G86" s="829"/>
      <c r="H86" s="832"/>
      <c r="I86" s="844" t="s">
        <v>1953</v>
      </c>
      <c r="J86" s="834"/>
    </row>
    <row r="87" spans="1:10" ht="19.5" customHeight="1">
      <c r="A87" s="834"/>
      <c r="B87" s="435"/>
      <c r="C87" s="829">
        <v>0.25</v>
      </c>
      <c r="D87" s="832"/>
      <c r="E87" s="844"/>
      <c r="F87" s="435">
        <v>1</v>
      </c>
      <c r="G87" s="829">
        <v>24.35</v>
      </c>
      <c r="H87" s="832"/>
      <c r="I87" s="844" t="s">
        <v>3227</v>
      </c>
      <c r="J87" s="834"/>
    </row>
    <row r="88" spans="1:10">
      <c r="A88" s="834"/>
      <c r="B88" s="435"/>
      <c r="C88" s="829">
        <v>0.4</v>
      </c>
      <c r="D88" s="832">
        <f>B86*C86*C87*C88</f>
        <v>7.2300000000000013</v>
      </c>
      <c r="E88" s="844"/>
      <c r="F88" s="435"/>
      <c r="G88" s="829">
        <v>0.4</v>
      </c>
      <c r="H88" s="832"/>
      <c r="I88" s="844"/>
      <c r="J88" s="834"/>
    </row>
    <row r="89" spans="1:10">
      <c r="A89" s="834"/>
      <c r="B89" s="435"/>
      <c r="C89" s="829"/>
      <c r="D89" s="832"/>
      <c r="E89" s="844"/>
      <c r="F89" s="435"/>
      <c r="G89" s="829">
        <v>0.33</v>
      </c>
      <c r="H89" s="832">
        <f>F87*G87*G88*G89</f>
        <v>3.2142000000000008</v>
      </c>
      <c r="I89" s="844"/>
      <c r="J89" s="834"/>
    </row>
    <row r="90" spans="1:10" ht="18">
      <c r="A90" s="834"/>
      <c r="B90" s="435"/>
      <c r="C90" s="829"/>
      <c r="D90" s="832">
        <f>D84+D88</f>
        <v>18.71</v>
      </c>
      <c r="E90" s="844" t="s">
        <v>3177</v>
      </c>
      <c r="F90" s="435"/>
      <c r="G90" s="829"/>
      <c r="H90" s="832"/>
      <c r="I90" s="844"/>
      <c r="J90" s="834"/>
    </row>
    <row r="91" spans="1:10">
      <c r="A91" s="834"/>
      <c r="B91" s="435"/>
      <c r="C91" s="829"/>
      <c r="D91" s="832"/>
      <c r="E91" s="844"/>
      <c r="F91" s="435"/>
      <c r="G91" s="829"/>
      <c r="H91" s="832"/>
      <c r="I91" s="844" t="s">
        <v>3228</v>
      </c>
      <c r="J91" s="834"/>
    </row>
    <row r="92" spans="1:10">
      <c r="A92" s="834"/>
      <c r="B92" s="435"/>
      <c r="C92" s="829"/>
      <c r="D92" s="832"/>
      <c r="E92" s="844" t="s">
        <v>3226</v>
      </c>
      <c r="F92" s="435">
        <v>1</v>
      </c>
      <c r="G92" s="829">
        <v>7.25</v>
      </c>
      <c r="H92" s="832"/>
      <c r="I92" s="844"/>
      <c r="J92" s="834"/>
    </row>
    <row r="93" spans="1:10">
      <c r="A93" s="834"/>
      <c r="B93" s="435"/>
      <c r="C93" s="829"/>
      <c r="D93" s="832"/>
      <c r="E93" s="844" t="s">
        <v>1945</v>
      </c>
      <c r="F93" s="435"/>
      <c r="G93" s="829">
        <v>0.4</v>
      </c>
      <c r="H93" s="832"/>
      <c r="I93" s="844"/>
      <c r="J93" s="834"/>
    </row>
    <row r="94" spans="1:10">
      <c r="A94" s="834"/>
      <c r="B94" s="435">
        <v>8</v>
      </c>
      <c r="C94" s="829">
        <v>28.7</v>
      </c>
      <c r="D94" s="832"/>
      <c r="E94" s="844" t="s">
        <v>3220</v>
      </c>
      <c r="F94" s="435"/>
      <c r="G94" s="829">
        <v>0.28000000000000003</v>
      </c>
      <c r="H94" s="832">
        <f>F92*G92*G93*G94</f>
        <v>0.81200000000000017</v>
      </c>
      <c r="I94" s="844"/>
      <c r="J94" s="834"/>
    </row>
    <row r="95" spans="1:10" ht="18">
      <c r="A95" s="834"/>
      <c r="B95" s="435"/>
      <c r="C95" s="829">
        <v>0.4</v>
      </c>
      <c r="D95" s="832">
        <f>B94*C94*C95</f>
        <v>91.84</v>
      </c>
      <c r="E95" s="844"/>
      <c r="F95" s="435"/>
      <c r="G95" s="829"/>
      <c r="H95" s="832">
        <f>H89+H94</f>
        <v>4.0262000000000011</v>
      </c>
      <c r="I95" s="844" t="s">
        <v>3176</v>
      </c>
      <c r="J95" s="834"/>
    </row>
    <row r="96" spans="1:10">
      <c r="A96" s="834"/>
      <c r="B96" s="435"/>
      <c r="C96" s="829"/>
      <c r="D96" s="832"/>
      <c r="E96" s="844"/>
      <c r="F96" s="435"/>
      <c r="G96" s="829"/>
      <c r="H96" s="832"/>
      <c r="I96" s="844"/>
      <c r="J96" s="834"/>
    </row>
    <row r="97" spans="1:10">
      <c r="A97" s="834"/>
      <c r="B97" s="435">
        <v>12</v>
      </c>
      <c r="C97" s="829">
        <v>12.55</v>
      </c>
      <c r="D97" s="832"/>
      <c r="E97" s="844" t="s">
        <v>3111</v>
      </c>
      <c r="F97" s="435"/>
      <c r="G97" s="829"/>
      <c r="H97" s="832"/>
      <c r="I97" s="844" t="s">
        <v>2987</v>
      </c>
      <c r="J97" s="834"/>
    </row>
    <row r="98" spans="1:10">
      <c r="A98" s="834"/>
      <c r="B98" s="435"/>
      <c r="C98" s="829">
        <v>0.4</v>
      </c>
      <c r="D98" s="832">
        <f>B97*C97*C98</f>
        <v>60.240000000000009</v>
      </c>
      <c r="E98" s="844"/>
      <c r="F98" s="1335"/>
      <c r="G98" s="848"/>
      <c r="H98" s="843"/>
      <c r="I98" s="435"/>
      <c r="J98" s="834"/>
    </row>
    <row r="99" spans="1:10" ht="18">
      <c r="A99" s="834"/>
      <c r="B99" s="435"/>
      <c r="C99" s="829"/>
      <c r="D99" s="832"/>
      <c r="E99" s="844"/>
      <c r="F99" s="1343"/>
      <c r="G99" s="1341"/>
      <c r="H99" s="1342">
        <f>H85-H95</f>
        <v>37.811799999999991</v>
      </c>
      <c r="I99" s="1344" t="s">
        <v>3172</v>
      </c>
      <c r="J99" s="834"/>
    </row>
    <row r="100" spans="1:10">
      <c r="A100" s="834"/>
      <c r="B100" s="435">
        <v>56</v>
      </c>
      <c r="C100" s="829">
        <v>0.4</v>
      </c>
      <c r="D100" s="832"/>
      <c r="E100" s="844" t="s">
        <v>1915</v>
      </c>
      <c r="F100" s="1335"/>
      <c r="G100" s="848"/>
      <c r="H100" s="843"/>
      <c r="I100" s="435"/>
      <c r="J100" s="834"/>
    </row>
    <row r="101" spans="1:10">
      <c r="A101" s="834"/>
      <c r="B101" s="435"/>
      <c r="C101" s="829">
        <v>0.25</v>
      </c>
      <c r="D101" s="832">
        <f>B100*C100*C101</f>
        <v>5.6000000000000005</v>
      </c>
      <c r="E101" s="844"/>
      <c r="F101" s="1335"/>
      <c r="G101" s="848"/>
      <c r="H101" s="843"/>
      <c r="I101" s="435"/>
      <c r="J101" s="834"/>
    </row>
    <row r="102" spans="1:10">
      <c r="A102" s="834"/>
      <c r="B102" s="435"/>
      <c r="C102" s="829"/>
      <c r="D102" s="832"/>
      <c r="E102" s="844"/>
      <c r="F102" s="1335"/>
      <c r="G102" s="848"/>
      <c r="H102" s="843"/>
      <c r="I102" s="435"/>
      <c r="J102" s="834"/>
    </row>
    <row r="103" spans="1:10" ht="18">
      <c r="A103" s="834"/>
      <c r="B103" s="435"/>
      <c r="C103" s="829"/>
      <c r="D103" s="832">
        <f>D95+D98-D101</f>
        <v>146.48000000000002</v>
      </c>
      <c r="E103" s="844" t="s">
        <v>3233</v>
      </c>
      <c r="F103" s="1335"/>
      <c r="G103" s="848"/>
      <c r="H103" s="843"/>
      <c r="I103" s="435"/>
      <c r="J103" s="834"/>
    </row>
    <row r="104" spans="1:10">
      <c r="A104" s="834"/>
      <c r="B104" s="435"/>
      <c r="C104" s="1335"/>
      <c r="D104" s="1335"/>
      <c r="E104" s="435"/>
      <c r="F104" s="1335"/>
      <c r="G104" s="848"/>
      <c r="H104" s="843"/>
      <c r="I104" s="435"/>
      <c r="J104" s="834"/>
    </row>
    <row r="105" spans="1:10">
      <c r="A105" s="834"/>
      <c r="B105" s="435"/>
      <c r="C105" s="829"/>
      <c r="D105" s="832"/>
      <c r="E105" s="844" t="s">
        <v>1899</v>
      </c>
      <c r="F105" s="1335"/>
      <c r="G105" s="848"/>
      <c r="H105" s="843"/>
      <c r="I105" s="435"/>
      <c r="J105" s="834"/>
    </row>
    <row r="106" spans="1:10">
      <c r="A106" s="834"/>
      <c r="B106" s="435"/>
      <c r="C106" s="829"/>
      <c r="D106" s="832"/>
      <c r="E106" s="844" t="s">
        <v>3170</v>
      </c>
      <c r="F106" s="1335"/>
      <c r="G106" s="848"/>
      <c r="H106" s="843"/>
      <c r="I106" s="435"/>
      <c r="J106" s="834" t="e">
        <f>#REF!*#REF!</f>
        <v>#REF!</v>
      </c>
    </row>
    <row r="107" spans="1:10">
      <c r="A107" s="834"/>
      <c r="B107" s="435"/>
      <c r="C107" s="829"/>
      <c r="D107" s="832">
        <f>'Kit. Rein.'!N30</f>
        <v>1505.5788</v>
      </c>
      <c r="E107" s="844" t="s">
        <v>2934</v>
      </c>
      <c r="F107" s="1335"/>
      <c r="G107" s="848"/>
      <c r="H107" s="843"/>
      <c r="I107" s="435"/>
      <c r="J107" s="834"/>
    </row>
    <row r="108" spans="1:10">
      <c r="A108" s="834"/>
      <c r="B108" s="435"/>
      <c r="C108" s="829"/>
      <c r="D108" s="832"/>
      <c r="E108" s="844"/>
      <c r="F108" s="1335"/>
      <c r="G108" s="848"/>
      <c r="H108" s="843"/>
      <c r="I108" s="435"/>
      <c r="J108" s="834"/>
    </row>
    <row r="109" spans="1:10">
      <c r="A109" s="834"/>
      <c r="B109" s="435"/>
      <c r="C109" s="829"/>
      <c r="D109" s="832"/>
      <c r="E109" s="844" t="s">
        <v>3171</v>
      </c>
      <c r="F109" s="1335"/>
      <c r="G109" s="848"/>
      <c r="H109" s="843"/>
      <c r="I109" s="435"/>
      <c r="J109" s="834"/>
    </row>
    <row r="110" spans="1:10">
      <c r="A110" s="834"/>
      <c r="B110" s="435"/>
      <c r="C110" s="829"/>
      <c r="D110" s="832">
        <f>'Kit. Rein.'!K30+'Kit. Rein.'!K68</f>
        <v>1853.9482999999996</v>
      </c>
      <c r="E110" s="844" t="s">
        <v>2935</v>
      </c>
      <c r="F110" s="1335"/>
      <c r="G110" s="848"/>
      <c r="H110" s="843"/>
      <c r="I110" s="435"/>
      <c r="J110" s="834"/>
    </row>
    <row r="111" spans="1:10">
      <c r="A111" s="834"/>
      <c r="B111" s="435"/>
      <c r="C111" s="1335"/>
      <c r="D111" s="1335"/>
      <c r="E111" s="435"/>
      <c r="F111" s="1335"/>
      <c r="G111" s="848"/>
      <c r="H111" s="843"/>
      <c r="I111" s="435"/>
      <c r="J111" s="834"/>
    </row>
    <row r="112" spans="1:10">
      <c r="A112" s="834"/>
      <c r="B112" s="435"/>
      <c r="C112" s="1335"/>
      <c r="D112" s="1335"/>
      <c r="E112" s="435"/>
      <c r="F112" s="1335"/>
      <c r="G112" s="848"/>
      <c r="H112" s="843"/>
      <c r="I112" s="435"/>
      <c r="J112" s="834"/>
    </row>
    <row r="113" spans="1:11">
      <c r="A113" s="834"/>
      <c r="B113" s="435"/>
      <c r="C113" s="1335"/>
      <c r="D113" s="1335"/>
      <c r="E113" s="435"/>
      <c r="F113" s="1335"/>
      <c r="G113" s="848"/>
      <c r="H113" s="843"/>
      <c r="I113" s="435"/>
      <c r="J113" s="834"/>
    </row>
    <row r="114" spans="1:11">
      <c r="A114" s="834"/>
      <c r="B114" s="435"/>
      <c r="C114" s="1335"/>
      <c r="D114" s="1335"/>
      <c r="E114" s="435"/>
      <c r="F114" s="1335"/>
      <c r="G114" s="848"/>
      <c r="H114" s="843"/>
      <c r="I114" s="435"/>
      <c r="J114" s="834"/>
    </row>
    <row r="115" spans="1:11">
      <c r="A115" s="834"/>
      <c r="B115" s="435"/>
      <c r="C115" s="1335"/>
      <c r="D115" s="1335"/>
      <c r="E115" s="435"/>
      <c r="F115" s="1335"/>
      <c r="G115" s="848"/>
      <c r="H115" s="843"/>
      <c r="I115" s="435"/>
      <c r="J115" s="834"/>
    </row>
    <row r="116" spans="1:11">
      <c r="A116" s="834"/>
      <c r="B116" s="109"/>
      <c r="C116" s="860"/>
      <c r="D116" s="860"/>
      <c r="E116" s="109"/>
      <c r="F116" s="860"/>
      <c r="G116" s="927"/>
      <c r="H116" s="928"/>
      <c r="I116" s="109"/>
      <c r="J116" s="834"/>
    </row>
    <row r="117" spans="1:11">
      <c r="A117" s="834"/>
      <c r="J117" s="834"/>
      <c r="K117" s="834"/>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4" max="9"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8"/>
  <sheetViews>
    <sheetView view="pageBreakPreview" zoomScaleNormal="115" zoomScaleSheetLayoutView="100" zoomScalePageLayoutView="85" workbookViewId="0">
      <selection activeCell="H1" sqref="H1:I1"/>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41"/>
      <c r="H1" s="941"/>
      <c r="I1" s="942"/>
      <c r="J1" s="820"/>
    </row>
    <row r="2" spans="1:10">
      <c r="A2" s="818"/>
      <c r="B2" s="2059" t="s">
        <v>1917</v>
      </c>
      <c r="C2" s="2059"/>
      <c r="D2" s="2059"/>
      <c r="E2" s="2059"/>
      <c r="F2" s="819"/>
      <c r="G2" s="941"/>
      <c r="J2" s="818"/>
    </row>
    <row r="3" spans="1:10">
      <c r="A3" s="818"/>
      <c r="B3" s="2059" t="s">
        <v>1920</v>
      </c>
      <c r="C3" s="2059"/>
      <c r="D3" s="2059"/>
      <c r="E3" s="2059"/>
      <c r="F3" s="2059"/>
      <c r="G3" s="941"/>
      <c r="H3" s="2060" t="s">
        <v>2485</v>
      </c>
      <c r="I3" s="2060"/>
      <c r="J3" s="818"/>
    </row>
    <row r="4" spans="1:10">
      <c r="A4" s="818"/>
      <c r="B4" s="2059" t="s">
        <v>1921</v>
      </c>
      <c r="C4" s="2059"/>
      <c r="D4" s="2059"/>
      <c r="E4" s="2059"/>
      <c r="F4" s="819"/>
      <c r="G4" s="941"/>
      <c r="H4" s="2089"/>
      <c r="I4" s="2089"/>
      <c r="J4" s="818"/>
    </row>
    <row r="5" spans="1:10">
      <c r="A5" s="818"/>
      <c r="B5" s="824"/>
      <c r="C5" s="941"/>
      <c r="D5" s="941"/>
      <c r="E5" s="825"/>
      <c r="F5" s="819"/>
      <c r="G5" s="941"/>
      <c r="H5" s="827"/>
      <c r="I5" s="940"/>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v>2</v>
      </c>
      <c r="G7" s="829">
        <v>12.2</v>
      </c>
      <c r="H7" s="832"/>
      <c r="I7" s="833" t="s">
        <v>37</v>
      </c>
    </row>
    <row r="8" spans="1:10">
      <c r="A8" s="818"/>
      <c r="B8" s="831"/>
      <c r="C8" s="829"/>
      <c r="D8" s="832"/>
      <c r="E8" s="844" t="s">
        <v>25</v>
      </c>
      <c r="F8" s="831"/>
      <c r="G8" s="829">
        <v>0.8</v>
      </c>
      <c r="H8" s="832">
        <f>F7*G8*G7</f>
        <v>19.52</v>
      </c>
      <c r="I8" s="833" t="s">
        <v>739</v>
      </c>
    </row>
    <row r="9" spans="1:10">
      <c r="A9" s="818"/>
      <c r="B9" s="435"/>
      <c r="C9" s="435"/>
      <c r="D9" s="435"/>
      <c r="E9" s="844" t="s">
        <v>27</v>
      </c>
      <c r="F9" s="831"/>
      <c r="G9" s="829"/>
      <c r="H9" s="832"/>
      <c r="I9" s="833" t="s">
        <v>40</v>
      </c>
    </row>
    <row r="10" spans="1:10">
      <c r="A10" s="818"/>
      <c r="B10" s="831">
        <v>24</v>
      </c>
      <c r="C10" s="829">
        <v>2.73</v>
      </c>
      <c r="D10" s="832"/>
      <c r="E10" s="833" t="s">
        <v>738</v>
      </c>
      <c r="F10" s="831">
        <v>4</v>
      </c>
      <c r="G10" s="829">
        <v>12.2</v>
      </c>
      <c r="H10" s="832"/>
      <c r="I10" s="833" t="s">
        <v>741</v>
      </c>
    </row>
    <row r="11" spans="1:10">
      <c r="A11" s="818"/>
      <c r="B11" s="435"/>
      <c r="C11" s="829">
        <v>0.2</v>
      </c>
      <c r="D11" s="832"/>
      <c r="E11" s="435"/>
      <c r="F11" s="831"/>
      <c r="G11" s="829">
        <v>0.8</v>
      </c>
      <c r="H11" s="832">
        <f>F10*G11*G10</f>
        <v>39.04</v>
      </c>
      <c r="I11" s="833" t="s">
        <v>1801</v>
      </c>
    </row>
    <row r="12" spans="1:10">
      <c r="A12" s="818"/>
      <c r="B12" s="831"/>
      <c r="C12" s="829">
        <v>0.2</v>
      </c>
      <c r="D12" s="832"/>
      <c r="E12" s="435"/>
      <c r="F12" s="831"/>
      <c r="G12" s="829"/>
      <c r="H12" s="832"/>
      <c r="I12" s="844"/>
    </row>
    <row r="13" spans="1:10">
      <c r="A13" s="818"/>
      <c r="B13" s="839"/>
      <c r="C13" s="935"/>
      <c r="D13" s="838">
        <f>B10*C10*C11*C12</f>
        <v>2.6208</v>
      </c>
      <c r="E13" s="839" t="s">
        <v>2116</v>
      </c>
      <c r="F13" s="839"/>
      <c r="G13" s="935"/>
      <c r="H13" s="838">
        <f>SUM(H7:H11)+SUM(D56:D64)</f>
        <v>147.60000000000002</v>
      </c>
      <c r="I13" s="839" t="s">
        <v>2118</v>
      </c>
    </row>
    <row r="14" spans="1:10">
      <c r="A14" s="818"/>
      <c r="B14" s="831"/>
      <c r="C14" s="829"/>
      <c r="D14" s="832"/>
      <c r="E14" s="844"/>
      <c r="F14" s="435"/>
      <c r="G14" s="435"/>
      <c r="H14" s="435"/>
      <c r="I14" s="435"/>
    </row>
    <row r="15" spans="1:10">
      <c r="A15" s="818"/>
      <c r="B15" s="831"/>
      <c r="C15" s="829"/>
      <c r="D15" s="832"/>
      <c r="E15" s="844" t="s">
        <v>29</v>
      </c>
      <c r="F15" s="831"/>
      <c r="G15" s="829"/>
      <c r="H15" s="832"/>
      <c r="I15" s="844" t="s">
        <v>48</v>
      </c>
    </row>
    <row r="16" spans="1:10">
      <c r="A16" s="818"/>
      <c r="B16" s="831">
        <v>2</v>
      </c>
      <c r="C16" s="829">
        <v>28.65</v>
      </c>
      <c r="D16" s="832"/>
      <c r="E16" s="833" t="s">
        <v>30</v>
      </c>
      <c r="F16" s="831">
        <v>4</v>
      </c>
      <c r="G16" s="829">
        <v>1.2</v>
      </c>
      <c r="H16" s="832"/>
      <c r="I16" s="833" t="s">
        <v>58</v>
      </c>
    </row>
    <row r="17" spans="1:9">
      <c r="A17" s="818"/>
      <c r="B17" s="831"/>
      <c r="C17" s="829">
        <v>0.3</v>
      </c>
      <c r="D17" s="832"/>
      <c r="E17" s="833" t="s">
        <v>737</v>
      </c>
      <c r="F17" s="831"/>
      <c r="G17" s="829">
        <v>0.55000000000000004</v>
      </c>
      <c r="H17" s="832">
        <f>F16*G17*G16</f>
        <v>2.64</v>
      </c>
      <c r="I17" s="833"/>
    </row>
    <row r="18" spans="1:9">
      <c r="A18" s="818"/>
      <c r="B18" s="831"/>
      <c r="C18" s="829">
        <v>0.2</v>
      </c>
      <c r="D18" s="832">
        <f>B16*C16*C17*C18</f>
        <v>3.4379999999999997</v>
      </c>
      <c r="E18" s="833"/>
      <c r="F18" s="831"/>
      <c r="G18" s="829"/>
      <c r="H18" s="832"/>
      <c r="I18" s="833"/>
    </row>
    <row r="19" spans="1:9">
      <c r="A19" s="818"/>
      <c r="B19" s="831"/>
      <c r="C19" s="829"/>
      <c r="D19" s="832"/>
      <c r="E19" s="833"/>
      <c r="F19" s="831">
        <v>4</v>
      </c>
      <c r="G19" s="829">
        <v>1.1000000000000001</v>
      </c>
      <c r="H19" s="832"/>
      <c r="I19" s="833" t="s">
        <v>361</v>
      </c>
    </row>
    <row r="20" spans="1:9">
      <c r="A20" s="818"/>
      <c r="B20" s="831">
        <v>2</v>
      </c>
      <c r="C20" s="829">
        <v>28.65</v>
      </c>
      <c r="D20" s="832"/>
      <c r="E20" s="833" t="s">
        <v>496</v>
      </c>
      <c r="F20" s="831"/>
      <c r="G20" s="829">
        <v>0.5</v>
      </c>
      <c r="H20" s="832">
        <f>F19*G20*G19</f>
        <v>2.2000000000000002</v>
      </c>
      <c r="I20" s="833"/>
    </row>
    <row r="21" spans="1:9">
      <c r="A21" s="818"/>
      <c r="B21" s="831"/>
      <c r="C21" s="829">
        <v>0.3</v>
      </c>
      <c r="D21" s="832"/>
      <c r="E21" s="833" t="s">
        <v>740</v>
      </c>
      <c r="F21" s="831"/>
      <c r="G21" s="829"/>
      <c r="H21" s="832"/>
      <c r="I21" s="833"/>
    </row>
    <row r="22" spans="1:9">
      <c r="A22" s="818"/>
      <c r="B22" s="831"/>
      <c r="C22" s="829">
        <v>0.2</v>
      </c>
      <c r="D22" s="832">
        <f>B20*C20*C21*C22</f>
        <v>3.4379999999999997</v>
      </c>
      <c r="E22" s="833"/>
      <c r="F22" s="831">
        <v>3</v>
      </c>
      <c r="G22" s="829">
        <v>1.3</v>
      </c>
      <c r="H22" s="832"/>
      <c r="I22" s="833" t="s">
        <v>59</v>
      </c>
    </row>
    <row r="23" spans="1:9">
      <c r="A23" s="818"/>
      <c r="B23" s="831"/>
      <c r="C23" s="829"/>
      <c r="D23" s="832"/>
      <c r="E23" s="833"/>
      <c r="F23" s="435"/>
      <c r="G23" s="829">
        <v>0.6</v>
      </c>
      <c r="H23" s="832">
        <f>F22*G23*G22</f>
        <v>2.34</v>
      </c>
      <c r="I23" s="844"/>
    </row>
    <row r="24" spans="1:9">
      <c r="A24" s="818"/>
      <c r="B24" s="831">
        <v>2</v>
      </c>
      <c r="C24" s="829">
        <v>12.2</v>
      </c>
      <c r="D24" s="832"/>
      <c r="E24" s="833" t="s">
        <v>37</v>
      </c>
      <c r="F24" s="831"/>
      <c r="G24" s="829"/>
      <c r="H24" s="832"/>
      <c r="I24" s="844"/>
    </row>
    <row r="25" spans="1:9">
      <c r="A25" s="818"/>
      <c r="B25" s="831"/>
      <c r="C25" s="829">
        <v>0.3</v>
      </c>
      <c r="D25" s="832"/>
      <c r="E25" s="833" t="s">
        <v>739</v>
      </c>
      <c r="F25" s="839"/>
      <c r="G25" s="935"/>
      <c r="H25" s="838">
        <f>SUM(H17:H23)</f>
        <v>7.18</v>
      </c>
      <c r="I25" s="839" t="s">
        <v>2119</v>
      </c>
    </row>
    <row r="26" spans="1:9">
      <c r="A26" s="818"/>
      <c r="B26" s="831"/>
      <c r="C26" s="829">
        <v>0.2</v>
      </c>
      <c r="D26" s="832">
        <f>B24*C24*C25*C26</f>
        <v>1.464</v>
      </c>
      <c r="E26" s="833"/>
      <c r="F26" s="435"/>
      <c r="G26" s="435"/>
      <c r="H26" s="435"/>
      <c r="I26" s="435"/>
    </row>
    <row r="27" spans="1:9">
      <c r="A27" s="818"/>
      <c r="B27" s="831"/>
      <c r="C27" s="829"/>
      <c r="D27" s="832"/>
      <c r="E27" s="833"/>
      <c r="F27" s="831"/>
      <c r="G27" s="829"/>
      <c r="H27" s="832"/>
      <c r="I27" s="844" t="s">
        <v>1797</v>
      </c>
    </row>
    <row r="28" spans="1:9">
      <c r="A28" s="818"/>
      <c r="B28" s="831">
        <v>4</v>
      </c>
      <c r="C28" s="829">
        <v>12.2</v>
      </c>
      <c r="D28" s="832"/>
      <c r="E28" s="833" t="s">
        <v>741</v>
      </c>
      <c r="F28" s="839"/>
      <c r="G28" s="935"/>
      <c r="H28" s="838">
        <f>'Kit. Rein.'!N111</f>
        <v>35.622399999999999</v>
      </c>
      <c r="I28" s="839" t="s">
        <v>2120</v>
      </c>
    </row>
    <row r="29" spans="1:9">
      <c r="A29" s="818"/>
      <c r="B29" s="435"/>
      <c r="C29" s="829">
        <v>0.3</v>
      </c>
      <c r="D29" s="832"/>
      <c r="E29" s="833" t="s">
        <v>742</v>
      </c>
      <c r="F29" s="831"/>
      <c r="G29" s="829"/>
      <c r="H29" s="832"/>
      <c r="I29" s="844"/>
    </row>
    <row r="30" spans="1:9">
      <c r="A30" s="818"/>
      <c r="B30" s="831"/>
      <c r="C30" s="829">
        <v>0.2</v>
      </c>
      <c r="D30" s="832">
        <f>B28*C28*C29*C30</f>
        <v>2.9279999999999999</v>
      </c>
      <c r="E30" s="844"/>
      <c r="F30" s="831"/>
      <c r="G30" s="829"/>
      <c r="H30" s="832"/>
      <c r="I30" s="844" t="s">
        <v>1798</v>
      </c>
    </row>
    <row r="31" spans="1:9">
      <c r="A31" s="818"/>
      <c r="B31" s="831"/>
      <c r="C31" s="829"/>
      <c r="D31" s="435"/>
      <c r="E31" s="844"/>
      <c r="F31" s="839"/>
      <c r="G31" s="935"/>
      <c r="H31" s="838">
        <f>'Kit. Rein.'!M111</f>
        <v>1494.2731200000001</v>
      </c>
      <c r="I31" s="839" t="s">
        <v>2339</v>
      </c>
    </row>
    <row r="32" spans="1:9">
      <c r="A32" s="818"/>
      <c r="B32" s="839"/>
      <c r="C32" s="935"/>
      <c r="D32" s="838">
        <f>SUM(D18:D30)</f>
        <v>11.268000000000001</v>
      </c>
      <c r="E32" s="839" t="s">
        <v>2142</v>
      </c>
      <c r="F32" s="831"/>
      <c r="G32" s="829"/>
      <c r="H32" s="832"/>
      <c r="I32" s="844"/>
    </row>
    <row r="33" spans="1:9">
      <c r="A33" s="818"/>
      <c r="B33" s="435"/>
      <c r="C33" s="435"/>
      <c r="D33" s="435"/>
      <c r="E33" s="435"/>
      <c r="F33" s="831"/>
      <c r="G33" s="829"/>
      <c r="H33" s="832"/>
      <c r="I33" s="844" t="s">
        <v>1799</v>
      </c>
    </row>
    <row r="34" spans="1:9">
      <c r="A34" s="818"/>
      <c r="B34" s="831"/>
      <c r="C34" s="829"/>
      <c r="D34" s="832"/>
      <c r="E34" s="844" t="s">
        <v>44</v>
      </c>
      <c r="F34" s="839"/>
      <c r="G34" s="935"/>
      <c r="H34" s="838">
        <f>'Kit. Rein.'!K111</f>
        <v>486.04750000000013</v>
      </c>
      <c r="I34" s="839" t="s">
        <v>2121</v>
      </c>
    </row>
    <row r="35" spans="1:9">
      <c r="A35" s="818"/>
      <c r="B35" s="831">
        <v>4</v>
      </c>
      <c r="C35" s="829">
        <v>1.2</v>
      </c>
      <c r="D35" s="832"/>
      <c r="E35" s="833" t="s">
        <v>58</v>
      </c>
      <c r="F35" s="831"/>
      <c r="G35" s="829"/>
      <c r="H35" s="832"/>
      <c r="I35" s="833"/>
    </row>
    <row r="36" spans="1:9">
      <c r="A36" s="818"/>
      <c r="B36" s="831"/>
      <c r="C36" s="829">
        <v>0.2</v>
      </c>
      <c r="D36" s="832"/>
      <c r="E36" s="833"/>
      <c r="F36" s="831"/>
      <c r="G36" s="829"/>
      <c r="H36" s="832"/>
      <c r="I36" s="844" t="s">
        <v>350</v>
      </c>
    </row>
    <row r="37" spans="1:9">
      <c r="A37" s="818"/>
      <c r="B37" s="831"/>
      <c r="C37" s="829">
        <v>0.15</v>
      </c>
      <c r="D37" s="832">
        <f>B35*C35*C36*C37</f>
        <v>0.14399999999999999</v>
      </c>
      <c r="E37" s="833"/>
      <c r="F37" s="831"/>
      <c r="G37" s="829"/>
      <c r="H37" s="832"/>
      <c r="I37" s="844" t="s">
        <v>65</v>
      </c>
    </row>
    <row r="38" spans="1:9">
      <c r="A38" s="818"/>
      <c r="B38" s="831"/>
      <c r="C38" s="829"/>
      <c r="D38" s="832"/>
      <c r="E38" s="833"/>
      <c r="F38" s="831">
        <v>4</v>
      </c>
      <c r="G38" s="829">
        <v>27.45</v>
      </c>
      <c r="H38" s="832"/>
      <c r="I38" s="833" t="s">
        <v>1094</v>
      </c>
    </row>
    <row r="39" spans="1:9">
      <c r="A39" s="818"/>
      <c r="B39" s="831">
        <v>4</v>
      </c>
      <c r="C39" s="829">
        <v>1.1000000000000001</v>
      </c>
      <c r="D39" s="832"/>
      <c r="E39" s="833" t="s">
        <v>361</v>
      </c>
      <c r="F39" s="831"/>
      <c r="G39" s="829">
        <v>2.73</v>
      </c>
      <c r="H39" s="832">
        <f>G38*G39*F38</f>
        <v>299.75399999999996</v>
      </c>
      <c r="I39" s="833"/>
    </row>
    <row r="40" spans="1:9">
      <c r="A40" s="818"/>
      <c r="B40" s="831"/>
      <c r="C40" s="829">
        <v>0.1</v>
      </c>
      <c r="D40" s="832"/>
      <c r="E40" s="435"/>
      <c r="F40" s="831"/>
      <c r="G40" s="829"/>
      <c r="H40" s="832"/>
      <c r="I40" s="833"/>
    </row>
    <row r="41" spans="1:9">
      <c r="A41" s="818"/>
      <c r="B41" s="831"/>
      <c r="C41" s="829">
        <v>0.2</v>
      </c>
      <c r="D41" s="832">
        <f>B39*C39*C40*C41</f>
        <v>8.8000000000000023E-2</v>
      </c>
      <c r="E41" s="833"/>
      <c r="F41" s="831">
        <v>12</v>
      </c>
      <c r="G41" s="829">
        <v>1.5</v>
      </c>
      <c r="H41" s="832"/>
      <c r="I41" s="833" t="s">
        <v>268</v>
      </c>
    </row>
    <row r="42" spans="1:9">
      <c r="A42" s="818"/>
      <c r="B42" s="831"/>
      <c r="C42" s="829"/>
      <c r="D42" s="832"/>
      <c r="E42" s="833"/>
      <c r="F42" s="831"/>
      <c r="G42" s="829">
        <v>1.63</v>
      </c>
      <c r="H42" s="832">
        <f>-G41*G42*F41</f>
        <v>-29.339999999999996</v>
      </c>
      <c r="I42" s="833"/>
    </row>
    <row r="43" spans="1:9">
      <c r="A43" s="818"/>
      <c r="B43" s="831">
        <v>3</v>
      </c>
      <c r="C43" s="829">
        <v>1.3</v>
      </c>
      <c r="D43" s="832"/>
      <c r="E43" s="833" t="s">
        <v>59</v>
      </c>
      <c r="F43" s="831"/>
      <c r="G43" s="829"/>
      <c r="H43" s="832"/>
      <c r="I43" s="833"/>
    </row>
    <row r="44" spans="1:9">
      <c r="A44" s="818"/>
      <c r="B44" s="435"/>
      <c r="C44" s="829">
        <v>0.2</v>
      </c>
      <c r="D44" s="832"/>
      <c r="E44" s="435"/>
      <c r="F44" s="831">
        <v>4</v>
      </c>
      <c r="G44" s="829">
        <v>1.3</v>
      </c>
      <c r="H44" s="832"/>
      <c r="I44" s="833" t="s">
        <v>1098</v>
      </c>
    </row>
    <row r="45" spans="1:9">
      <c r="A45" s="818"/>
      <c r="B45" s="831"/>
      <c r="C45" s="829">
        <v>0.2</v>
      </c>
      <c r="D45" s="832">
        <f>B43*C43*C44*C45</f>
        <v>0.15600000000000003</v>
      </c>
      <c r="E45" s="435"/>
      <c r="F45" s="831"/>
      <c r="G45" s="829">
        <v>1.63</v>
      </c>
      <c r="H45" s="832">
        <f>-G44*G45*F44</f>
        <v>-8.4759999999999991</v>
      </c>
      <c r="I45" s="833"/>
    </row>
    <row r="46" spans="1:9">
      <c r="A46" s="818"/>
      <c r="B46" s="831"/>
      <c r="C46" s="829"/>
      <c r="D46" s="832"/>
      <c r="E46" s="844"/>
      <c r="F46" s="831"/>
      <c r="G46" s="829"/>
      <c r="H46" s="832"/>
      <c r="I46" s="833"/>
    </row>
    <row r="47" spans="1:9">
      <c r="A47" s="818"/>
      <c r="B47" s="839"/>
      <c r="C47" s="935"/>
      <c r="D47" s="838">
        <f>SUM(D37:D46)</f>
        <v>0.38800000000000001</v>
      </c>
      <c r="E47" s="839" t="s">
        <v>2459</v>
      </c>
      <c r="F47" s="831">
        <v>4</v>
      </c>
      <c r="G47" s="829">
        <v>1.3</v>
      </c>
      <c r="H47" s="832"/>
      <c r="I47" s="833" t="s">
        <v>1099</v>
      </c>
    </row>
    <row r="48" spans="1:9">
      <c r="A48" s="818"/>
      <c r="B48" s="435"/>
      <c r="C48" s="435"/>
      <c r="D48" s="435"/>
      <c r="E48" s="435"/>
      <c r="F48" s="831"/>
      <c r="G48" s="829">
        <v>2.73</v>
      </c>
      <c r="H48" s="832">
        <f>-G47*G48*F47</f>
        <v>-14.196</v>
      </c>
      <c r="I48" s="833"/>
    </row>
    <row r="49" spans="1:9">
      <c r="A49" s="818"/>
      <c r="B49" s="831"/>
      <c r="C49" s="829"/>
      <c r="D49" s="832"/>
      <c r="E49" s="844" t="s">
        <v>32</v>
      </c>
      <c r="F49" s="831"/>
      <c r="G49" s="829"/>
      <c r="H49" s="832"/>
      <c r="I49" s="833"/>
    </row>
    <row r="50" spans="1:9">
      <c r="A50" s="818"/>
      <c r="B50" s="831"/>
      <c r="C50" s="829"/>
      <c r="D50" s="832"/>
      <c r="E50" s="844" t="s">
        <v>33</v>
      </c>
      <c r="F50" s="831">
        <v>1</v>
      </c>
      <c r="G50" s="829">
        <v>0.9</v>
      </c>
      <c r="H50" s="832"/>
      <c r="I50" s="833" t="s">
        <v>507</v>
      </c>
    </row>
    <row r="51" spans="1:9">
      <c r="A51" s="818"/>
      <c r="B51" s="831">
        <v>24</v>
      </c>
      <c r="C51" s="829">
        <v>2.73</v>
      </c>
      <c r="D51" s="832"/>
      <c r="E51" s="833" t="s">
        <v>1093</v>
      </c>
      <c r="F51" s="831"/>
      <c r="G51" s="829">
        <v>2.73</v>
      </c>
      <c r="H51" s="832">
        <f>-G50*G51*F50</f>
        <v>-2.4569999999999999</v>
      </c>
      <c r="I51" s="833"/>
    </row>
    <row r="52" spans="1:9">
      <c r="A52" s="818"/>
      <c r="B52" s="831"/>
      <c r="C52" s="829">
        <v>0.8</v>
      </c>
      <c r="D52" s="832"/>
      <c r="E52" s="435"/>
      <c r="F52" s="831"/>
      <c r="G52" s="829"/>
      <c r="H52" s="832"/>
      <c r="I52" s="833"/>
    </row>
    <row r="53" spans="1:9">
      <c r="A53" s="818"/>
      <c r="B53" s="839"/>
      <c r="C53" s="935"/>
      <c r="D53" s="838">
        <f>C51*C52*B51</f>
        <v>52.416000000000004</v>
      </c>
      <c r="E53" s="839" t="s">
        <v>2117</v>
      </c>
      <c r="F53" s="831">
        <v>2</v>
      </c>
      <c r="G53" s="829">
        <v>0.9</v>
      </c>
      <c r="H53" s="832"/>
      <c r="I53" s="833" t="s">
        <v>1100</v>
      </c>
    </row>
    <row r="54" spans="1:9">
      <c r="A54" s="818"/>
      <c r="B54" s="831"/>
      <c r="C54" s="829"/>
      <c r="D54" s="832"/>
      <c r="E54" s="844"/>
      <c r="F54" s="831"/>
      <c r="G54" s="829">
        <v>2.73</v>
      </c>
      <c r="H54" s="832">
        <f>-G53*G54*F53</f>
        <v>-4.9139999999999997</v>
      </c>
      <c r="I54" s="833"/>
    </row>
    <row r="55" spans="1:9">
      <c r="A55" s="818"/>
      <c r="B55" s="831"/>
      <c r="C55" s="829"/>
      <c r="D55" s="832"/>
      <c r="E55" s="844" t="s">
        <v>38</v>
      </c>
      <c r="F55" s="831"/>
      <c r="G55" s="829"/>
      <c r="H55" s="832"/>
      <c r="I55" s="833" t="s">
        <v>62</v>
      </c>
    </row>
    <row r="56" spans="1:9">
      <c r="A56" s="818"/>
      <c r="B56" s="831">
        <v>2</v>
      </c>
      <c r="C56" s="829">
        <v>27.45</v>
      </c>
      <c r="D56" s="832"/>
      <c r="E56" s="833" t="s">
        <v>30</v>
      </c>
      <c r="F56" s="831">
        <v>1</v>
      </c>
      <c r="G56" s="829">
        <v>1.3</v>
      </c>
      <c r="H56" s="832"/>
      <c r="I56" s="833"/>
    </row>
    <row r="57" spans="1:9">
      <c r="A57" s="818"/>
      <c r="B57" s="831"/>
      <c r="C57" s="829">
        <v>0.8</v>
      </c>
      <c r="D57" s="832">
        <f>B56*C57*C56</f>
        <v>43.92</v>
      </c>
      <c r="E57" s="833" t="s">
        <v>880</v>
      </c>
      <c r="F57" s="831"/>
      <c r="G57" s="829">
        <v>2.73</v>
      </c>
      <c r="H57" s="832">
        <f>-G56*G57*F56</f>
        <v>-3.5489999999999999</v>
      </c>
      <c r="I57" s="833"/>
    </row>
    <row r="58" spans="1:9">
      <c r="A58" s="818"/>
      <c r="B58" s="831"/>
      <c r="C58" s="829"/>
      <c r="D58" s="832"/>
      <c r="E58" s="833" t="s">
        <v>40</v>
      </c>
      <c r="F58" s="831"/>
      <c r="G58" s="829"/>
      <c r="H58" s="832"/>
      <c r="I58" s="833"/>
    </row>
    <row r="59" spans="1:9">
      <c r="A59" s="818"/>
      <c r="B59" s="831">
        <v>20</v>
      </c>
      <c r="C59" s="829">
        <v>0.3</v>
      </c>
      <c r="D59" s="832"/>
      <c r="E59" s="833"/>
      <c r="F59" s="831">
        <v>2</v>
      </c>
      <c r="G59" s="829">
        <v>1.3</v>
      </c>
      <c r="H59" s="832"/>
      <c r="I59" s="833" t="s">
        <v>1102</v>
      </c>
    </row>
    <row r="60" spans="1:9">
      <c r="A60" s="818"/>
      <c r="B60" s="831"/>
      <c r="C60" s="829">
        <v>0.2</v>
      </c>
      <c r="D60" s="832">
        <f>C59*C60*20</f>
        <v>1.2</v>
      </c>
      <c r="E60" s="833"/>
      <c r="F60" s="831"/>
      <c r="G60" s="829">
        <v>2.73</v>
      </c>
      <c r="H60" s="832">
        <f>-G59*G60*F59</f>
        <v>-7.0979999999999999</v>
      </c>
      <c r="I60" s="833"/>
    </row>
    <row r="61" spans="1:9">
      <c r="A61" s="818"/>
      <c r="B61" s="831"/>
      <c r="C61" s="829"/>
      <c r="D61" s="832"/>
      <c r="E61" s="833"/>
      <c r="F61" s="831"/>
      <c r="G61" s="829"/>
      <c r="H61" s="832"/>
      <c r="I61" s="833"/>
    </row>
    <row r="62" spans="1:9">
      <c r="A62" s="818"/>
      <c r="B62" s="831">
        <v>2</v>
      </c>
      <c r="C62" s="829">
        <v>27.45</v>
      </c>
      <c r="D62" s="832"/>
      <c r="E62" s="833" t="s">
        <v>496</v>
      </c>
      <c r="F62" s="831">
        <v>2</v>
      </c>
      <c r="G62" s="829">
        <v>12.7</v>
      </c>
      <c r="H62" s="832"/>
      <c r="I62" s="833" t="s">
        <v>909</v>
      </c>
    </row>
    <row r="63" spans="1:9">
      <c r="A63" s="818"/>
      <c r="B63" s="831"/>
      <c r="C63" s="829">
        <v>0.8</v>
      </c>
      <c r="D63" s="832">
        <f>B62*C63*C62</f>
        <v>43.92</v>
      </c>
      <c r="E63" s="833" t="s">
        <v>1802</v>
      </c>
      <c r="F63" s="831"/>
      <c r="G63" s="829">
        <v>2.73</v>
      </c>
      <c r="H63" s="832">
        <f>G62*G63*F62</f>
        <v>69.341999999999999</v>
      </c>
      <c r="I63" s="833"/>
    </row>
    <row r="64" spans="1:9">
      <c r="A64" s="818"/>
      <c r="B64" s="109"/>
      <c r="C64" s="109"/>
      <c r="D64" s="109"/>
      <c r="E64" s="852" t="s">
        <v>40</v>
      </c>
      <c r="F64" s="849"/>
      <c r="G64" s="850"/>
      <c r="H64" s="851"/>
      <c r="I64" s="974"/>
    </row>
    <row r="65" spans="1:10">
      <c r="A65" s="828"/>
      <c r="B65" s="853" t="s">
        <v>1884</v>
      </c>
      <c r="C65" s="855" t="s">
        <v>526</v>
      </c>
      <c r="D65" s="856" t="s">
        <v>1885</v>
      </c>
      <c r="E65" s="854" t="s">
        <v>1886</v>
      </c>
      <c r="F65" s="853" t="s">
        <v>1884</v>
      </c>
      <c r="G65" s="855" t="s">
        <v>526</v>
      </c>
      <c r="H65" s="856" t="s">
        <v>1885</v>
      </c>
      <c r="I65" s="854" t="s">
        <v>1886</v>
      </c>
      <c r="J65" s="828"/>
    </row>
    <row r="66" spans="1:10">
      <c r="A66" s="818"/>
      <c r="B66" s="831">
        <v>2</v>
      </c>
      <c r="C66" s="829">
        <v>1.3</v>
      </c>
      <c r="D66" s="832"/>
      <c r="E66" s="833" t="s">
        <v>1104</v>
      </c>
      <c r="F66" s="831"/>
      <c r="G66" s="829"/>
      <c r="H66" s="832"/>
      <c r="I66" s="844" t="s">
        <v>131</v>
      </c>
    </row>
    <row r="67" spans="1:10">
      <c r="A67" s="818"/>
      <c r="B67" s="831"/>
      <c r="C67" s="829">
        <v>2.73</v>
      </c>
      <c r="D67" s="832">
        <f>-C66*C67*B66</f>
        <v>-7.0979999999999999</v>
      </c>
      <c r="E67" s="833"/>
      <c r="F67" s="831">
        <v>4</v>
      </c>
      <c r="G67" s="829">
        <v>7.26</v>
      </c>
      <c r="H67" s="832"/>
      <c r="I67" s="833" t="s">
        <v>133</v>
      </c>
    </row>
    <row r="68" spans="1:10">
      <c r="A68" s="818"/>
      <c r="B68" s="831"/>
      <c r="C68" s="829"/>
      <c r="D68" s="832"/>
      <c r="E68" s="833"/>
      <c r="F68" s="839"/>
      <c r="G68" s="935"/>
      <c r="H68" s="838">
        <f>G67*F67</f>
        <v>29.04</v>
      </c>
      <c r="I68" s="839" t="s">
        <v>2414</v>
      </c>
    </row>
    <row r="69" spans="1:10">
      <c r="A69" s="818"/>
      <c r="B69" s="831">
        <v>2</v>
      </c>
      <c r="C69" s="829">
        <v>1.3</v>
      </c>
      <c r="D69" s="832"/>
      <c r="E69" s="833" t="s">
        <v>1105</v>
      </c>
      <c r="F69" s="831"/>
      <c r="G69" s="829"/>
      <c r="H69" s="832"/>
      <c r="I69" s="833"/>
    </row>
    <row r="70" spans="1:10">
      <c r="A70" s="818"/>
      <c r="B70" s="831"/>
      <c r="C70" s="829">
        <v>0.6</v>
      </c>
      <c r="D70" s="832">
        <f>-C69*C70*B69</f>
        <v>-1.56</v>
      </c>
      <c r="E70" s="833"/>
      <c r="F70" s="831"/>
      <c r="G70" s="829"/>
      <c r="H70" s="832"/>
      <c r="I70" s="844" t="s">
        <v>105</v>
      </c>
    </row>
    <row r="71" spans="1:10">
      <c r="A71" s="818"/>
      <c r="B71" s="831"/>
      <c r="C71" s="829"/>
      <c r="D71" s="832"/>
      <c r="E71" s="833"/>
      <c r="F71" s="831">
        <v>2</v>
      </c>
      <c r="G71" s="829">
        <v>29.85</v>
      </c>
      <c r="H71" s="832"/>
      <c r="I71" s="833" t="s">
        <v>107</v>
      </c>
    </row>
    <row r="72" spans="1:10">
      <c r="A72" s="818"/>
      <c r="B72" s="831">
        <v>3</v>
      </c>
      <c r="C72" s="829">
        <v>5.5</v>
      </c>
      <c r="D72" s="832"/>
      <c r="E72" s="833" t="s">
        <v>1106</v>
      </c>
      <c r="F72" s="839"/>
      <c r="G72" s="935"/>
      <c r="H72" s="838">
        <f>G71*F71</f>
        <v>59.7</v>
      </c>
      <c r="I72" s="839" t="s">
        <v>2415</v>
      </c>
    </row>
    <row r="73" spans="1:10">
      <c r="A73" s="818"/>
      <c r="B73" s="831"/>
      <c r="C73" s="829">
        <v>3.03</v>
      </c>
      <c r="D73" s="832">
        <f>C72*C73*B72</f>
        <v>49.994999999999997</v>
      </c>
      <c r="E73" s="833"/>
      <c r="F73" s="831"/>
      <c r="G73" s="829"/>
      <c r="H73" s="832"/>
      <c r="I73" s="833"/>
    </row>
    <row r="74" spans="1:10">
      <c r="A74" s="818"/>
      <c r="B74" s="831"/>
      <c r="C74" s="829"/>
      <c r="D74" s="832"/>
      <c r="E74" s="833"/>
      <c r="F74" s="831"/>
      <c r="G74" s="829"/>
      <c r="H74" s="832"/>
      <c r="I74" s="844" t="s">
        <v>109</v>
      </c>
    </row>
    <row r="75" spans="1:10">
      <c r="A75" s="818"/>
      <c r="B75" s="831">
        <v>3</v>
      </c>
      <c r="C75" s="829">
        <v>0.9</v>
      </c>
      <c r="D75" s="832"/>
      <c r="E75" s="833" t="s">
        <v>59</v>
      </c>
      <c r="F75" s="831">
        <v>23</v>
      </c>
      <c r="G75" s="829">
        <v>14.7</v>
      </c>
      <c r="H75" s="832"/>
      <c r="I75" s="844" t="s">
        <v>110</v>
      </c>
    </row>
    <row r="76" spans="1:10">
      <c r="A76" s="818"/>
      <c r="B76" s="831"/>
      <c r="C76" s="829">
        <v>2.73</v>
      </c>
      <c r="D76" s="832">
        <f>-C75*C76*B75</f>
        <v>-7.3709999999999996</v>
      </c>
      <c r="E76" s="833"/>
      <c r="F76" s="831"/>
      <c r="G76" s="829"/>
      <c r="H76" s="832">
        <f>F75*G75</f>
        <v>338.09999999999997</v>
      </c>
      <c r="I76" s="833" t="s">
        <v>1111</v>
      </c>
    </row>
    <row r="77" spans="1:10">
      <c r="A77" s="818"/>
      <c r="B77" s="831"/>
      <c r="C77" s="829"/>
      <c r="D77" s="832"/>
      <c r="E77" s="833"/>
      <c r="F77" s="435"/>
      <c r="G77" s="435"/>
      <c r="H77" s="435"/>
      <c r="I77" s="435"/>
    </row>
    <row r="78" spans="1:10">
      <c r="A78" s="818"/>
      <c r="B78" s="831">
        <v>2</v>
      </c>
      <c r="C78" s="829">
        <v>5.5</v>
      </c>
      <c r="D78" s="832"/>
      <c r="E78" s="833" t="s">
        <v>1107</v>
      </c>
      <c r="F78" s="831">
        <v>23</v>
      </c>
      <c r="G78" s="829">
        <v>14.2</v>
      </c>
      <c r="H78" s="832"/>
      <c r="I78" s="833" t="s">
        <v>1112</v>
      </c>
    </row>
    <row r="79" spans="1:10">
      <c r="A79" s="818"/>
      <c r="B79" s="831"/>
      <c r="C79" s="829">
        <v>2.73</v>
      </c>
      <c r="D79" s="832">
        <f>C78*C79*B78</f>
        <v>30.03</v>
      </c>
      <c r="E79" s="833"/>
      <c r="F79" s="831"/>
      <c r="G79" s="829"/>
      <c r="H79" s="832">
        <f>F78*G78</f>
        <v>326.59999999999997</v>
      </c>
      <c r="I79" s="833"/>
    </row>
    <row r="80" spans="1:10">
      <c r="A80" s="818"/>
      <c r="B80" s="831"/>
      <c r="C80" s="829"/>
      <c r="D80" s="832"/>
      <c r="E80" s="833"/>
      <c r="F80" s="831"/>
      <c r="G80" s="829"/>
      <c r="H80" s="832"/>
      <c r="I80" s="833"/>
    </row>
    <row r="81" spans="1:9">
      <c r="A81" s="818"/>
      <c r="B81" s="831">
        <v>2</v>
      </c>
      <c r="C81" s="829">
        <v>5.5</v>
      </c>
      <c r="D81" s="832"/>
      <c r="E81" s="833" t="s">
        <v>1095</v>
      </c>
      <c r="F81" s="839"/>
      <c r="G81" s="935"/>
      <c r="H81" s="838">
        <f>SUM(H76:H79)</f>
        <v>664.69999999999993</v>
      </c>
      <c r="I81" s="839" t="s">
        <v>2127</v>
      </c>
    </row>
    <row r="82" spans="1:9">
      <c r="A82" s="818"/>
      <c r="B82" s="831"/>
      <c r="C82" s="829">
        <v>3.03</v>
      </c>
      <c r="D82" s="832">
        <f>C81*C82*B81</f>
        <v>33.33</v>
      </c>
      <c r="E82" s="833"/>
      <c r="F82" s="435"/>
      <c r="G82" s="435"/>
      <c r="H82" s="435"/>
      <c r="I82" s="435"/>
    </row>
    <row r="83" spans="1:9">
      <c r="A83" s="818"/>
      <c r="B83" s="435"/>
      <c r="C83" s="435"/>
      <c r="D83" s="435"/>
      <c r="E83" s="435"/>
      <c r="F83" s="831"/>
      <c r="G83" s="829"/>
      <c r="H83" s="832"/>
      <c r="I83" s="844" t="s">
        <v>114</v>
      </c>
    </row>
    <row r="84" spans="1:9">
      <c r="A84" s="818"/>
      <c r="B84" s="831">
        <v>2</v>
      </c>
      <c r="C84" s="829">
        <v>1.05</v>
      </c>
      <c r="D84" s="832"/>
      <c r="E84" s="833" t="s">
        <v>1096</v>
      </c>
      <c r="F84" s="831"/>
      <c r="G84" s="829"/>
      <c r="H84" s="832"/>
      <c r="I84" s="833"/>
    </row>
    <row r="85" spans="1:9">
      <c r="A85" s="818"/>
      <c r="B85" s="831"/>
      <c r="C85" s="829">
        <v>13</v>
      </c>
      <c r="D85" s="832">
        <f>C84*C85*B84</f>
        <v>27.3</v>
      </c>
      <c r="E85" s="833"/>
      <c r="F85" s="831">
        <v>23</v>
      </c>
      <c r="G85" s="829">
        <v>14.62</v>
      </c>
      <c r="H85" s="832"/>
      <c r="I85" s="833" t="s">
        <v>1114</v>
      </c>
    </row>
    <row r="86" spans="1:9">
      <c r="A86" s="818"/>
      <c r="B86" s="831"/>
      <c r="C86" s="829"/>
      <c r="D86" s="832"/>
      <c r="E86" s="833"/>
      <c r="F86" s="831"/>
      <c r="G86" s="829"/>
      <c r="H86" s="832">
        <f>F85*G85</f>
        <v>336.26</v>
      </c>
      <c r="I86" s="833" t="s">
        <v>1115</v>
      </c>
    </row>
    <row r="87" spans="1:9">
      <c r="A87" s="818"/>
      <c r="B87" s="831">
        <v>2</v>
      </c>
      <c r="C87" s="829">
        <v>28.95</v>
      </c>
      <c r="D87" s="832"/>
      <c r="E87" s="833" t="s">
        <v>1097</v>
      </c>
      <c r="F87" s="435"/>
      <c r="G87" s="435"/>
      <c r="H87" s="435"/>
      <c r="I87" s="435"/>
    </row>
    <row r="88" spans="1:9">
      <c r="A88" s="818"/>
      <c r="B88" s="831"/>
      <c r="C88" s="829">
        <v>0.2</v>
      </c>
      <c r="D88" s="832">
        <f>C87*C88*B87</f>
        <v>11.58</v>
      </c>
      <c r="E88" s="833"/>
      <c r="F88" s="831">
        <v>23</v>
      </c>
      <c r="G88" s="829">
        <v>18.64</v>
      </c>
      <c r="H88" s="832"/>
      <c r="I88" s="833"/>
    </row>
    <row r="89" spans="1:9">
      <c r="A89" s="818"/>
      <c r="B89" s="831"/>
      <c r="C89" s="829"/>
      <c r="D89" s="832"/>
      <c r="E89" s="833"/>
      <c r="F89" s="831"/>
      <c r="G89" s="829"/>
      <c r="H89" s="832">
        <f>F88*G88</f>
        <v>428.72</v>
      </c>
      <c r="I89" s="833"/>
    </row>
    <row r="90" spans="1:9">
      <c r="A90" s="818"/>
      <c r="B90" s="839"/>
      <c r="C90" s="935"/>
      <c r="D90" s="838">
        <f>SUM(D67:D88)+SUM(H38:H64)</f>
        <v>435.27199999999993</v>
      </c>
      <c r="E90" s="839" t="s">
        <v>2486</v>
      </c>
      <c r="F90" s="831"/>
      <c r="G90" s="829"/>
      <c r="H90" s="832"/>
      <c r="I90" s="833"/>
    </row>
    <row r="91" spans="1:9">
      <c r="A91" s="818"/>
      <c r="B91" s="831"/>
      <c r="C91" s="829"/>
      <c r="D91" s="832"/>
      <c r="E91" s="833"/>
      <c r="F91" s="839"/>
      <c r="G91" s="935"/>
      <c r="H91" s="838">
        <f>SUM(H86:H89)</f>
        <v>764.98</v>
      </c>
      <c r="I91" s="839" t="s">
        <v>2128</v>
      </c>
    </row>
    <row r="92" spans="1:9">
      <c r="A92" s="818"/>
      <c r="B92" s="831"/>
      <c r="C92" s="435"/>
      <c r="D92" s="832"/>
      <c r="E92" s="844" t="s">
        <v>86</v>
      </c>
      <c r="F92" s="435"/>
      <c r="G92" s="435"/>
      <c r="H92" s="435"/>
      <c r="I92" s="435"/>
    </row>
    <row r="93" spans="1:9">
      <c r="A93" s="818"/>
      <c r="B93" s="831">
        <v>3</v>
      </c>
      <c r="C93" s="829">
        <v>5.0999999999999996</v>
      </c>
      <c r="D93" s="832"/>
      <c r="E93" s="833" t="s">
        <v>885</v>
      </c>
      <c r="F93" s="831"/>
      <c r="G93" s="829"/>
      <c r="H93" s="832"/>
      <c r="I93" s="844" t="s">
        <v>117</v>
      </c>
    </row>
    <row r="94" spans="1:9">
      <c r="A94" s="818"/>
      <c r="B94" s="831"/>
      <c r="C94" s="829">
        <v>3.03</v>
      </c>
      <c r="D94" s="832">
        <f>C93*C94*B93</f>
        <v>46.358999999999995</v>
      </c>
      <c r="E94" s="833"/>
      <c r="F94" s="831"/>
      <c r="G94" s="829"/>
      <c r="H94" s="832"/>
      <c r="I94" s="833" t="s">
        <v>1108</v>
      </c>
    </row>
    <row r="95" spans="1:9">
      <c r="A95" s="818"/>
      <c r="B95" s="831"/>
      <c r="C95" s="829"/>
      <c r="D95" s="832"/>
      <c r="E95" s="833"/>
      <c r="F95" s="831">
        <v>18</v>
      </c>
      <c r="G95" s="829">
        <v>29.85</v>
      </c>
      <c r="H95" s="832"/>
      <c r="I95" s="833" t="s">
        <v>1109</v>
      </c>
    </row>
    <row r="96" spans="1:9">
      <c r="A96" s="818"/>
      <c r="B96" s="831">
        <v>4</v>
      </c>
      <c r="C96" s="829">
        <v>0.8</v>
      </c>
      <c r="D96" s="832"/>
      <c r="E96" s="833" t="s">
        <v>58</v>
      </c>
      <c r="F96" s="839"/>
      <c r="G96" s="935"/>
      <c r="H96" s="838">
        <f>F95*G95</f>
        <v>537.30000000000007</v>
      </c>
      <c r="I96" s="839" t="s">
        <v>2349</v>
      </c>
    </row>
    <row r="97" spans="1:9">
      <c r="A97" s="818"/>
      <c r="B97" s="831"/>
      <c r="C97" s="829">
        <v>2.73</v>
      </c>
      <c r="D97" s="832">
        <f>-C96*C97*B96</f>
        <v>-8.7360000000000007</v>
      </c>
      <c r="E97" s="833"/>
      <c r="F97" s="831"/>
      <c r="G97" s="829"/>
      <c r="H97" s="832"/>
      <c r="I97" s="833"/>
    </row>
    <row r="98" spans="1:9">
      <c r="A98" s="818"/>
      <c r="B98" s="831"/>
      <c r="C98" s="829"/>
      <c r="D98" s="832"/>
      <c r="E98" s="833"/>
      <c r="F98" s="831"/>
      <c r="G98" s="829"/>
      <c r="H98" s="832"/>
      <c r="I98" s="844" t="s">
        <v>2253</v>
      </c>
    </row>
    <row r="99" spans="1:9">
      <c r="A99" s="818"/>
      <c r="B99" s="831">
        <v>1</v>
      </c>
      <c r="C99" s="829">
        <v>5.0999999999999996</v>
      </c>
      <c r="D99" s="832"/>
      <c r="E99" s="833" t="s">
        <v>1101</v>
      </c>
      <c r="F99" s="831">
        <v>4</v>
      </c>
      <c r="G99" s="829">
        <v>7.26</v>
      </c>
      <c r="H99" s="832"/>
      <c r="I99" s="833"/>
    </row>
    <row r="100" spans="1:9">
      <c r="A100" s="818"/>
      <c r="B100" s="831"/>
      <c r="C100" s="829">
        <v>2.73</v>
      </c>
      <c r="D100" s="832">
        <f>C99*C100*B99</f>
        <v>13.922999999999998</v>
      </c>
      <c r="E100" s="833"/>
      <c r="F100" s="831"/>
      <c r="G100" s="829"/>
      <c r="H100" s="832">
        <f>F99*G99</f>
        <v>29.04</v>
      </c>
      <c r="I100" s="833"/>
    </row>
    <row r="101" spans="1:9">
      <c r="A101" s="818"/>
      <c r="B101" s="831"/>
      <c r="C101" s="829"/>
      <c r="D101" s="832"/>
      <c r="E101" s="833"/>
      <c r="F101" s="435"/>
      <c r="G101" s="435"/>
      <c r="H101" s="435"/>
      <c r="I101" s="833"/>
    </row>
    <row r="102" spans="1:9">
      <c r="A102" s="818"/>
      <c r="B102" s="831">
        <v>1</v>
      </c>
      <c r="C102" s="829">
        <v>0.9</v>
      </c>
      <c r="D102" s="832"/>
      <c r="E102" s="833" t="s">
        <v>347</v>
      </c>
      <c r="F102" s="831">
        <v>2</v>
      </c>
      <c r="G102" s="829">
        <v>29.85</v>
      </c>
      <c r="H102" s="832"/>
      <c r="I102" s="833"/>
    </row>
    <row r="103" spans="1:9">
      <c r="B103" s="831"/>
      <c r="C103" s="829">
        <v>2.73</v>
      </c>
      <c r="D103" s="832">
        <f>-C102*C103*B102</f>
        <v>-2.4569999999999999</v>
      </c>
      <c r="E103" s="833"/>
      <c r="F103" s="831"/>
      <c r="G103" s="829"/>
      <c r="H103" s="832">
        <f>F102*G102</f>
        <v>59.7</v>
      </c>
      <c r="I103" s="833"/>
    </row>
    <row r="104" spans="1:9" s="966" customFormat="1">
      <c r="A104" s="965"/>
      <c r="B104" s="831"/>
      <c r="C104" s="829"/>
      <c r="D104" s="832"/>
      <c r="E104" s="833"/>
      <c r="F104" s="831"/>
      <c r="G104" s="829"/>
      <c r="H104" s="832"/>
      <c r="I104" s="833"/>
    </row>
    <row r="105" spans="1:9">
      <c r="A105" s="818"/>
      <c r="B105" s="831">
        <v>1</v>
      </c>
      <c r="C105" s="829">
        <v>5.95</v>
      </c>
      <c r="D105" s="832"/>
      <c r="E105" s="833" t="s">
        <v>1103</v>
      </c>
      <c r="F105" s="839"/>
      <c r="G105" s="935"/>
      <c r="H105" s="838">
        <f>SUM(H99:H103)</f>
        <v>88.740000000000009</v>
      </c>
      <c r="I105" s="839" t="s">
        <v>2350</v>
      </c>
    </row>
    <row r="106" spans="1:9">
      <c r="A106" s="818"/>
      <c r="B106" s="831"/>
      <c r="C106" s="829">
        <v>3.03</v>
      </c>
      <c r="D106" s="832">
        <f>C105*C106*B105</f>
        <v>18.028500000000001</v>
      </c>
      <c r="E106" s="833"/>
      <c r="F106" s="831"/>
      <c r="G106" s="829"/>
      <c r="H106" s="832"/>
      <c r="I106" s="833"/>
    </row>
    <row r="107" spans="1:9">
      <c r="A107" s="818"/>
      <c r="B107" s="831"/>
      <c r="C107" s="829"/>
      <c r="D107" s="832"/>
      <c r="E107" s="833"/>
      <c r="F107" s="435"/>
      <c r="G107" s="829"/>
      <c r="H107" s="843"/>
      <c r="I107" s="943" t="s">
        <v>561</v>
      </c>
    </row>
    <row r="108" spans="1:9">
      <c r="A108" s="818"/>
      <c r="B108" s="839"/>
      <c r="C108" s="935"/>
      <c r="D108" s="838">
        <f>SUM(D94:D106)</f>
        <v>67.117499999999993</v>
      </c>
      <c r="E108" s="839" t="s">
        <v>2487</v>
      </c>
      <c r="F108" s="435"/>
      <c r="G108" s="829"/>
      <c r="H108" s="843"/>
      <c r="I108" s="943" t="s">
        <v>2435</v>
      </c>
    </row>
    <row r="109" spans="1:9">
      <c r="A109" s="818"/>
      <c r="B109" s="435"/>
      <c r="C109" s="435"/>
      <c r="D109" s="435"/>
      <c r="E109" s="435"/>
      <c r="F109" s="435">
        <v>1</v>
      </c>
      <c r="G109" s="829">
        <v>5</v>
      </c>
      <c r="H109" s="843"/>
      <c r="I109" s="943"/>
    </row>
    <row r="110" spans="1:9">
      <c r="A110" s="818"/>
      <c r="B110" s="831"/>
      <c r="C110" s="829"/>
      <c r="D110" s="832"/>
      <c r="E110" s="844" t="s">
        <v>124</v>
      </c>
      <c r="F110" s="839"/>
      <c r="G110" s="839"/>
      <c r="H110" s="838">
        <f>F109*G109</f>
        <v>5</v>
      </c>
      <c r="I110" s="839" t="s">
        <v>2131</v>
      </c>
    </row>
    <row r="111" spans="1:9">
      <c r="A111" s="818"/>
      <c r="B111" s="831"/>
      <c r="C111" s="829"/>
      <c r="D111" s="832"/>
      <c r="E111" s="844" t="s">
        <v>125</v>
      </c>
      <c r="F111" s="435"/>
      <c r="G111" s="829"/>
      <c r="H111" s="843"/>
      <c r="I111" s="943"/>
    </row>
    <row r="112" spans="1:9">
      <c r="A112" s="818"/>
      <c r="B112" s="831">
        <v>1</v>
      </c>
      <c r="C112" s="829">
        <v>14.2</v>
      </c>
      <c r="D112" s="832"/>
      <c r="E112" s="833" t="s">
        <v>894</v>
      </c>
      <c r="F112" s="435"/>
      <c r="G112" s="829"/>
      <c r="H112" s="843"/>
      <c r="I112" s="943" t="s">
        <v>993</v>
      </c>
    </row>
    <row r="113" spans="1:10">
      <c r="A113" s="818"/>
      <c r="B113" s="831"/>
      <c r="C113" s="829">
        <v>29.85</v>
      </c>
      <c r="D113" s="832"/>
      <c r="E113" s="833" t="s">
        <v>1110</v>
      </c>
      <c r="F113" s="435">
        <v>1</v>
      </c>
      <c r="G113" s="829">
        <v>5</v>
      </c>
      <c r="H113" s="843"/>
      <c r="I113" s="943"/>
    </row>
    <row r="114" spans="1:10">
      <c r="A114" s="818"/>
      <c r="B114" s="839"/>
      <c r="C114" s="935"/>
      <c r="D114" s="838">
        <f>C112*C113*B112</f>
        <v>423.87</v>
      </c>
      <c r="E114" s="839" t="s">
        <v>2124</v>
      </c>
      <c r="F114" s="839"/>
      <c r="G114" s="839"/>
      <c r="H114" s="838">
        <f>F113*G113</f>
        <v>5</v>
      </c>
      <c r="I114" s="839" t="s">
        <v>2139</v>
      </c>
    </row>
    <row r="115" spans="1:10">
      <c r="A115" s="818"/>
      <c r="B115" s="435"/>
      <c r="C115" s="435"/>
      <c r="D115" s="435"/>
      <c r="E115" s="435"/>
      <c r="F115" s="831"/>
      <c r="G115" s="829"/>
      <c r="H115" s="832"/>
      <c r="I115" s="833"/>
    </row>
    <row r="116" spans="1:10">
      <c r="A116" s="818"/>
      <c r="B116" s="831"/>
      <c r="C116" s="829"/>
      <c r="D116" s="832"/>
      <c r="E116" s="844" t="s">
        <v>129</v>
      </c>
      <c r="F116" s="435"/>
      <c r="G116" s="829"/>
      <c r="H116" s="843"/>
      <c r="I116" s="943" t="s">
        <v>2434</v>
      </c>
    </row>
    <row r="117" spans="1:10">
      <c r="A117" s="818"/>
      <c r="B117" s="831">
        <v>2</v>
      </c>
      <c r="C117" s="829">
        <v>29.85</v>
      </c>
      <c r="D117" s="832"/>
      <c r="E117" s="833"/>
      <c r="F117" s="435">
        <v>1</v>
      </c>
      <c r="G117" s="829">
        <v>2</v>
      </c>
      <c r="H117" s="843"/>
      <c r="I117" s="943"/>
    </row>
    <row r="118" spans="1:10">
      <c r="A118" s="818"/>
      <c r="B118" s="831"/>
      <c r="C118" s="829">
        <v>0.6</v>
      </c>
      <c r="D118" s="832">
        <f>C117*C118*B117</f>
        <v>35.82</v>
      </c>
      <c r="E118" s="833"/>
      <c r="F118" s="839"/>
      <c r="G118" s="839"/>
      <c r="H118" s="838">
        <f>F117*G117</f>
        <v>2</v>
      </c>
      <c r="I118" s="839" t="s">
        <v>2138</v>
      </c>
    </row>
    <row r="119" spans="1:10">
      <c r="A119" s="818"/>
      <c r="B119" s="831"/>
      <c r="C119" s="829"/>
      <c r="D119" s="832"/>
      <c r="E119" s="833"/>
      <c r="F119" s="435"/>
      <c r="G119" s="829"/>
      <c r="H119" s="843"/>
      <c r="I119" s="943"/>
    </row>
    <row r="120" spans="1:10">
      <c r="A120" s="818"/>
      <c r="B120" s="831">
        <v>4</v>
      </c>
      <c r="C120" s="829">
        <v>7.26</v>
      </c>
      <c r="D120" s="832"/>
      <c r="E120" s="833"/>
      <c r="F120" s="435"/>
      <c r="G120" s="829"/>
      <c r="H120" s="843"/>
      <c r="I120" s="943" t="s">
        <v>135</v>
      </c>
    </row>
    <row r="121" spans="1:10">
      <c r="A121" s="818"/>
      <c r="B121" s="435"/>
      <c r="C121" s="829">
        <v>0.6</v>
      </c>
      <c r="D121" s="832">
        <f>B120*C120*C121</f>
        <v>17.423999999999999</v>
      </c>
      <c r="E121" s="833"/>
      <c r="F121" s="435">
        <v>12</v>
      </c>
      <c r="G121" s="829">
        <v>1</v>
      </c>
      <c r="H121" s="843"/>
      <c r="I121" s="442" t="s">
        <v>137</v>
      </c>
    </row>
    <row r="122" spans="1:10">
      <c r="A122" s="818"/>
      <c r="B122" s="831"/>
      <c r="C122" s="829"/>
      <c r="D122" s="832"/>
      <c r="E122" s="833"/>
      <c r="F122" s="839"/>
      <c r="G122" s="839"/>
      <c r="H122" s="838">
        <f>F121*G121</f>
        <v>12</v>
      </c>
      <c r="I122" s="839" t="s">
        <v>2136</v>
      </c>
    </row>
    <row r="123" spans="1:10">
      <c r="A123" s="818"/>
      <c r="B123" s="839"/>
      <c r="C123" s="935"/>
      <c r="D123" s="838">
        <f>SUM(D118:D122)</f>
        <v>53.244</v>
      </c>
      <c r="E123" s="839" t="s">
        <v>2129</v>
      </c>
      <c r="F123" s="435"/>
      <c r="G123" s="829"/>
      <c r="H123" s="843"/>
      <c r="I123" s="442"/>
    </row>
    <row r="124" spans="1:10">
      <c r="A124" s="818"/>
      <c r="B124" s="976"/>
      <c r="C124" s="977"/>
      <c r="D124" s="109"/>
      <c r="E124" s="978"/>
      <c r="F124" s="976"/>
      <c r="G124" s="977"/>
      <c r="H124" s="109"/>
      <c r="I124" s="978"/>
    </row>
    <row r="125" spans="1:10">
      <c r="A125" s="828"/>
      <c r="B125" s="853" t="s">
        <v>1884</v>
      </c>
      <c r="C125" s="854" t="s">
        <v>526</v>
      </c>
      <c r="D125" s="855" t="s">
        <v>1885</v>
      </c>
      <c r="E125" s="854" t="s">
        <v>1886</v>
      </c>
      <c r="F125" s="853" t="s">
        <v>1884</v>
      </c>
      <c r="G125" s="855" t="s">
        <v>526</v>
      </c>
      <c r="H125" s="856" t="s">
        <v>1885</v>
      </c>
      <c r="I125" s="854" t="s">
        <v>1886</v>
      </c>
      <c r="J125" s="828"/>
    </row>
    <row r="126" spans="1:10">
      <c r="A126" s="818"/>
      <c r="B126" s="435"/>
      <c r="C126" s="943"/>
      <c r="D126" s="943"/>
      <c r="E126" s="833" t="s">
        <v>138</v>
      </c>
      <c r="F126" s="435">
        <v>2</v>
      </c>
      <c r="G126" s="829">
        <v>0.9</v>
      </c>
      <c r="H126" s="832"/>
      <c r="I126" s="833" t="s">
        <v>1100</v>
      </c>
    </row>
    <row r="127" spans="1:10">
      <c r="A127" s="818"/>
      <c r="B127" s="435">
        <v>4</v>
      </c>
      <c r="C127" s="829">
        <v>1</v>
      </c>
      <c r="D127" s="832"/>
      <c r="E127" s="435"/>
      <c r="F127" s="435"/>
      <c r="G127" s="829">
        <v>2.73</v>
      </c>
      <c r="H127" s="832">
        <f>-G126*G127*F126</f>
        <v>-4.9139999999999997</v>
      </c>
      <c r="I127" s="833"/>
    </row>
    <row r="128" spans="1:10">
      <c r="A128" s="818"/>
      <c r="B128" s="839"/>
      <c r="C128" s="839"/>
      <c r="D128" s="838">
        <f>B127*C127</f>
        <v>4</v>
      </c>
      <c r="E128" s="839" t="s">
        <v>2136</v>
      </c>
      <c r="F128" s="435"/>
      <c r="G128" s="829"/>
      <c r="H128" s="832"/>
      <c r="I128" s="833"/>
    </row>
    <row r="129" spans="1:9">
      <c r="A129" s="818"/>
      <c r="B129" s="435"/>
      <c r="C129" s="943"/>
      <c r="D129" s="943"/>
      <c r="E129" s="435"/>
      <c r="F129" s="435">
        <v>1</v>
      </c>
      <c r="G129" s="829">
        <v>26.2</v>
      </c>
      <c r="H129" s="832"/>
      <c r="I129" s="833" t="s">
        <v>1129</v>
      </c>
    </row>
    <row r="130" spans="1:9">
      <c r="A130" s="818"/>
      <c r="B130" s="435"/>
      <c r="C130" s="829"/>
      <c r="D130" s="832"/>
      <c r="E130" s="833" t="s">
        <v>1113</v>
      </c>
      <c r="F130" s="435"/>
      <c r="G130" s="829">
        <v>3.06</v>
      </c>
      <c r="H130" s="832">
        <f>G129*G130*F129</f>
        <v>80.171999999999997</v>
      </c>
      <c r="I130" s="833" t="s">
        <v>1131</v>
      </c>
    </row>
    <row r="131" spans="1:9">
      <c r="A131" s="818"/>
      <c r="B131" s="435">
        <v>2</v>
      </c>
      <c r="C131" s="829">
        <v>1</v>
      </c>
      <c r="D131" s="832"/>
      <c r="E131" s="435"/>
      <c r="F131" s="435"/>
      <c r="G131" s="829"/>
      <c r="H131" s="832"/>
      <c r="I131" s="833"/>
    </row>
    <row r="132" spans="1:9">
      <c r="A132" s="818"/>
      <c r="B132" s="839"/>
      <c r="C132" s="839"/>
      <c r="D132" s="838">
        <f>B131*C131</f>
        <v>2</v>
      </c>
      <c r="E132" s="839" t="s">
        <v>2360</v>
      </c>
      <c r="F132" s="435">
        <v>3</v>
      </c>
      <c r="G132" s="829">
        <v>1.5</v>
      </c>
      <c r="H132" s="832"/>
      <c r="I132" s="833" t="s">
        <v>79</v>
      </c>
    </row>
    <row r="133" spans="1:9">
      <c r="A133" s="818"/>
      <c r="B133" s="435"/>
      <c r="C133" s="943"/>
      <c r="D133" s="943"/>
      <c r="E133" s="435"/>
      <c r="F133" s="435"/>
      <c r="G133" s="829">
        <v>1.73</v>
      </c>
      <c r="H133" s="832">
        <f>-G132*G133*F132</f>
        <v>-7.7849999999999993</v>
      </c>
      <c r="I133" s="833"/>
    </row>
    <row r="134" spans="1:9">
      <c r="A134" s="818"/>
      <c r="B134" s="435"/>
      <c r="C134" s="829"/>
      <c r="D134" s="832"/>
      <c r="E134" s="833" t="s">
        <v>1116</v>
      </c>
      <c r="F134" s="435"/>
      <c r="G134" s="829"/>
      <c r="H134" s="832"/>
      <c r="I134" s="833"/>
    </row>
    <row r="135" spans="1:9">
      <c r="A135" s="818"/>
      <c r="B135" s="435">
        <v>2</v>
      </c>
      <c r="C135" s="829">
        <v>1</v>
      </c>
      <c r="D135" s="832"/>
      <c r="E135" s="435"/>
      <c r="F135" s="435">
        <v>2</v>
      </c>
      <c r="G135" s="829">
        <v>0.9</v>
      </c>
      <c r="H135" s="832"/>
      <c r="I135" s="833" t="s">
        <v>1100</v>
      </c>
    </row>
    <row r="136" spans="1:9">
      <c r="A136" s="818"/>
      <c r="B136" s="839"/>
      <c r="C136" s="839"/>
      <c r="D136" s="838">
        <f>B135*C135</f>
        <v>2</v>
      </c>
      <c r="E136" s="839" t="s">
        <v>2136</v>
      </c>
      <c r="F136" s="435"/>
      <c r="G136" s="829">
        <v>2.73</v>
      </c>
      <c r="H136" s="832">
        <f>-G135*G136*F135</f>
        <v>-4.9139999999999997</v>
      </c>
      <c r="I136" s="833"/>
    </row>
    <row r="137" spans="1:9">
      <c r="A137" s="818"/>
      <c r="B137" s="435"/>
      <c r="C137" s="943"/>
      <c r="D137" s="943"/>
      <c r="E137" s="435"/>
      <c r="F137" s="435"/>
      <c r="G137" s="829"/>
      <c r="H137" s="832"/>
      <c r="I137" s="833"/>
    </row>
    <row r="138" spans="1:9">
      <c r="A138" s="818"/>
      <c r="B138" s="435"/>
      <c r="C138" s="829"/>
      <c r="D138" s="832"/>
      <c r="E138" s="833" t="s">
        <v>1117</v>
      </c>
      <c r="F138" s="435">
        <v>2</v>
      </c>
      <c r="G138" s="829">
        <v>1.3</v>
      </c>
      <c r="H138" s="832"/>
      <c r="I138" s="833" t="s">
        <v>1118</v>
      </c>
    </row>
    <row r="139" spans="1:9">
      <c r="A139" s="818"/>
      <c r="B139" s="435">
        <v>4</v>
      </c>
      <c r="C139" s="829">
        <v>1</v>
      </c>
      <c r="D139" s="832"/>
      <c r="E139" s="435"/>
      <c r="F139" s="435"/>
      <c r="G139" s="829">
        <v>2.73</v>
      </c>
      <c r="H139" s="832">
        <f>-G138*G139*F138</f>
        <v>-7.0979999999999999</v>
      </c>
      <c r="I139" s="833"/>
    </row>
    <row r="140" spans="1:9">
      <c r="A140" s="818"/>
      <c r="B140" s="839"/>
      <c r="C140" s="839"/>
      <c r="D140" s="838">
        <f>B139*C139</f>
        <v>4</v>
      </c>
      <c r="E140" s="839" t="s">
        <v>2136</v>
      </c>
      <c r="F140" s="435"/>
      <c r="G140" s="829"/>
      <c r="H140" s="832"/>
      <c r="I140" s="833"/>
    </row>
    <row r="141" spans="1:9">
      <c r="A141" s="818"/>
      <c r="B141" s="435"/>
      <c r="C141" s="943"/>
      <c r="D141" s="943"/>
      <c r="E141" s="435"/>
      <c r="F141" s="435">
        <v>2</v>
      </c>
      <c r="G141" s="829">
        <v>16.600000000000001</v>
      </c>
      <c r="H141" s="832"/>
      <c r="I141" s="833" t="s">
        <v>1120</v>
      </c>
    </row>
    <row r="142" spans="1:9">
      <c r="A142" s="818"/>
      <c r="B142" s="435"/>
      <c r="C142" s="829"/>
      <c r="D142" s="832"/>
      <c r="E142" s="833" t="s">
        <v>2488</v>
      </c>
      <c r="F142" s="435"/>
      <c r="G142" s="829">
        <v>3.06</v>
      </c>
      <c r="H142" s="832">
        <f>G141*G142*F141</f>
        <v>101.59200000000001</v>
      </c>
      <c r="I142" s="833" t="s">
        <v>1121</v>
      </c>
    </row>
    <row r="143" spans="1:9">
      <c r="A143" s="818"/>
      <c r="B143" s="435">
        <v>1</v>
      </c>
      <c r="C143" s="829">
        <v>1</v>
      </c>
      <c r="D143" s="832"/>
      <c r="E143" s="435"/>
      <c r="F143" s="435"/>
      <c r="G143" s="829"/>
      <c r="H143" s="832"/>
      <c r="I143" s="833"/>
    </row>
    <row r="144" spans="1:9">
      <c r="A144" s="818"/>
      <c r="B144" s="839"/>
      <c r="C144" s="839"/>
      <c r="D144" s="838">
        <f>B143*C143</f>
        <v>1</v>
      </c>
      <c r="E144" s="839" t="s">
        <v>2136</v>
      </c>
      <c r="F144" s="435">
        <v>2</v>
      </c>
      <c r="G144" s="829">
        <v>1.5</v>
      </c>
      <c r="H144" s="832"/>
      <c r="I144" s="833" t="s">
        <v>212</v>
      </c>
    </row>
    <row r="145" spans="1:9">
      <c r="A145" s="818"/>
      <c r="B145" s="435"/>
      <c r="C145" s="829"/>
      <c r="D145" s="832"/>
      <c r="E145" s="833"/>
      <c r="F145" s="435"/>
      <c r="G145" s="829">
        <v>1.73</v>
      </c>
      <c r="H145" s="832">
        <f>-G144*G145*F144</f>
        <v>-5.1899999999999995</v>
      </c>
      <c r="I145" s="833"/>
    </row>
    <row r="146" spans="1:9">
      <c r="A146" s="818"/>
      <c r="B146" s="435"/>
      <c r="C146" s="943"/>
      <c r="D146" s="832"/>
      <c r="E146" s="844" t="s">
        <v>141</v>
      </c>
      <c r="F146" s="435"/>
      <c r="G146" s="829"/>
      <c r="H146" s="832"/>
      <c r="I146" s="833"/>
    </row>
    <row r="147" spans="1:9">
      <c r="A147" s="818"/>
      <c r="B147" s="435">
        <v>2</v>
      </c>
      <c r="C147" s="829">
        <v>27.45</v>
      </c>
      <c r="D147" s="832"/>
      <c r="E147" s="844" t="s">
        <v>142</v>
      </c>
      <c r="F147" s="435">
        <v>2</v>
      </c>
      <c r="G147" s="829">
        <v>0.9</v>
      </c>
      <c r="H147" s="832"/>
      <c r="I147" s="833" t="s">
        <v>93</v>
      </c>
    </row>
    <row r="148" spans="1:9">
      <c r="A148" s="818"/>
      <c r="B148" s="435"/>
      <c r="C148" s="829">
        <v>2.73</v>
      </c>
      <c r="D148" s="832">
        <f>C147*C148*B147</f>
        <v>149.87699999999998</v>
      </c>
      <c r="E148" s="833" t="s">
        <v>1119</v>
      </c>
      <c r="F148" s="435"/>
      <c r="G148" s="829">
        <v>2.73</v>
      </c>
      <c r="H148" s="832">
        <f>-G147*G148*F147</f>
        <v>-4.9139999999999997</v>
      </c>
      <c r="I148" s="833"/>
    </row>
    <row r="149" spans="1:9">
      <c r="A149" s="818"/>
      <c r="B149" s="435"/>
      <c r="C149" s="829"/>
      <c r="D149" s="832"/>
      <c r="E149" s="833"/>
      <c r="F149" s="435"/>
      <c r="G149" s="829"/>
      <c r="H149" s="832"/>
      <c r="I149" s="833"/>
    </row>
    <row r="150" spans="1:9">
      <c r="A150" s="818"/>
      <c r="B150" s="435">
        <v>12</v>
      </c>
      <c r="C150" s="829">
        <v>1.5</v>
      </c>
      <c r="D150" s="832"/>
      <c r="E150" s="833"/>
      <c r="F150" s="435">
        <v>1</v>
      </c>
      <c r="G150" s="829">
        <v>15.2</v>
      </c>
      <c r="H150" s="832"/>
      <c r="I150" s="833" t="s">
        <v>1122</v>
      </c>
    </row>
    <row r="151" spans="1:9">
      <c r="A151" s="818"/>
      <c r="B151" s="435"/>
      <c r="C151" s="829">
        <v>1.63</v>
      </c>
      <c r="D151" s="832">
        <f>-C150*C151*B150</f>
        <v>-29.339999999999996</v>
      </c>
      <c r="E151" s="833" t="s">
        <v>268</v>
      </c>
      <c r="F151" s="435"/>
      <c r="G151" s="829">
        <v>3.06</v>
      </c>
      <c r="H151" s="832">
        <f>G150*G151*F150</f>
        <v>46.512</v>
      </c>
      <c r="I151" s="833" t="s">
        <v>1123</v>
      </c>
    </row>
    <row r="152" spans="1:9">
      <c r="A152" s="818"/>
      <c r="B152" s="435"/>
      <c r="C152" s="829"/>
      <c r="D152" s="832"/>
      <c r="E152" s="833"/>
      <c r="F152" s="435"/>
      <c r="G152" s="829"/>
      <c r="H152" s="832"/>
      <c r="I152" s="833"/>
    </row>
    <row r="153" spans="1:9">
      <c r="A153" s="818"/>
      <c r="B153" s="435">
        <v>4</v>
      </c>
      <c r="C153" s="829">
        <v>1.3</v>
      </c>
      <c r="D153" s="832"/>
      <c r="E153" s="833"/>
      <c r="F153" s="435">
        <v>1</v>
      </c>
      <c r="G153" s="829">
        <v>1.3</v>
      </c>
      <c r="H153" s="832"/>
      <c r="I153" s="833" t="s">
        <v>365</v>
      </c>
    </row>
    <row r="154" spans="1:9">
      <c r="A154" s="818"/>
      <c r="B154" s="435"/>
      <c r="C154" s="829">
        <v>1.63</v>
      </c>
      <c r="D154" s="832">
        <f>-C153*C154*B153</f>
        <v>-8.4759999999999991</v>
      </c>
      <c r="E154" s="833" t="s">
        <v>1098</v>
      </c>
      <c r="F154" s="435"/>
      <c r="G154" s="829">
        <v>1.73</v>
      </c>
      <c r="H154" s="832">
        <f>-G153*G154*F153</f>
        <v>-2.2490000000000001</v>
      </c>
      <c r="I154" s="833"/>
    </row>
    <row r="155" spans="1:9">
      <c r="A155" s="818"/>
      <c r="B155" s="435"/>
      <c r="C155" s="829"/>
      <c r="D155" s="832"/>
      <c r="E155" s="833"/>
      <c r="F155" s="435"/>
      <c r="G155" s="829"/>
      <c r="H155" s="832"/>
      <c r="I155" s="833"/>
    </row>
    <row r="156" spans="1:9">
      <c r="A156" s="818"/>
      <c r="B156" s="435">
        <v>4</v>
      </c>
      <c r="C156" s="829">
        <v>1.3</v>
      </c>
      <c r="D156" s="832"/>
      <c r="E156" s="833"/>
      <c r="F156" s="435">
        <v>1</v>
      </c>
      <c r="G156" s="829">
        <v>0.9</v>
      </c>
      <c r="H156" s="832"/>
      <c r="I156" s="833" t="s">
        <v>72</v>
      </c>
    </row>
    <row r="157" spans="1:9">
      <c r="A157" s="818"/>
      <c r="B157" s="435"/>
      <c r="C157" s="829">
        <v>2.73</v>
      </c>
      <c r="D157" s="832">
        <f>-C156*C157*B156</f>
        <v>-14.196</v>
      </c>
      <c r="E157" s="833" t="s">
        <v>1099</v>
      </c>
      <c r="F157" s="435"/>
      <c r="G157" s="829">
        <v>2.73</v>
      </c>
      <c r="H157" s="832">
        <f>-G156*G157*F156</f>
        <v>-2.4569999999999999</v>
      </c>
      <c r="I157" s="833"/>
    </row>
    <row r="158" spans="1:9">
      <c r="A158" s="818"/>
      <c r="B158" s="435"/>
      <c r="C158" s="829"/>
      <c r="D158" s="832"/>
      <c r="E158" s="833"/>
      <c r="F158" s="435"/>
      <c r="G158" s="829"/>
      <c r="H158" s="832"/>
      <c r="I158" s="833"/>
    </row>
    <row r="159" spans="1:9">
      <c r="A159" s="818"/>
      <c r="B159" s="435">
        <v>1</v>
      </c>
      <c r="C159" s="829">
        <v>0.9</v>
      </c>
      <c r="D159" s="832"/>
      <c r="E159" s="833"/>
      <c r="F159" s="435">
        <v>1</v>
      </c>
      <c r="G159" s="829">
        <v>11.9</v>
      </c>
      <c r="H159" s="832"/>
      <c r="I159" s="833" t="s">
        <v>160</v>
      </c>
    </row>
    <row r="160" spans="1:9">
      <c r="A160" s="818"/>
      <c r="B160" s="435"/>
      <c r="C160" s="829">
        <v>2.73</v>
      </c>
      <c r="D160" s="832">
        <f>-C159*C160*B159</f>
        <v>-2.4569999999999999</v>
      </c>
      <c r="E160" s="833" t="s">
        <v>507</v>
      </c>
      <c r="F160" s="435"/>
      <c r="G160" s="829">
        <v>3.06</v>
      </c>
      <c r="H160" s="832">
        <f>G159*G160*F159</f>
        <v>36.414000000000001</v>
      </c>
      <c r="I160" s="833" t="s">
        <v>1124</v>
      </c>
    </row>
    <row r="161" spans="1:9">
      <c r="A161" s="818"/>
      <c r="B161" s="435"/>
      <c r="C161" s="829"/>
      <c r="D161" s="832"/>
      <c r="E161" s="833"/>
      <c r="F161" s="435"/>
      <c r="G161" s="829"/>
      <c r="H161" s="832"/>
      <c r="I161" s="833"/>
    </row>
    <row r="162" spans="1:9">
      <c r="A162" s="818"/>
      <c r="B162" s="435">
        <v>2</v>
      </c>
      <c r="C162" s="829">
        <v>12.2</v>
      </c>
      <c r="D162" s="832"/>
      <c r="E162" s="833"/>
      <c r="F162" s="435">
        <v>2</v>
      </c>
      <c r="G162" s="829">
        <v>0.8</v>
      </c>
      <c r="H162" s="832"/>
      <c r="I162" s="833" t="s">
        <v>177</v>
      </c>
    </row>
    <row r="163" spans="1:9">
      <c r="A163" s="818"/>
      <c r="B163" s="435"/>
      <c r="C163" s="829">
        <v>2.73</v>
      </c>
      <c r="D163" s="832">
        <f>C162*C163*B162</f>
        <v>66.611999999999995</v>
      </c>
      <c r="E163" s="833" t="s">
        <v>909</v>
      </c>
      <c r="F163" s="435"/>
      <c r="G163" s="829">
        <v>2.73</v>
      </c>
      <c r="H163" s="832">
        <f>-G162*G163*F162</f>
        <v>-4.3680000000000003</v>
      </c>
      <c r="I163" s="833"/>
    </row>
    <row r="164" spans="1:9">
      <c r="A164" s="818"/>
      <c r="B164" s="435"/>
      <c r="C164" s="829"/>
      <c r="D164" s="832"/>
      <c r="E164" s="833"/>
      <c r="F164" s="435"/>
      <c r="G164" s="829"/>
      <c r="H164" s="832"/>
      <c r="I164" s="833"/>
    </row>
    <row r="165" spans="1:9">
      <c r="A165" s="818"/>
      <c r="B165" s="435">
        <v>2</v>
      </c>
      <c r="C165" s="829">
        <v>1.4</v>
      </c>
      <c r="D165" s="832"/>
      <c r="E165" s="833"/>
      <c r="F165" s="435">
        <v>1</v>
      </c>
      <c r="G165" s="829">
        <v>21.9</v>
      </c>
      <c r="H165" s="832"/>
      <c r="I165" s="833" t="s">
        <v>1125</v>
      </c>
    </row>
    <row r="166" spans="1:9">
      <c r="A166" s="818"/>
      <c r="B166" s="435"/>
      <c r="C166" s="829">
        <v>2.73</v>
      </c>
      <c r="D166" s="832">
        <f>-C165*C166*B165</f>
        <v>-7.6439999999999992</v>
      </c>
      <c r="E166" s="833" t="s">
        <v>1104</v>
      </c>
      <c r="F166" s="435"/>
      <c r="G166" s="829">
        <v>3.06</v>
      </c>
      <c r="H166" s="832">
        <f>G165*G166*F165</f>
        <v>67.013999999999996</v>
      </c>
      <c r="I166" s="833" t="s">
        <v>1127</v>
      </c>
    </row>
    <row r="167" spans="1:9">
      <c r="A167" s="818"/>
      <c r="B167" s="435"/>
      <c r="C167" s="829"/>
      <c r="D167" s="832"/>
      <c r="E167" s="833"/>
      <c r="F167" s="435"/>
      <c r="G167" s="829"/>
      <c r="H167" s="832"/>
      <c r="I167" s="833"/>
    </row>
    <row r="168" spans="1:9">
      <c r="A168" s="818"/>
      <c r="B168" s="435">
        <v>2</v>
      </c>
      <c r="C168" s="829">
        <v>1.3</v>
      </c>
      <c r="D168" s="832"/>
      <c r="E168" s="833"/>
      <c r="F168" s="435">
        <v>4</v>
      </c>
      <c r="G168" s="829">
        <v>0.8</v>
      </c>
      <c r="H168" s="832"/>
      <c r="I168" s="833" t="s">
        <v>197</v>
      </c>
    </row>
    <row r="169" spans="1:9">
      <c r="A169" s="818"/>
      <c r="B169" s="435"/>
      <c r="C169" s="829">
        <v>0.6</v>
      </c>
      <c r="D169" s="832">
        <f>-C168*C169*B168</f>
        <v>-1.56</v>
      </c>
      <c r="E169" s="833" t="s">
        <v>1105</v>
      </c>
      <c r="F169" s="435"/>
      <c r="G169" s="829">
        <v>2.73</v>
      </c>
      <c r="H169" s="832">
        <f>-G168*G169*F168</f>
        <v>-8.7360000000000007</v>
      </c>
      <c r="I169" s="833"/>
    </row>
    <row r="170" spans="1:9">
      <c r="A170" s="818"/>
      <c r="B170" s="435"/>
      <c r="C170" s="829"/>
      <c r="D170" s="832"/>
      <c r="E170" s="833"/>
      <c r="F170" s="435"/>
      <c r="G170" s="829"/>
      <c r="H170" s="832"/>
      <c r="I170" s="833"/>
    </row>
    <row r="171" spans="1:9">
      <c r="A171" s="818"/>
      <c r="B171" s="435">
        <v>2</v>
      </c>
      <c r="C171" s="829">
        <v>1.05</v>
      </c>
      <c r="D171" s="832"/>
      <c r="E171" s="833" t="s">
        <v>1096</v>
      </c>
      <c r="F171" s="435">
        <v>1</v>
      </c>
      <c r="G171" s="829">
        <v>1.5</v>
      </c>
      <c r="H171" s="832"/>
      <c r="I171" s="833" t="s">
        <v>360</v>
      </c>
    </row>
    <row r="172" spans="1:9">
      <c r="A172" s="818"/>
      <c r="B172" s="435"/>
      <c r="C172" s="829">
        <v>13</v>
      </c>
      <c r="D172" s="832">
        <f>C171*C172*B171</f>
        <v>27.3</v>
      </c>
      <c r="E172" s="833"/>
      <c r="F172" s="435"/>
      <c r="G172" s="829">
        <v>1.73</v>
      </c>
      <c r="H172" s="832">
        <f>-G171*G172*F171</f>
        <v>-2.5949999999999998</v>
      </c>
      <c r="I172" s="833"/>
    </row>
    <row r="173" spans="1:9">
      <c r="A173" s="818"/>
      <c r="B173" s="435"/>
      <c r="C173" s="829"/>
      <c r="D173" s="832"/>
      <c r="E173" s="833"/>
      <c r="F173" s="435"/>
      <c r="G173" s="829"/>
      <c r="H173" s="832"/>
      <c r="I173" s="833"/>
    </row>
    <row r="174" spans="1:9">
      <c r="A174" s="818"/>
      <c r="B174" s="839"/>
      <c r="C174" s="839"/>
      <c r="D174" s="838">
        <f>SUM(D147:D172)</f>
        <v>180.11599999999999</v>
      </c>
      <c r="E174" s="839" t="s">
        <v>2182</v>
      </c>
      <c r="F174" s="435">
        <v>1</v>
      </c>
      <c r="G174" s="829">
        <v>42.8</v>
      </c>
      <c r="H174" s="832"/>
      <c r="I174" s="833" t="s">
        <v>118</v>
      </c>
    </row>
    <row r="175" spans="1:9">
      <c r="A175" s="818"/>
      <c r="B175" s="435"/>
      <c r="C175" s="829"/>
      <c r="D175" s="832"/>
      <c r="E175" s="833"/>
      <c r="F175" s="435"/>
      <c r="G175" s="829">
        <v>2.73</v>
      </c>
      <c r="H175" s="832">
        <f>G174*G175*F174</f>
        <v>116.84399999999999</v>
      </c>
      <c r="I175" s="833" t="s">
        <v>1130</v>
      </c>
    </row>
    <row r="176" spans="1:9">
      <c r="A176" s="818"/>
      <c r="B176" s="435"/>
      <c r="C176" s="829"/>
      <c r="D176" s="832"/>
      <c r="E176" s="844" t="s">
        <v>358</v>
      </c>
      <c r="F176" s="435"/>
      <c r="G176" s="829"/>
      <c r="H176" s="832"/>
      <c r="I176" s="833"/>
    </row>
    <row r="177" spans="1:10">
      <c r="A177" s="818"/>
      <c r="B177" s="435"/>
      <c r="C177" s="829"/>
      <c r="D177" s="832"/>
      <c r="E177" s="844" t="s">
        <v>359</v>
      </c>
      <c r="F177" s="435">
        <v>2</v>
      </c>
      <c r="G177" s="829">
        <v>0.8</v>
      </c>
      <c r="H177" s="832"/>
      <c r="I177" s="833" t="s">
        <v>177</v>
      </c>
    </row>
    <row r="178" spans="1:10">
      <c r="A178" s="818"/>
      <c r="B178" s="435">
        <v>1</v>
      </c>
      <c r="C178" s="829">
        <v>16.2</v>
      </c>
      <c r="D178" s="832"/>
      <c r="E178" s="833" t="s">
        <v>1126</v>
      </c>
      <c r="F178" s="435"/>
      <c r="G178" s="829">
        <v>2.73</v>
      </c>
      <c r="H178" s="832">
        <f>-G177*G178*F177</f>
        <v>-4.3680000000000003</v>
      </c>
      <c r="I178" s="833"/>
    </row>
    <row r="179" spans="1:10">
      <c r="A179" s="818"/>
      <c r="B179" s="435"/>
      <c r="C179" s="829">
        <v>3.06</v>
      </c>
      <c r="D179" s="832">
        <f>C178*C179*B178</f>
        <v>49.571999999999996</v>
      </c>
      <c r="E179" s="833" t="s">
        <v>1128</v>
      </c>
      <c r="F179" s="435"/>
      <c r="G179" s="829"/>
      <c r="H179" s="832"/>
      <c r="I179" s="833"/>
    </row>
    <row r="180" spans="1:10">
      <c r="A180" s="818"/>
      <c r="B180" s="435"/>
      <c r="C180" s="829"/>
      <c r="D180" s="832"/>
      <c r="E180" s="833"/>
      <c r="F180" s="435">
        <v>4</v>
      </c>
      <c r="G180" s="829">
        <v>1.55</v>
      </c>
      <c r="H180" s="832"/>
      <c r="I180" s="833"/>
    </row>
    <row r="181" spans="1:10">
      <c r="A181" s="818"/>
      <c r="B181" s="435">
        <v>1</v>
      </c>
      <c r="C181" s="829">
        <v>1.3</v>
      </c>
      <c r="D181" s="832"/>
      <c r="E181" s="833" t="s">
        <v>157</v>
      </c>
      <c r="F181" s="435"/>
      <c r="G181" s="829">
        <v>2.73</v>
      </c>
      <c r="H181" s="832">
        <f>G180*G181*F180</f>
        <v>16.926000000000002</v>
      </c>
      <c r="I181" s="833"/>
    </row>
    <row r="182" spans="1:10">
      <c r="A182" s="818"/>
      <c r="B182" s="435"/>
      <c r="C182" s="829">
        <v>1.73</v>
      </c>
      <c r="D182" s="832">
        <f>-C181*C182*B181</f>
        <v>-2.2490000000000001</v>
      </c>
      <c r="E182" s="435"/>
      <c r="F182" s="435"/>
      <c r="G182" s="829"/>
      <c r="H182" s="832"/>
      <c r="I182" s="833"/>
    </row>
    <row r="183" spans="1:10">
      <c r="A183" s="818"/>
      <c r="B183" s="109"/>
      <c r="C183" s="850"/>
      <c r="D183" s="851"/>
      <c r="E183" s="852"/>
      <c r="F183" s="860"/>
      <c r="G183" s="927"/>
      <c r="H183" s="928"/>
      <c r="I183" s="109"/>
    </row>
    <row r="184" spans="1:10">
      <c r="A184" s="828"/>
      <c r="B184" s="853" t="s">
        <v>1884</v>
      </c>
      <c r="C184" s="854" t="s">
        <v>526</v>
      </c>
      <c r="D184" s="855" t="s">
        <v>1885</v>
      </c>
      <c r="E184" s="854" t="s">
        <v>1886</v>
      </c>
      <c r="F184" s="853" t="s">
        <v>1884</v>
      </c>
      <c r="G184" s="854" t="s">
        <v>526</v>
      </c>
      <c r="H184" s="855" t="s">
        <v>1885</v>
      </c>
      <c r="I184" s="854" t="s">
        <v>1886</v>
      </c>
      <c r="J184" s="828"/>
    </row>
    <row r="185" spans="1:10">
      <c r="A185" s="818"/>
      <c r="B185" s="435">
        <v>8</v>
      </c>
      <c r="C185" s="829">
        <v>0.7</v>
      </c>
      <c r="D185" s="832"/>
      <c r="E185" s="833" t="s">
        <v>1132</v>
      </c>
      <c r="F185" s="435">
        <v>1</v>
      </c>
      <c r="G185" s="829">
        <v>0.9</v>
      </c>
      <c r="H185" s="832"/>
      <c r="I185" s="833" t="s">
        <v>72</v>
      </c>
    </row>
    <row r="186" spans="1:10">
      <c r="A186" s="818"/>
      <c r="B186" s="435"/>
      <c r="C186" s="829">
        <v>2.73</v>
      </c>
      <c r="D186" s="832">
        <f>-C185*C186*B185</f>
        <v>-15.287999999999998</v>
      </c>
      <c r="E186" s="833"/>
      <c r="F186" s="435"/>
      <c r="G186" s="829">
        <v>2.73</v>
      </c>
      <c r="H186" s="832">
        <f>-G185*G186*F185</f>
        <v>-2.4569999999999999</v>
      </c>
      <c r="I186" s="833"/>
    </row>
    <row r="187" spans="1:10">
      <c r="A187" s="818"/>
      <c r="B187" s="435"/>
      <c r="C187" s="829"/>
      <c r="D187" s="832"/>
      <c r="E187" s="833"/>
      <c r="F187" s="435"/>
      <c r="G187" s="829"/>
      <c r="H187" s="832"/>
      <c r="I187" s="833"/>
    </row>
    <row r="188" spans="1:10">
      <c r="A188" s="818"/>
      <c r="B188" s="435">
        <v>2</v>
      </c>
      <c r="C188" s="829">
        <v>1.3</v>
      </c>
      <c r="D188" s="832"/>
      <c r="E188" s="833" t="s">
        <v>150</v>
      </c>
      <c r="F188" s="435">
        <v>1</v>
      </c>
      <c r="G188" s="829">
        <v>18.8</v>
      </c>
      <c r="H188" s="832"/>
      <c r="I188" s="833" t="s">
        <v>1137</v>
      </c>
    </row>
    <row r="189" spans="1:10">
      <c r="A189" s="818"/>
      <c r="B189" s="435"/>
      <c r="C189" s="829">
        <v>0.6</v>
      </c>
      <c r="D189" s="832">
        <f>-C188*C189*B188</f>
        <v>-1.56</v>
      </c>
      <c r="E189" s="833"/>
      <c r="F189" s="435"/>
      <c r="G189" s="829">
        <v>3.06</v>
      </c>
      <c r="H189" s="832">
        <f>G188*G189*F188</f>
        <v>57.528000000000006</v>
      </c>
      <c r="I189" s="833" t="s">
        <v>1138</v>
      </c>
    </row>
    <row r="190" spans="1:10">
      <c r="A190" s="818"/>
      <c r="B190" s="435"/>
      <c r="C190" s="829"/>
      <c r="D190" s="832"/>
      <c r="E190" s="833"/>
      <c r="F190" s="435"/>
      <c r="G190" s="829"/>
      <c r="H190" s="832"/>
      <c r="I190" s="833"/>
    </row>
    <row r="191" spans="1:10">
      <c r="A191" s="818"/>
      <c r="B191" s="435">
        <v>1</v>
      </c>
      <c r="C191" s="829">
        <v>60.5</v>
      </c>
      <c r="D191" s="832"/>
      <c r="E191" s="833" t="s">
        <v>160</v>
      </c>
      <c r="F191" s="435">
        <v>1</v>
      </c>
      <c r="G191" s="829">
        <v>1.3</v>
      </c>
      <c r="H191" s="832"/>
      <c r="I191" s="833" t="s">
        <v>1133</v>
      </c>
    </row>
    <row r="192" spans="1:10">
      <c r="A192" s="818"/>
      <c r="B192" s="435"/>
      <c r="C192" s="829">
        <v>3.06</v>
      </c>
      <c r="D192" s="832">
        <f>C191*C192*B191</f>
        <v>185.13</v>
      </c>
      <c r="E192" s="833" t="s">
        <v>1136</v>
      </c>
      <c r="F192" s="435"/>
      <c r="G192" s="829">
        <v>2.73</v>
      </c>
      <c r="H192" s="832">
        <f>-G191*G192*F191</f>
        <v>-3.5489999999999999</v>
      </c>
      <c r="I192" s="833"/>
    </row>
    <row r="193" spans="1:9">
      <c r="A193" s="818"/>
      <c r="B193" s="435"/>
      <c r="C193" s="829"/>
      <c r="D193" s="832"/>
      <c r="E193" s="833"/>
      <c r="F193" s="435"/>
      <c r="G193" s="829"/>
      <c r="H193" s="832"/>
      <c r="I193" s="833"/>
    </row>
    <row r="194" spans="1:9">
      <c r="A194" s="818"/>
      <c r="B194" s="435">
        <v>1</v>
      </c>
      <c r="C194" s="829">
        <v>1.3</v>
      </c>
      <c r="D194" s="832"/>
      <c r="E194" s="833" t="s">
        <v>205</v>
      </c>
      <c r="F194" s="435">
        <v>1</v>
      </c>
      <c r="G194" s="829">
        <v>0.9</v>
      </c>
      <c r="H194" s="832"/>
      <c r="I194" s="833" t="s">
        <v>72</v>
      </c>
    </row>
    <row r="195" spans="1:9">
      <c r="A195" s="818"/>
      <c r="B195" s="435"/>
      <c r="C195" s="829">
        <v>2.73</v>
      </c>
      <c r="D195" s="832">
        <f>-C194*C195*B194</f>
        <v>-3.5489999999999999</v>
      </c>
      <c r="E195" s="833"/>
      <c r="F195" s="435"/>
      <c r="G195" s="829">
        <v>2.73</v>
      </c>
      <c r="H195" s="832">
        <f>-G194*G195*F194</f>
        <v>-2.4569999999999999</v>
      </c>
      <c r="I195" s="833"/>
    </row>
    <row r="196" spans="1:9">
      <c r="A196" s="818"/>
      <c r="B196" s="435"/>
      <c r="C196" s="829"/>
      <c r="D196" s="832"/>
      <c r="E196" s="833"/>
      <c r="F196" s="435"/>
      <c r="G196" s="829"/>
      <c r="H196" s="832"/>
      <c r="I196" s="833"/>
    </row>
    <row r="197" spans="1:9">
      <c r="A197" s="818"/>
      <c r="B197" s="435">
        <v>2</v>
      </c>
      <c r="C197" s="829">
        <v>1.4</v>
      </c>
      <c r="D197" s="832"/>
      <c r="E197" s="833"/>
      <c r="F197" s="435">
        <v>1</v>
      </c>
      <c r="G197" s="829">
        <v>1.3</v>
      </c>
      <c r="H197" s="832"/>
      <c r="I197" s="833"/>
    </row>
    <row r="198" spans="1:9">
      <c r="A198" s="818"/>
      <c r="B198" s="435"/>
      <c r="C198" s="829">
        <v>2.73</v>
      </c>
      <c r="D198" s="832">
        <f>-C197*C198*B197</f>
        <v>-7.6439999999999992</v>
      </c>
      <c r="E198" s="833" t="s">
        <v>1104</v>
      </c>
      <c r="F198" s="435"/>
      <c r="G198" s="829">
        <v>1.73</v>
      </c>
      <c r="H198" s="832">
        <f>-G197*G198*F197</f>
        <v>-2.2490000000000001</v>
      </c>
      <c r="I198" s="833" t="s">
        <v>747</v>
      </c>
    </row>
    <row r="199" spans="1:9">
      <c r="A199" s="818"/>
      <c r="B199" s="435"/>
      <c r="C199" s="829"/>
      <c r="D199" s="832"/>
      <c r="E199" s="833"/>
      <c r="F199" s="435"/>
      <c r="G199" s="829"/>
      <c r="H199" s="832"/>
      <c r="I199" s="833"/>
    </row>
    <row r="200" spans="1:9">
      <c r="A200" s="818"/>
      <c r="B200" s="435">
        <v>2</v>
      </c>
      <c r="C200" s="829">
        <v>0.9</v>
      </c>
      <c r="D200" s="832"/>
      <c r="E200" s="833" t="s">
        <v>93</v>
      </c>
      <c r="F200" s="435">
        <v>2</v>
      </c>
      <c r="G200" s="829">
        <v>28.65</v>
      </c>
      <c r="H200" s="832"/>
      <c r="I200" s="833"/>
    </row>
    <row r="201" spans="1:9">
      <c r="A201" s="818"/>
      <c r="B201" s="435"/>
      <c r="C201" s="829">
        <v>2.73</v>
      </c>
      <c r="D201" s="832">
        <f>-C200*C201*B200</f>
        <v>-4.9139999999999997</v>
      </c>
      <c r="E201" s="833"/>
      <c r="F201" s="435"/>
      <c r="G201" s="829">
        <v>0.4</v>
      </c>
      <c r="H201" s="832">
        <f>G200*G201*F200</f>
        <v>22.92</v>
      </c>
      <c r="I201" s="833" t="s">
        <v>1088</v>
      </c>
    </row>
    <row r="202" spans="1:9">
      <c r="A202" s="818"/>
      <c r="B202" s="435"/>
      <c r="C202" s="829"/>
      <c r="D202" s="832"/>
      <c r="E202" s="833"/>
      <c r="F202" s="435"/>
      <c r="G202" s="829"/>
      <c r="H202" s="832"/>
      <c r="I202" s="833"/>
    </row>
    <row r="203" spans="1:9">
      <c r="A203" s="818"/>
      <c r="B203" s="435">
        <v>2</v>
      </c>
      <c r="C203" s="829">
        <v>1.3</v>
      </c>
      <c r="D203" s="832"/>
      <c r="E203" s="833" t="s">
        <v>1118</v>
      </c>
      <c r="F203" s="435">
        <v>2</v>
      </c>
      <c r="G203" s="829">
        <v>13</v>
      </c>
      <c r="H203" s="832"/>
      <c r="I203" s="833"/>
    </row>
    <row r="204" spans="1:9">
      <c r="A204" s="818"/>
      <c r="B204" s="435"/>
      <c r="C204" s="829">
        <v>2.73</v>
      </c>
      <c r="D204" s="832">
        <f>-C203*C204*B203</f>
        <v>-7.0979999999999999</v>
      </c>
      <c r="E204" s="833"/>
      <c r="F204" s="435"/>
      <c r="G204" s="829">
        <v>0.4</v>
      </c>
      <c r="H204" s="832">
        <f>G203*G204*F203</f>
        <v>10.4</v>
      </c>
      <c r="I204" s="833" t="s">
        <v>1088</v>
      </c>
    </row>
    <row r="205" spans="1:9">
      <c r="A205" s="818"/>
      <c r="B205" s="435"/>
      <c r="C205" s="829"/>
      <c r="D205" s="832"/>
      <c r="E205" s="833"/>
      <c r="F205" s="435"/>
      <c r="G205" s="829"/>
      <c r="H205" s="832"/>
      <c r="I205" s="833"/>
    </row>
    <row r="206" spans="1:9">
      <c r="A206" s="818"/>
      <c r="B206" s="435">
        <v>1</v>
      </c>
      <c r="C206" s="829">
        <v>22</v>
      </c>
      <c r="D206" s="832"/>
      <c r="E206" s="833" t="s">
        <v>1139</v>
      </c>
      <c r="F206" s="435">
        <v>20</v>
      </c>
      <c r="G206" s="829">
        <v>2.63</v>
      </c>
      <c r="H206" s="832"/>
      <c r="I206" s="833"/>
    </row>
    <row r="207" spans="1:9">
      <c r="A207" s="818"/>
      <c r="B207" s="435"/>
      <c r="C207" s="829">
        <v>3.06</v>
      </c>
      <c r="D207" s="832">
        <f>C206*C207*B206</f>
        <v>67.320000000000007</v>
      </c>
      <c r="E207" s="833" t="s">
        <v>1140</v>
      </c>
      <c r="F207" s="435"/>
      <c r="G207" s="829">
        <v>0.2</v>
      </c>
      <c r="H207" s="832">
        <f>G206*G207*F206</f>
        <v>10.52</v>
      </c>
      <c r="I207" s="833" t="s">
        <v>878</v>
      </c>
    </row>
    <row r="208" spans="1:9">
      <c r="A208" s="818"/>
      <c r="B208" s="435"/>
      <c r="C208" s="829"/>
      <c r="D208" s="832"/>
      <c r="E208" s="833"/>
      <c r="F208" s="435"/>
      <c r="G208" s="829"/>
      <c r="H208" s="832"/>
      <c r="I208" s="833"/>
    </row>
    <row r="209" spans="1:9">
      <c r="A209" s="818"/>
      <c r="B209" s="435">
        <v>2</v>
      </c>
      <c r="C209" s="829">
        <v>1.5</v>
      </c>
      <c r="D209" s="832"/>
      <c r="E209" s="833" t="s">
        <v>212</v>
      </c>
      <c r="F209" s="435">
        <v>2</v>
      </c>
      <c r="G209" s="829">
        <v>28.65</v>
      </c>
      <c r="H209" s="832"/>
      <c r="I209" s="833"/>
    </row>
    <row r="210" spans="1:9">
      <c r="A210" s="818"/>
      <c r="B210" s="435"/>
      <c r="C210" s="829">
        <v>1.73</v>
      </c>
      <c r="D210" s="832">
        <f>-C209*C210*B209</f>
        <v>-5.1899999999999995</v>
      </c>
      <c r="E210" s="833"/>
      <c r="F210" s="435"/>
      <c r="G210" s="829">
        <v>0.3</v>
      </c>
      <c r="H210" s="832">
        <f>G209*G210*F209</f>
        <v>17.189999999999998</v>
      </c>
      <c r="I210" s="833" t="s">
        <v>338</v>
      </c>
    </row>
    <row r="211" spans="1:9">
      <c r="A211" s="818"/>
      <c r="B211" s="435"/>
      <c r="C211" s="829"/>
      <c r="D211" s="832"/>
      <c r="E211" s="833"/>
      <c r="F211" s="435"/>
      <c r="G211" s="829"/>
      <c r="H211" s="832"/>
      <c r="I211" s="833"/>
    </row>
    <row r="212" spans="1:9">
      <c r="A212" s="818"/>
      <c r="B212" s="435">
        <v>1</v>
      </c>
      <c r="C212" s="829">
        <v>1.3</v>
      </c>
      <c r="D212" s="832"/>
      <c r="E212" s="833" t="s">
        <v>1133</v>
      </c>
      <c r="F212" s="435">
        <v>2</v>
      </c>
      <c r="G212" s="829">
        <v>13</v>
      </c>
      <c r="H212" s="832"/>
      <c r="I212" s="833"/>
    </row>
    <row r="213" spans="1:9">
      <c r="A213" s="818"/>
      <c r="B213" s="435"/>
      <c r="C213" s="829">
        <v>2.73</v>
      </c>
      <c r="D213" s="832">
        <f>-C212*C213*B212</f>
        <v>-3.5489999999999999</v>
      </c>
      <c r="E213" s="833"/>
      <c r="F213" s="435"/>
      <c r="G213" s="829">
        <v>0.3</v>
      </c>
      <c r="H213" s="832">
        <f>G212*G213*F212</f>
        <v>7.8</v>
      </c>
      <c r="I213" s="833" t="s">
        <v>338</v>
      </c>
    </row>
    <row r="214" spans="1:9">
      <c r="A214" s="818"/>
      <c r="B214" s="435"/>
      <c r="C214" s="829"/>
      <c r="D214" s="832"/>
      <c r="E214" s="833"/>
      <c r="F214" s="435"/>
      <c r="G214" s="829"/>
      <c r="H214" s="832"/>
      <c r="I214" s="833"/>
    </row>
    <row r="215" spans="1:9">
      <c r="A215" s="818"/>
      <c r="B215" s="435">
        <v>1</v>
      </c>
      <c r="C215" s="829">
        <v>25.4</v>
      </c>
      <c r="D215" s="832"/>
      <c r="E215" s="833" t="s">
        <v>1141</v>
      </c>
      <c r="F215" s="435">
        <v>3</v>
      </c>
      <c r="G215" s="829">
        <v>5.0999999999999996</v>
      </c>
      <c r="H215" s="832"/>
      <c r="I215" s="833" t="s">
        <v>1145</v>
      </c>
    </row>
    <row r="216" spans="1:9">
      <c r="A216" s="818"/>
      <c r="B216" s="435"/>
      <c r="C216" s="829">
        <v>3.06</v>
      </c>
      <c r="D216" s="832">
        <f>C215*C216*B215</f>
        <v>77.724000000000004</v>
      </c>
      <c r="E216" s="833" t="s">
        <v>1142</v>
      </c>
      <c r="F216" s="435"/>
      <c r="G216" s="829">
        <v>0.8</v>
      </c>
      <c r="H216" s="832">
        <f>G215*G216*F215</f>
        <v>12.24</v>
      </c>
      <c r="I216" s="833" t="s">
        <v>1146</v>
      </c>
    </row>
    <row r="217" spans="1:9">
      <c r="A217" s="818"/>
      <c r="B217" s="435"/>
      <c r="C217" s="829"/>
      <c r="D217" s="832"/>
      <c r="E217" s="833"/>
      <c r="F217" s="435"/>
      <c r="G217" s="829"/>
      <c r="H217" s="832"/>
      <c r="I217" s="833"/>
    </row>
    <row r="218" spans="1:9">
      <c r="A218" s="818"/>
      <c r="B218" s="435">
        <v>2</v>
      </c>
      <c r="C218" s="829">
        <v>1.5</v>
      </c>
      <c r="D218" s="832"/>
      <c r="E218" s="833" t="s">
        <v>212</v>
      </c>
      <c r="F218" s="435">
        <v>2</v>
      </c>
      <c r="G218" s="829">
        <v>5.0999999999999996</v>
      </c>
      <c r="H218" s="832"/>
      <c r="I218" s="833" t="s">
        <v>1147</v>
      </c>
    </row>
    <row r="219" spans="1:9">
      <c r="A219" s="818"/>
      <c r="B219" s="435"/>
      <c r="C219" s="829">
        <v>1.73</v>
      </c>
      <c r="D219" s="832">
        <f>-C218*C219*B218</f>
        <v>-5.1899999999999995</v>
      </c>
      <c r="E219" s="833"/>
      <c r="F219" s="435"/>
      <c r="G219" s="829">
        <v>0.8</v>
      </c>
      <c r="H219" s="832">
        <f>G218*G219*F218</f>
        <v>8.16</v>
      </c>
      <c r="I219" s="833"/>
    </row>
    <row r="220" spans="1:9">
      <c r="A220" s="818"/>
      <c r="B220" s="435"/>
      <c r="C220" s="829"/>
      <c r="D220" s="832"/>
      <c r="E220" s="833"/>
      <c r="F220" s="435"/>
      <c r="G220" s="829"/>
      <c r="H220" s="832"/>
      <c r="I220" s="833"/>
    </row>
    <row r="221" spans="1:9">
      <c r="A221" s="818"/>
      <c r="B221" s="435">
        <v>1</v>
      </c>
      <c r="C221" s="829">
        <v>1.3</v>
      </c>
      <c r="D221" s="832"/>
      <c r="E221" s="833" t="s">
        <v>1133</v>
      </c>
      <c r="F221" s="435">
        <v>4</v>
      </c>
      <c r="G221" s="829">
        <v>2</v>
      </c>
      <c r="H221" s="832">
        <f>G221*G222*F221</f>
        <v>6.4</v>
      </c>
      <c r="I221" s="833" t="s">
        <v>1148</v>
      </c>
    </row>
    <row r="222" spans="1:9">
      <c r="A222" s="818"/>
      <c r="B222" s="435"/>
      <c r="C222" s="829">
        <v>2.73</v>
      </c>
      <c r="D222" s="832">
        <f>-C221*C222*B221</f>
        <v>-3.5489999999999999</v>
      </c>
      <c r="E222" s="833"/>
      <c r="F222" s="435"/>
      <c r="G222" s="829">
        <v>0.8</v>
      </c>
      <c r="H222" s="832"/>
      <c r="I222" s="833"/>
    </row>
    <row r="223" spans="1:9">
      <c r="A223" s="818"/>
      <c r="B223" s="435"/>
      <c r="C223" s="829"/>
      <c r="D223" s="832"/>
      <c r="E223" s="833"/>
      <c r="F223" s="435"/>
      <c r="G223" s="829"/>
      <c r="H223" s="832"/>
      <c r="I223" s="833"/>
    </row>
    <row r="224" spans="1:9">
      <c r="A224" s="818"/>
      <c r="B224" s="435">
        <v>1</v>
      </c>
      <c r="C224" s="829">
        <v>22.2</v>
      </c>
      <c r="D224" s="832"/>
      <c r="E224" s="833" t="s">
        <v>1143</v>
      </c>
      <c r="F224" s="435">
        <v>1</v>
      </c>
      <c r="G224" s="829">
        <v>1.3</v>
      </c>
      <c r="H224" s="832"/>
      <c r="I224" s="833"/>
    </row>
    <row r="225" spans="1:9">
      <c r="A225" s="818"/>
      <c r="B225" s="435"/>
      <c r="C225" s="829">
        <v>3.06</v>
      </c>
      <c r="D225" s="832">
        <f>C224*C225*B224</f>
        <v>67.932000000000002</v>
      </c>
      <c r="E225" s="833" t="s">
        <v>1144</v>
      </c>
      <c r="F225" s="435"/>
      <c r="G225" s="829">
        <v>0.5</v>
      </c>
      <c r="H225" s="832">
        <f>G224*G225*F224</f>
        <v>0.65</v>
      </c>
      <c r="I225" s="833"/>
    </row>
    <row r="226" spans="1:9">
      <c r="A226" s="818"/>
      <c r="B226" s="435"/>
      <c r="C226" s="829"/>
      <c r="D226" s="832"/>
      <c r="E226" s="833"/>
      <c r="F226" s="435"/>
      <c r="G226" s="829"/>
      <c r="H226" s="832"/>
      <c r="I226" s="833"/>
    </row>
    <row r="227" spans="1:9">
      <c r="A227" s="818"/>
      <c r="B227" s="435">
        <v>2</v>
      </c>
      <c r="C227" s="829">
        <v>1.5</v>
      </c>
      <c r="D227" s="832"/>
      <c r="E227" s="833" t="s">
        <v>212</v>
      </c>
      <c r="F227" s="839"/>
      <c r="G227" s="839"/>
      <c r="H227" s="838">
        <v>44.64</v>
      </c>
      <c r="I227" s="839" t="s">
        <v>1229</v>
      </c>
    </row>
    <row r="228" spans="1:9">
      <c r="A228" s="818"/>
      <c r="B228" s="435"/>
      <c r="C228" s="829">
        <v>1.73</v>
      </c>
      <c r="D228" s="832">
        <f>-C227*C228*B227</f>
        <v>-5.1899999999999995</v>
      </c>
      <c r="E228" s="833"/>
      <c r="F228" s="435"/>
      <c r="G228" s="829"/>
      <c r="H228" s="832"/>
      <c r="I228" s="833"/>
    </row>
    <row r="229" spans="1:9">
      <c r="A229" s="818"/>
      <c r="B229" s="435"/>
      <c r="C229" s="829"/>
      <c r="D229" s="832"/>
      <c r="E229" s="833"/>
      <c r="F229" s="839"/>
      <c r="G229" s="839"/>
      <c r="H229" s="838">
        <f>SUM(H185:H225)+SUM(D185:D241)+SUM(D179:D182)+SUM(H127:H182)-H227</f>
        <v>932.65100000000018</v>
      </c>
      <c r="I229" s="839" t="s">
        <v>2184</v>
      </c>
    </row>
    <row r="230" spans="1:9">
      <c r="A230" s="818"/>
      <c r="B230" s="435">
        <v>1</v>
      </c>
      <c r="C230" s="829">
        <v>1.3</v>
      </c>
      <c r="D230" s="832"/>
      <c r="E230" s="833" t="s">
        <v>1133</v>
      </c>
      <c r="F230" s="435"/>
      <c r="G230" s="829"/>
      <c r="H230" s="832"/>
      <c r="I230" s="833"/>
    </row>
    <row r="231" spans="1:9">
      <c r="A231" s="818"/>
      <c r="B231" s="435"/>
      <c r="C231" s="829">
        <v>2.73</v>
      </c>
      <c r="D231" s="832">
        <f>-C230*C231*B230</f>
        <v>-3.5489999999999999</v>
      </c>
      <c r="E231" s="833"/>
      <c r="F231" s="435"/>
      <c r="G231" s="829"/>
      <c r="H231" s="832"/>
      <c r="I231" s="844" t="s">
        <v>226</v>
      </c>
    </row>
    <row r="232" spans="1:9">
      <c r="A232" s="818"/>
      <c r="B232" s="435"/>
      <c r="C232" s="829"/>
      <c r="D232" s="832"/>
      <c r="E232" s="833"/>
      <c r="F232" s="435">
        <v>1</v>
      </c>
      <c r="G232" s="829">
        <v>5.0999999999999996</v>
      </c>
      <c r="H232" s="832"/>
      <c r="I232" s="833" t="s">
        <v>1126</v>
      </c>
    </row>
    <row r="233" spans="1:9">
      <c r="A233" s="818"/>
      <c r="B233" s="435">
        <v>1</v>
      </c>
      <c r="C233" s="829">
        <v>17.600000000000001</v>
      </c>
      <c r="D233" s="832"/>
      <c r="E233" s="833" t="s">
        <v>1134</v>
      </c>
      <c r="F233" s="435"/>
      <c r="G233" s="829">
        <v>3</v>
      </c>
      <c r="H233" s="832">
        <f>G232*G233*F232</f>
        <v>15.299999999999999</v>
      </c>
      <c r="I233" s="833"/>
    </row>
    <row r="234" spans="1:9">
      <c r="A234" s="818"/>
      <c r="B234" s="435"/>
      <c r="C234" s="829">
        <v>3.06</v>
      </c>
      <c r="D234" s="832">
        <f>C233*C234*B233</f>
        <v>53.856000000000009</v>
      </c>
      <c r="E234" s="833" t="s">
        <v>1135</v>
      </c>
      <c r="F234" s="435"/>
      <c r="G234" s="829"/>
      <c r="H234" s="832"/>
      <c r="I234" s="833"/>
    </row>
    <row r="235" spans="1:9">
      <c r="A235" s="818"/>
      <c r="B235" s="435"/>
      <c r="C235" s="829"/>
      <c r="D235" s="832"/>
      <c r="E235" s="833"/>
      <c r="F235" s="435">
        <v>1</v>
      </c>
      <c r="G235" s="829">
        <v>5.0999999999999996</v>
      </c>
      <c r="H235" s="832"/>
      <c r="I235" s="833" t="s">
        <v>1129</v>
      </c>
    </row>
    <row r="236" spans="1:9">
      <c r="A236" s="818"/>
      <c r="B236" s="435">
        <v>1</v>
      </c>
      <c r="C236" s="829">
        <v>0.9</v>
      </c>
      <c r="D236" s="832"/>
      <c r="E236" s="833" t="s">
        <v>507</v>
      </c>
      <c r="F236" s="435"/>
      <c r="G236" s="829">
        <v>7.8</v>
      </c>
      <c r="H236" s="832">
        <f>G235*G236*F235</f>
        <v>39.779999999999994</v>
      </c>
      <c r="I236" s="833"/>
    </row>
    <row r="237" spans="1:9">
      <c r="A237" s="818"/>
      <c r="B237" s="435"/>
      <c r="C237" s="829">
        <v>2.73</v>
      </c>
      <c r="D237" s="832">
        <f>-C236*C237*B236</f>
        <v>-2.4569999999999999</v>
      </c>
      <c r="E237" s="833"/>
      <c r="F237" s="435"/>
      <c r="G237" s="829"/>
      <c r="H237" s="832"/>
      <c r="I237" s="833"/>
    </row>
    <row r="238" spans="1:9">
      <c r="A238" s="818"/>
      <c r="B238" s="435"/>
      <c r="C238" s="829"/>
      <c r="D238" s="832"/>
      <c r="E238" s="833"/>
      <c r="F238" s="435">
        <v>2</v>
      </c>
      <c r="G238" s="829">
        <v>5.0999999999999996</v>
      </c>
      <c r="H238" s="832"/>
      <c r="I238" s="833" t="s">
        <v>1120</v>
      </c>
    </row>
    <row r="239" spans="1:9">
      <c r="A239" s="818"/>
      <c r="B239" s="435">
        <v>1</v>
      </c>
      <c r="C239" s="829">
        <v>1.3</v>
      </c>
      <c r="D239" s="832"/>
      <c r="E239" s="833" t="s">
        <v>157</v>
      </c>
      <c r="F239" s="435"/>
      <c r="G239" s="829">
        <v>3.1</v>
      </c>
      <c r="H239" s="832">
        <f>G238*G239*F238</f>
        <v>31.619999999999997</v>
      </c>
      <c r="I239" s="833"/>
    </row>
    <row r="240" spans="1:9">
      <c r="A240" s="818"/>
      <c r="B240" s="435"/>
      <c r="C240" s="829">
        <v>1.73</v>
      </c>
      <c r="D240" s="832">
        <f>-C239*C240*B239</f>
        <v>-2.2490000000000001</v>
      </c>
      <c r="E240" s="833"/>
      <c r="F240" s="435"/>
      <c r="G240" s="829"/>
      <c r="H240" s="832"/>
      <c r="I240" s="833"/>
    </row>
    <row r="241" spans="1:10">
      <c r="A241" s="818"/>
      <c r="B241" s="109"/>
      <c r="C241" s="850"/>
      <c r="D241" s="851"/>
      <c r="E241" s="974"/>
      <c r="F241" s="109"/>
      <c r="G241" s="850"/>
      <c r="H241" s="851"/>
      <c r="I241" s="852"/>
    </row>
    <row r="242" spans="1:10">
      <c r="A242" s="828"/>
      <c r="B242" s="853" t="s">
        <v>1884</v>
      </c>
      <c r="C242" s="854" t="s">
        <v>526</v>
      </c>
      <c r="D242" s="855" t="s">
        <v>1885</v>
      </c>
      <c r="E242" s="854" t="s">
        <v>1886</v>
      </c>
      <c r="F242" s="853" t="s">
        <v>1884</v>
      </c>
      <c r="G242" s="854" t="s">
        <v>526</v>
      </c>
      <c r="H242" s="855" t="s">
        <v>1885</v>
      </c>
      <c r="I242" s="854" t="s">
        <v>1886</v>
      </c>
      <c r="J242" s="828"/>
    </row>
    <row r="243" spans="1:10">
      <c r="A243" s="818"/>
      <c r="B243" s="435">
        <v>1</v>
      </c>
      <c r="C243" s="829">
        <v>5.0999999999999996</v>
      </c>
      <c r="D243" s="832"/>
      <c r="E243" s="833" t="s">
        <v>1122</v>
      </c>
      <c r="F243" s="435">
        <v>1</v>
      </c>
      <c r="G243" s="829">
        <v>28.25</v>
      </c>
      <c r="H243" s="832"/>
      <c r="I243" s="833" t="s">
        <v>160</v>
      </c>
    </row>
    <row r="244" spans="1:10">
      <c r="A244" s="818"/>
      <c r="B244" s="435"/>
      <c r="C244" s="829">
        <v>2.5</v>
      </c>
      <c r="D244" s="832">
        <f>C243*C244*B243</f>
        <v>12.75</v>
      </c>
      <c r="E244" s="833"/>
      <c r="F244" s="435"/>
      <c r="G244" s="829">
        <v>2</v>
      </c>
      <c r="H244" s="832">
        <f>G243*G244*F243</f>
        <v>56.5</v>
      </c>
      <c r="I244" s="833"/>
    </row>
    <row r="245" spans="1:10">
      <c r="A245" s="818"/>
      <c r="B245" s="435"/>
      <c r="C245" s="829"/>
      <c r="D245" s="832"/>
      <c r="E245" s="833"/>
      <c r="F245" s="435"/>
      <c r="G245" s="829"/>
      <c r="H245" s="832"/>
      <c r="I245" s="833"/>
    </row>
    <row r="246" spans="1:10">
      <c r="A246" s="818"/>
      <c r="B246" s="435">
        <v>1</v>
      </c>
      <c r="C246" s="829">
        <v>5.0999999999999996</v>
      </c>
      <c r="D246" s="832"/>
      <c r="E246" s="833" t="s">
        <v>160</v>
      </c>
      <c r="F246" s="435">
        <v>1</v>
      </c>
      <c r="G246" s="829">
        <v>5.0999999999999996</v>
      </c>
      <c r="H246" s="832"/>
      <c r="I246" s="833"/>
    </row>
    <row r="247" spans="1:10">
      <c r="A247" s="818"/>
      <c r="B247" s="435"/>
      <c r="C247" s="829">
        <v>1.3</v>
      </c>
      <c r="D247" s="832">
        <f>C246*C247*B246</f>
        <v>6.63</v>
      </c>
      <c r="E247" s="833"/>
      <c r="F247" s="435"/>
      <c r="G247" s="829">
        <v>5.9</v>
      </c>
      <c r="H247" s="832">
        <f>G246*G247*F246</f>
        <v>30.09</v>
      </c>
      <c r="I247" s="833" t="s">
        <v>1139</v>
      </c>
    </row>
    <row r="248" spans="1:10">
      <c r="A248" s="818"/>
      <c r="B248" s="435"/>
      <c r="C248" s="829"/>
      <c r="D248" s="832"/>
      <c r="E248" s="833"/>
      <c r="F248" s="435"/>
      <c r="G248" s="829"/>
      <c r="H248" s="832"/>
      <c r="I248" s="833"/>
    </row>
    <row r="249" spans="1:10">
      <c r="A249" s="818"/>
      <c r="B249" s="435">
        <v>1</v>
      </c>
      <c r="C249" s="829">
        <v>5</v>
      </c>
      <c r="D249" s="832"/>
      <c r="E249" s="833" t="s">
        <v>1125</v>
      </c>
      <c r="F249" s="435">
        <v>1</v>
      </c>
      <c r="G249" s="829">
        <v>5.0999999999999996</v>
      </c>
      <c r="H249" s="832"/>
      <c r="I249" s="833"/>
    </row>
    <row r="250" spans="1:10">
      <c r="A250" s="818"/>
      <c r="B250" s="435"/>
      <c r="C250" s="829">
        <v>2.8</v>
      </c>
      <c r="D250" s="832">
        <f>C249*C250*B249</f>
        <v>14</v>
      </c>
      <c r="E250" s="833"/>
      <c r="F250" s="435"/>
      <c r="G250" s="829">
        <v>7.6</v>
      </c>
      <c r="H250" s="832">
        <f>G249*G250*F249</f>
        <v>38.76</v>
      </c>
      <c r="I250" s="833" t="s">
        <v>1141</v>
      </c>
    </row>
    <row r="251" spans="1:10">
      <c r="A251" s="818"/>
      <c r="B251" s="435"/>
      <c r="C251" s="829"/>
      <c r="D251" s="832"/>
      <c r="E251" s="833"/>
      <c r="F251" s="435"/>
      <c r="G251" s="829"/>
      <c r="H251" s="832"/>
      <c r="I251" s="833"/>
    </row>
    <row r="252" spans="1:10">
      <c r="A252" s="818"/>
      <c r="B252" s="435">
        <v>1</v>
      </c>
      <c r="C252" s="829">
        <v>4.95</v>
      </c>
      <c r="D252" s="832"/>
      <c r="E252" s="833" t="s">
        <v>118</v>
      </c>
      <c r="F252" s="435">
        <v>1</v>
      </c>
      <c r="G252" s="829">
        <v>5.0999999999999996</v>
      </c>
      <c r="H252" s="832"/>
      <c r="I252" s="833"/>
    </row>
    <row r="253" spans="1:10">
      <c r="A253" s="818"/>
      <c r="B253" s="435"/>
      <c r="C253" s="829">
        <v>2.95</v>
      </c>
      <c r="D253" s="832">
        <f>C252*C253*B252</f>
        <v>14.602500000000001</v>
      </c>
      <c r="E253" s="833"/>
      <c r="F253" s="435"/>
      <c r="G253" s="829">
        <v>6</v>
      </c>
      <c r="H253" s="832">
        <f>G252*G253*F252</f>
        <v>30.599999999999998</v>
      </c>
      <c r="I253" s="833" t="s">
        <v>1143</v>
      </c>
    </row>
    <row r="254" spans="1:10">
      <c r="A254" s="818"/>
      <c r="B254" s="435"/>
      <c r="C254" s="829"/>
      <c r="D254" s="832"/>
      <c r="E254" s="833"/>
      <c r="F254" s="435"/>
      <c r="G254" s="829"/>
      <c r="H254" s="832"/>
      <c r="I254" s="833"/>
    </row>
    <row r="255" spans="1:10">
      <c r="A255" s="818"/>
      <c r="B255" s="435">
        <v>1</v>
      </c>
      <c r="C255" s="829">
        <v>27.45</v>
      </c>
      <c r="D255" s="832"/>
      <c r="E255" s="833" t="s">
        <v>160</v>
      </c>
      <c r="F255" s="435">
        <v>1</v>
      </c>
      <c r="G255" s="829">
        <v>5.0999999999999996</v>
      </c>
      <c r="H255" s="832"/>
      <c r="I255" s="833"/>
    </row>
    <row r="256" spans="1:10">
      <c r="A256" s="818"/>
      <c r="B256" s="435"/>
      <c r="C256" s="829">
        <v>2</v>
      </c>
      <c r="D256" s="832">
        <f>C255*C256*B255</f>
        <v>54.9</v>
      </c>
      <c r="E256" s="833"/>
      <c r="F256" s="435"/>
      <c r="G256" s="829">
        <v>3.7</v>
      </c>
      <c r="H256" s="832">
        <f>G255*G256*F255</f>
        <v>18.87</v>
      </c>
      <c r="I256" s="833" t="s">
        <v>1134</v>
      </c>
    </row>
    <row r="257" spans="1:9">
      <c r="A257" s="818"/>
      <c r="B257" s="435"/>
      <c r="C257" s="829"/>
      <c r="D257" s="832"/>
      <c r="E257" s="833"/>
      <c r="F257" s="435"/>
      <c r="G257" s="829"/>
      <c r="H257" s="832"/>
      <c r="I257" s="833"/>
    </row>
    <row r="258" spans="1:9">
      <c r="A258" s="818"/>
      <c r="B258" s="435">
        <v>1</v>
      </c>
      <c r="C258" s="829">
        <v>5.0999999999999996</v>
      </c>
      <c r="D258" s="832"/>
      <c r="E258" s="833" t="s">
        <v>1139</v>
      </c>
      <c r="F258" s="435">
        <v>1</v>
      </c>
      <c r="G258" s="829">
        <v>5.0999999999999996</v>
      </c>
      <c r="H258" s="832"/>
      <c r="I258" s="833"/>
    </row>
    <row r="259" spans="1:9">
      <c r="A259" s="818"/>
      <c r="B259" s="435"/>
      <c r="C259" s="829">
        <v>5.9</v>
      </c>
      <c r="D259" s="832">
        <f>C258*C259*B258</f>
        <v>30.09</v>
      </c>
      <c r="E259" s="833"/>
      <c r="F259" s="435"/>
      <c r="G259" s="829">
        <v>4.3</v>
      </c>
      <c r="H259" s="832">
        <f>G258*G259*F258</f>
        <v>21.929999999999996</v>
      </c>
      <c r="I259" s="833" t="s">
        <v>1137</v>
      </c>
    </row>
    <row r="260" spans="1:9">
      <c r="A260" s="818"/>
      <c r="B260" s="435"/>
      <c r="C260" s="829"/>
      <c r="D260" s="832"/>
      <c r="E260" s="833"/>
      <c r="F260" s="435"/>
      <c r="G260" s="829"/>
      <c r="H260" s="832"/>
      <c r="I260" s="833"/>
    </row>
    <row r="261" spans="1:9">
      <c r="A261" s="818"/>
      <c r="B261" s="435">
        <v>1</v>
      </c>
      <c r="C261" s="829">
        <v>5.0999999999999996</v>
      </c>
      <c r="D261" s="832"/>
      <c r="E261" s="833" t="s">
        <v>1141</v>
      </c>
      <c r="F261" s="435">
        <v>2</v>
      </c>
      <c r="G261" s="829">
        <v>1.4</v>
      </c>
      <c r="H261" s="832"/>
      <c r="I261" s="833"/>
    </row>
    <row r="262" spans="1:9">
      <c r="A262" s="818"/>
      <c r="B262" s="435"/>
      <c r="C262" s="829">
        <v>7.4</v>
      </c>
      <c r="D262" s="832">
        <f>C261*C262*B261</f>
        <v>37.74</v>
      </c>
      <c r="E262" s="833"/>
      <c r="F262" s="435"/>
      <c r="G262" s="829">
        <v>0.2</v>
      </c>
      <c r="H262" s="832">
        <f>G261*G262*F261</f>
        <v>0.55999999999999994</v>
      </c>
      <c r="I262" s="833" t="s">
        <v>601</v>
      </c>
    </row>
    <row r="263" spans="1:9">
      <c r="A263" s="818"/>
      <c r="B263" s="435"/>
      <c r="C263" s="829"/>
      <c r="D263" s="832"/>
      <c r="E263" s="833"/>
      <c r="F263" s="435"/>
      <c r="G263" s="829"/>
      <c r="H263" s="832"/>
      <c r="I263" s="833"/>
    </row>
    <row r="264" spans="1:9">
      <c r="A264" s="818"/>
      <c r="B264" s="435">
        <v>1</v>
      </c>
      <c r="C264" s="829">
        <v>5.0999999999999996</v>
      </c>
      <c r="D264" s="832"/>
      <c r="E264" s="833" t="s">
        <v>1143</v>
      </c>
      <c r="F264" s="435">
        <v>6</v>
      </c>
      <c r="G264" s="829">
        <v>1.3</v>
      </c>
      <c r="H264" s="832"/>
      <c r="I264" s="833"/>
    </row>
    <row r="265" spans="1:9">
      <c r="A265" s="818"/>
      <c r="B265" s="435"/>
      <c r="C265" s="829">
        <v>5.8</v>
      </c>
      <c r="D265" s="832">
        <f>C264*C265*B264</f>
        <v>29.58</v>
      </c>
      <c r="E265" s="833"/>
      <c r="F265" s="435"/>
      <c r="G265" s="829">
        <v>0.2</v>
      </c>
      <c r="H265" s="832">
        <f>G264*G265*F264</f>
        <v>1.56</v>
      </c>
      <c r="I265" s="833" t="s">
        <v>1156</v>
      </c>
    </row>
    <row r="266" spans="1:9">
      <c r="A266" s="818"/>
      <c r="B266" s="435"/>
      <c r="C266" s="829"/>
      <c r="D266" s="832"/>
      <c r="E266" s="833"/>
      <c r="F266" s="435"/>
      <c r="G266" s="829"/>
      <c r="H266" s="832"/>
      <c r="I266" s="833"/>
    </row>
    <row r="267" spans="1:9">
      <c r="A267" s="818"/>
      <c r="B267" s="435">
        <v>1</v>
      </c>
      <c r="C267" s="829">
        <v>5.0999999999999996</v>
      </c>
      <c r="D267" s="832"/>
      <c r="E267" s="833" t="s">
        <v>1134</v>
      </c>
      <c r="F267" s="435">
        <v>1</v>
      </c>
      <c r="G267" s="829">
        <v>0.9</v>
      </c>
      <c r="H267" s="832"/>
      <c r="I267" s="833"/>
    </row>
    <row r="268" spans="1:9">
      <c r="A268" s="818"/>
      <c r="B268" s="435"/>
      <c r="C268" s="829">
        <v>3.7</v>
      </c>
      <c r="D268" s="832">
        <f>C267*C268*B267</f>
        <v>18.87</v>
      </c>
      <c r="E268" s="833"/>
      <c r="F268" s="435"/>
      <c r="G268" s="829">
        <v>0.2</v>
      </c>
      <c r="H268" s="832">
        <f>G267*G268*F267</f>
        <v>0.18000000000000002</v>
      </c>
      <c r="I268" s="833" t="s">
        <v>507</v>
      </c>
    </row>
    <row r="269" spans="1:9">
      <c r="A269" s="818"/>
      <c r="B269" s="435"/>
      <c r="C269" s="829"/>
      <c r="D269" s="832"/>
      <c r="E269" s="833"/>
      <c r="F269" s="435"/>
      <c r="G269" s="829"/>
      <c r="H269" s="832"/>
      <c r="I269" s="833"/>
    </row>
    <row r="270" spans="1:9">
      <c r="A270" s="818"/>
      <c r="B270" s="435">
        <v>1</v>
      </c>
      <c r="C270" s="829">
        <v>5.0999999999999996</v>
      </c>
      <c r="D270" s="832"/>
      <c r="E270" s="833" t="s">
        <v>1137</v>
      </c>
      <c r="F270" s="435">
        <v>4</v>
      </c>
      <c r="G270" s="829">
        <v>0.8</v>
      </c>
      <c r="H270" s="832"/>
      <c r="I270" s="833"/>
    </row>
    <row r="271" spans="1:9">
      <c r="A271" s="818"/>
      <c r="B271" s="435"/>
      <c r="C271" s="829">
        <v>4.3</v>
      </c>
      <c r="D271" s="832">
        <f>C270*C271*B270</f>
        <v>21.929999999999996</v>
      </c>
      <c r="E271" s="833"/>
      <c r="F271" s="435"/>
      <c r="G271" s="829">
        <v>0.15</v>
      </c>
      <c r="H271" s="832">
        <f>G270*G271*F270</f>
        <v>0.48</v>
      </c>
      <c r="I271" s="833" t="s">
        <v>58</v>
      </c>
    </row>
    <row r="272" spans="1:9">
      <c r="A272" s="818"/>
      <c r="B272" s="435"/>
      <c r="C272" s="829"/>
      <c r="D272" s="832"/>
      <c r="E272" s="833"/>
      <c r="F272" s="435"/>
      <c r="G272" s="829"/>
      <c r="H272" s="832"/>
      <c r="I272" s="833"/>
    </row>
    <row r="273" spans="1:9">
      <c r="A273" s="818"/>
      <c r="B273" s="839"/>
      <c r="C273" s="839"/>
      <c r="D273" s="838">
        <f>SUM(D243:D271)+SUM(H231:H240)</f>
        <v>327.79250000000002</v>
      </c>
      <c r="E273" s="839" t="s">
        <v>2144</v>
      </c>
      <c r="F273" s="435">
        <v>4</v>
      </c>
      <c r="G273" s="829">
        <v>0.7</v>
      </c>
      <c r="H273" s="832"/>
      <c r="I273" s="833"/>
    </row>
    <row r="274" spans="1:9">
      <c r="A274" s="818"/>
      <c r="B274" s="435"/>
      <c r="C274" s="829"/>
      <c r="D274" s="832"/>
      <c r="E274" s="833"/>
      <c r="F274" s="435"/>
      <c r="G274" s="829">
        <v>0.1</v>
      </c>
      <c r="H274" s="832">
        <f>G273*G274*F273</f>
        <v>0.27999999999999997</v>
      </c>
      <c r="I274" s="833" t="s">
        <v>361</v>
      </c>
    </row>
    <row r="275" spans="1:9">
      <c r="A275" s="818"/>
      <c r="B275" s="435"/>
      <c r="C275" s="829"/>
      <c r="D275" s="832"/>
      <c r="E275" s="833" t="s">
        <v>863</v>
      </c>
      <c r="F275" s="435"/>
      <c r="G275" s="829"/>
      <c r="H275" s="832"/>
      <c r="I275" s="833"/>
    </row>
    <row r="276" spans="1:9">
      <c r="A276" s="818"/>
      <c r="B276" s="435">
        <v>1</v>
      </c>
      <c r="C276" s="829">
        <v>5.0999999999999996</v>
      </c>
      <c r="D276" s="832"/>
      <c r="E276" s="833" t="s">
        <v>1126</v>
      </c>
      <c r="F276" s="435">
        <v>4</v>
      </c>
      <c r="G276" s="829">
        <v>0.9</v>
      </c>
      <c r="H276" s="832"/>
      <c r="I276" s="833"/>
    </row>
    <row r="277" spans="1:9">
      <c r="A277" s="818"/>
      <c r="B277" s="435"/>
      <c r="C277" s="829">
        <v>3</v>
      </c>
      <c r="D277" s="832">
        <f>C276*C277*B276</f>
        <v>15.299999999999999</v>
      </c>
      <c r="E277" s="833"/>
      <c r="F277" s="435"/>
      <c r="G277" s="829">
        <v>0.2</v>
      </c>
      <c r="H277" s="832">
        <f>G276*G277*F276</f>
        <v>0.72000000000000008</v>
      </c>
      <c r="I277" s="833" t="s">
        <v>1161</v>
      </c>
    </row>
    <row r="278" spans="1:9">
      <c r="A278" s="818"/>
      <c r="B278" s="435"/>
      <c r="C278" s="829"/>
      <c r="D278" s="832"/>
      <c r="E278" s="833"/>
      <c r="F278" s="435"/>
      <c r="G278" s="829"/>
      <c r="H278" s="832"/>
      <c r="I278" s="833"/>
    </row>
    <row r="279" spans="1:9">
      <c r="A279" s="818"/>
      <c r="B279" s="435">
        <v>1</v>
      </c>
      <c r="C279" s="829">
        <v>5.0999999999999996</v>
      </c>
      <c r="D279" s="832"/>
      <c r="E279" s="833" t="s">
        <v>1129</v>
      </c>
      <c r="F279" s="435">
        <v>2</v>
      </c>
      <c r="G279" s="829">
        <v>1.3</v>
      </c>
      <c r="H279" s="832"/>
      <c r="I279" s="833"/>
    </row>
    <row r="280" spans="1:9">
      <c r="A280" s="818"/>
      <c r="B280" s="435"/>
      <c r="C280" s="829">
        <v>8</v>
      </c>
      <c r="D280" s="832">
        <f>C279*C280*B279</f>
        <v>40.799999999999997</v>
      </c>
      <c r="E280" s="833"/>
      <c r="F280" s="435"/>
      <c r="G280" s="829">
        <v>0.2</v>
      </c>
      <c r="H280" s="832">
        <f>G279*G280*F279</f>
        <v>0.52</v>
      </c>
      <c r="I280" s="833" t="s">
        <v>1118</v>
      </c>
    </row>
    <row r="281" spans="1:9">
      <c r="A281" s="818"/>
      <c r="B281" s="435"/>
      <c r="C281" s="829"/>
      <c r="D281" s="832"/>
      <c r="E281" s="833"/>
      <c r="F281" s="435"/>
      <c r="G281" s="829"/>
      <c r="H281" s="832"/>
      <c r="I281" s="833"/>
    </row>
    <row r="282" spans="1:9">
      <c r="A282" s="818"/>
      <c r="B282" s="435">
        <v>2</v>
      </c>
      <c r="C282" s="829">
        <v>5.0999999999999996</v>
      </c>
      <c r="D282" s="832"/>
      <c r="E282" s="833" t="s">
        <v>1120</v>
      </c>
      <c r="F282" s="839"/>
      <c r="G282" s="839"/>
      <c r="H282" s="838">
        <f>SUM(H244:H281)+SUM(D276:D299)</f>
        <v>338.84050000000002</v>
      </c>
      <c r="I282" s="839" t="s">
        <v>2148</v>
      </c>
    </row>
    <row r="283" spans="1:9">
      <c r="A283" s="818"/>
      <c r="B283" s="435"/>
      <c r="C283" s="829">
        <v>3.2</v>
      </c>
      <c r="D283" s="832">
        <f>C282*C283*B282</f>
        <v>32.64</v>
      </c>
      <c r="E283" s="833"/>
      <c r="F283" s="435"/>
      <c r="G283" s="829"/>
      <c r="H283" s="832"/>
      <c r="I283" s="833"/>
    </row>
    <row r="284" spans="1:9" ht="31.5">
      <c r="A284" s="818"/>
      <c r="B284" s="435"/>
      <c r="C284" s="829"/>
      <c r="D284" s="832"/>
      <c r="E284" s="833"/>
      <c r="F284" s="435"/>
      <c r="G284" s="829"/>
      <c r="H284" s="832"/>
      <c r="I284" s="1194" t="s">
        <v>1149</v>
      </c>
    </row>
    <row r="285" spans="1:9">
      <c r="A285" s="818"/>
      <c r="B285" s="435">
        <v>1</v>
      </c>
      <c r="C285" s="829">
        <v>5.0999999999999996</v>
      </c>
      <c r="D285" s="832"/>
      <c r="E285" s="833" t="s">
        <v>1122</v>
      </c>
      <c r="F285" s="435"/>
      <c r="G285" s="829"/>
      <c r="H285" s="832"/>
      <c r="I285" s="833"/>
    </row>
    <row r="286" spans="1:9">
      <c r="A286" s="818"/>
      <c r="B286" s="435"/>
      <c r="C286" s="829">
        <v>2.5</v>
      </c>
      <c r="D286" s="832">
        <f>C285*C286*B285</f>
        <v>12.75</v>
      </c>
      <c r="E286" s="833"/>
      <c r="F286" s="435">
        <v>1</v>
      </c>
      <c r="G286" s="829">
        <v>14.4</v>
      </c>
      <c r="H286" s="832"/>
      <c r="I286" s="833" t="s">
        <v>1126</v>
      </c>
    </row>
    <row r="287" spans="1:9">
      <c r="A287" s="818"/>
      <c r="B287" s="435"/>
      <c r="C287" s="829"/>
      <c r="D287" s="832"/>
      <c r="E287" s="833"/>
      <c r="F287" s="435"/>
      <c r="G287" s="829"/>
      <c r="H287" s="832">
        <f>F286*G286</f>
        <v>14.4</v>
      </c>
      <c r="I287" s="833" t="s">
        <v>1150</v>
      </c>
    </row>
    <row r="288" spans="1:9">
      <c r="A288" s="818"/>
      <c r="B288" s="435">
        <v>1</v>
      </c>
      <c r="C288" s="829">
        <v>5.3</v>
      </c>
      <c r="D288" s="832"/>
      <c r="E288" s="833" t="s">
        <v>160</v>
      </c>
      <c r="F288" s="435"/>
      <c r="G288" s="829"/>
      <c r="H288" s="832"/>
      <c r="I288" s="833"/>
    </row>
    <row r="289" spans="1:9">
      <c r="A289" s="818"/>
      <c r="B289" s="435"/>
      <c r="C289" s="829">
        <v>1.3</v>
      </c>
      <c r="D289" s="832">
        <f>C288*C289*B288</f>
        <v>6.89</v>
      </c>
      <c r="E289" s="833"/>
      <c r="F289" s="435">
        <v>1</v>
      </c>
      <c r="G289" s="829">
        <v>21.8</v>
      </c>
      <c r="H289" s="832"/>
      <c r="I289" s="833" t="s">
        <v>1129</v>
      </c>
    </row>
    <row r="290" spans="1:9">
      <c r="A290" s="818"/>
      <c r="B290" s="435"/>
      <c r="C290" s="829"/>
      <c r="D290" s="832"/>
      <c r="E290" s="833"/>
      <c r="F290" s="435"/>
      <c r="G290" s="829"/>
      <c r="H290" s="832">
        <f>F289*G289</f>
        <v>21.8</v>
      </c>
      <c r="I290" s="833" t="s">
        <v>1151</v>
      </c>
    </row>
    <row r="291" spans="1:9">
      <c r="A291" s="818"/>
      <c r="B291" s="435">
        <v>1</v>
      </c>
      <c r="C291" s="829">
        <v>4.95</v>
      </c>
      <c r="D291" s="832"/>
      <c r="E291" s="833" t="s">
        <v>1125</v>
      </c>
      <c r="F291" s="435"/>
      <c r="G291" s="829"/>
      <c r="H291" s="832"/>
      <c r="I291" s="833"/>
    </row>
    <row r="292" spans="1:9">
      <c r="A292" s="818"/>
      <c r="B292" s="435"/>
      <c r="C292" s="829">
        <v>3</v>
      </c>
      <c r="D292" s="832">
        <f>C291*C292*B291</f>
        <v>14.850000000000001</v>
      </c>
      <c r="E292" s="833"/>
      <c r="F292" s="435">
        <v>1</v>
      </c>
      <c r="G292" s="829">
        <v>14.8</v>
      </c>
      <c r="H292" s="832"/>
      <c r="I292" s="833" t="s">
        <v>1152</v>
      </c>
    </row>
    <row r="293" spans="1:9">
      <c r="A293" s="818"/>
      <c r="B293" s="435"/>
      <c r="C293" s="829"/>
      <c r="D293" s="832"/>
      <c r="E293" s="833"/>
      <c r="F293" s="435"/>
      <c r="G293" s="829"/>
      <c r="H293" s="832">
        <f>F292*G292</f>
        <v>14.8</v>
      </c>
      <c r="I293" s="833" t="s">
        <v>1153</v>
      </c>
    </row>
    <row r="294" spans="1:9">
      <c r="A294" s="818"/>
      <c r="B294" s="435">
        <v>1</v>
      </c>
      <c r="C294" s="829">
        <v>4.95</v>
      </c>
      <c r="D294" s="832"/>
      <c r="E294" s="833" t="s">
        <v>118</v>
      </c>
      <c r="F294" s="435"/>
      <c r="G294" s="829"/>
      <c r="H294" s="832"/>
      <c r="I294" s="833"/>
    </row>
    <row r="295" spans="1:9">
      <c r="A295" s="818"/>
      <c r="B295" s="435"/>
      <c r="C295" s="829">
        <v>1.55</v>
      </c>
      <c r="D295" s="832">
        <f>C294*C295*B294</f>
        <v>7.6725000000000003</v>
      </c>
      <c r="E295" s="833"/>
      <c r="F295" s="435">
        <v>1</v>
      </c>
      <c r="G295" s="829">
        <v>15.7</v>
      </c>
      <c r="H295" s="832"/>
      <c r="I295" s="833" t="s">
        <v>1154</v>
      </c>
    </row>
    <row r="296" spans="1:9">
      <c r="A296" s="818"/>
      <c r="B296" s="435"/>
      <c r="C296" s="829"/>
      <c r="D296" s="832"/>
      <c r="E296" s="833"/>
      <c r="F296" s="435"/>
      <c r="G296" s="829"/>
      <c r="H296" s="832">
        <f>F295*G295</f>
        <v>15.7</v>
      </c>
      <c r="I296" s="833" t="s">
        <v>1155</v>
      </c>
    </row>
    <row r="297" spans="1:9">
      <c r="A297" s="818"/>
      <c r="B297" s="435">
        <v>4</v>
      </c>
      <c r="C297" s="829">
        <v>1.4</v>
      </c>
      <c r="D297" s="832"/>
      <c r="E297" s="833"/>
      <c r="F297" s="435"/>
      <c r="G297" s="829"/>
      <c r="H297" s="832"/>
      <c r="I297" s="833"/>
    </row>
    <row r="298" spans="1:9">
      <c r="A298" s="818"/>
      <c r="B298" s="435"/>
      <c r="C298" s="829">
        <v>1.23</v>
      </c>
      <c r="D298" s="832">
        <f>C297*C298*B297</f>
        <v>6.8879999999999999</v>
      </c>
      <c r="E298" s="833"/>
      <c r="F298" s="435">
        <v>1</v>
      </c>
      <c r="G298" s="829">
        <v>14.3</v>
      </c>
      <c r="H298" s="832"/>
      <c r="I298" s="833" t="s">
        <v>1122</v>
      </c>
    </row>
    <row r="299" spans="1:9">
      <c r="A299" s="818"/>
      <c r="B299" s="435"/>
      <c r="C299" s="829"/>
      <c r="D299" s="832"/>
      <c r="E299" s="833"/>
      <c r="F299" s="435"/>
      <c r="G299" s="829"/>
      <c r="H299" s="832">
        <f>F298*G298</f>
        <v>14.3</v>
      </c>
      <c r="I299" s="833" t="s">
        <v>1157</v>
      </c>
    </row>
    <row r="300" spans="1:9">
      <c r="A300" s="818"/>
      <c r="B300" s="109"/>
      <c r="C300" s="850"/>
      <c r="D300" s="851"/>
      <c r="E300" s="852"/>
      <c r="F300" s="109"/>
      <c r="G300" s="850"/>
      <c r="H300" s="851"/>
      <c r="I300" s="852"/>
    </row>
    <row r="301" spans="1:9">
      <c r="A301" s="818"/>
      <c r="B301" s="853" t="s">
        <v>1884</v>
      </c>
      <c r="C301" s="854" t="s">
        <v>526</v>
      </c>
      <c r="D301" s="855" t="s">
        <v>1885</v>
      </c>
      <c r="E301" s="854" t="s">
        <v>1886</v>
      </c>
      <c r="F301" s="853" t="s">
        <v>1884</v>
      </c>
      <c r="G301" s="854" t="s">
        <v>526</v>
      </c>
      <c r="H301" s="855" t="s">
        <v>1885</v>
      </c>
      <c r="I301" s="854" t="s">
        <v>1886</v>
      </c>
    </row>
    <row r="302" spans="1:9">
      <c r="A302" s="818"/>
      <c r="B302" s="435">
        <v>1</v>
      </c>
      <c r="C302" s="829">
        <v>10.3</v>
      </c>
      <c r="D302" s="832"/>
      <c r="E302" s="833" t="s">
        <v>160</v>
      </c>
      <c r="F302" s="435"/>
      <c r="G302" s="829"/>
      <c r="H302" s="832"/>
      <c r="I302" s="844" t="s">
        <v>2101</v>
      </c>
    </row>
    <row r="303" spans="1:9">
      <c r="A303" s="818"/>
      <c r="B303" s="435"/>
      <c r="C303" s="829"/>
      <c r="D303" s="832">
        <f>B302*C302</f>
        <v>10.3</v>
      </c>
      <c r="E303" s="833" t="s">
        <v>1158</v>
      </c>
      <c r="F303" s="435">
        <v>3</v>
      </c>
      <c r="G303" s="829">
        <v>1.7</v>
      </c>
      <c r="H303" s="832"/>
      <c r="I303" s="833" t="s">
        <v>2443</v>
      </c>
    </row>
    <row r="304" spans="1:9">
      <c r="A304" s="818"/>
      <c r="B304" s="435"/>
      <c r="C304" s="829"/>
      <c r="D304" s="832"/>
      <c r="E304" s="833"/>
      <c r="F304" s="435"/>
      <c r="G304" s="829"/>
      <c r="H304" s="832">
        <f>G303*F303</f>
        <v>5.0999999999999996</v>
      </c>
      <c r="I304" s="833"/>
    </row>
    <row r="305" spans="1:9">
      <c r="A305" s="818"/>
      <c r="B305" s="435">
        <v>2</v>
      </c>
      <c r="C305" s="829">
        <v>18.7</v>
      </c>
      <c r="D305" s="832"/>
      <c r="E305" s="833" t="s">
        <v>1125</v>
      </c>
      <c r="F305" s="435"/>
      <c r="G305" s="829"/>
      <c r="H305" s="832"/>
      <c r="I305" s="833"/>
    </row>
    <row r="306" spans="1:9">
      <c r="A306" s="818"/>
      <c r="B306" s="435"/>
      <c r="C306" s="829"/>
      <c r="D306" s="832">
        <f>B305*C305</f>
        <v>37.4</v>
      </c>
      <c r="E306" s="833" t="s">
        <v>1159</v>
      </c>
      <c r="F306" s="839"/>
      <c r="G306" s="839"/>
      <c r="H306" s="838">
        <f>H304</f>
        <v>5.0999999999999996</v>
      </c>
      <c r="I306" s="839" t="s">
        <v>2471</v>
      </c>
    </row>
    <row r="307" spans="1:9">
      <c r="A307" s="818"/>
      <c r="B307" s="435"/>
      <c r="C307" s="829"/>
      <c r="D307" s="832"/>
      <c r="E307" s="833"/>
      <c r="F307" s="435"/>
      <c r="G307" s="829"/>
      <c r="H307" s="832"/>
      <c r="I307" s="833"/>
    </row>
    <row r="308" spans="1:9">
      <c r="A308" s="818"/>
      <c r="B308" s="435">
        <v>1</v>
      </c>
      <c r="C308" s="829">
        <v>52</v>
      </c>
      <c r="D308" s="832"/>
      <c r="E308" s="833" t="s">
        <v>160</v>
      </c>
      <c r="F308" s="839"/>
      <c r="G308" s="839"/>
      <c r="H308" s="838">
        <f>D355-H306</f>
        <v>74.600000000000009</v>
      </c>
      <c r="I308" s="839" t="s">
        <v>2424</v>
      </c>
    </row>
    <row r="309" spans="1:9">
      <c r="A309" s="818"/>
      <c r="B309" s="435"/>
      <c r="C309" s="829"/>
      <c r="D309" s="832">
        <f>B308*C308</f>
        <v>52</v>
      </c>
      <c r="E309" s="833" t="s">
        <v>1160</v>
      </c>
      <c r="F309" s="435"/>
      <c r="G309" s="435"/>
      <c r="H309" s="435"/>
      <c r="I309" s="435"/>
    </row>
    <row r="310" spans="1:9">
      <c r="A310" s="818"/>
      <c r="B310" s="435"/>
      <c r="C310" s="829"/>
      <c r="D310" s="832"/>
      <c r="E310" s="833"/>
      <c r="F310" s="435"/>
      <c r="G310" s="435"/>
      <c r="H310" s="435"/>
      <c r="I310" s="844" t="s">
        <v>271</v>
      </c>
    </row>
    <row r="311" spans="1:9">
      <c r="A311" s="818"/>
      <c r="B311" s="435">
        <v>1</v>
      </c>
      <c r="C311" s="829">
        <v>20.7</v>
      </c>
      <c r="D311" s="832"/>
      <c r="E311" s="833" t="s">
        <v>1139</v>
      </c>
      <c r="F311" s="435"/>
      <c r="G311" s="435"/>
      <c r="H311" s="435"/>
      <c r="I311" s="833" t="s">
        <v>1923</v>
      </c>
    </row>
    <row r="312" spans="1:9">
      <c r="A312" s="818"/>
      <c r="B312" s="435"/>
      <c r="C312" s="829"/>
      <c r="D312" s="832">
        <f>B311*C311</f>
        <v>20.7</v>
      </c>
      <c r="E312" s="833" t="s">
        <v>1162</v>
      </c>
      <c r="F312" s="435"/>
      <c r="G312" s="435"/>
      <c r="H312" s="435"/>
      <c r="I312" s="435"/>
    </row>
    <row r="313" spans="1:9">
      <c r="A313" s="818"/>
      <c r="B313" s="435"/>
      <c r="C313" s="829"/>
      <c r="D313" s="832"/>
      <c r="E313" s="833"/>
      <c r="F313" s="831">
        <v>1</v>
      </c>
      <c r="G313" s="829">
        <f>H229</f>
        <v>932.65100000000018</v>
      </c>
      <c r="H313" s="832"/>
      <c r="I313" s="831" t="s">
        <v>2284</v>
      </c>
    </row>
    <row r="314" spans="1:9">
      <c r="A314" s="818"/>
      <c r="B314" s="435">
        <v>1</v>
      </c>
      <c r="C314" s="829">
        <v>24.1</v>
      </c>
      <c r="D314" s="832"/>
      <c r="E314" s="833" t="s">
        <v>1141</v>
      </c>
      <c r="F314" s="839"/>
      <c r="G314" s="839"/>
      <c r="H314" s="838">
        <f>G313*F313</f>
        <v>932.65100000000018</v>
      </c>
      <c r="I314" s="839" t="s">
        <v>2156</v>
      </c>
    </row>
    <row r="315" spans="1:9">
      <c r="A315" s="818"/>
      <c r="B315" s="435"/>
      <c r="C315" s="829"/>
      <c r="D315" s="832">
        <f>B314*C314</f>
        <v>24.1</v>
      </c>
      <c r="E315" s="833" t="s">
        <v>1163</v>
      </c>
      <c r="F315" s="435"/>
      <c r="G315" s="435"/>
      <c r="H315" s="832"/>
      <c r="I315" s="833"/>
    </row>
    <row r="316" spans="1:9">
      <c r="A316" s="818"/>
      <c r="B316" s="435"/>
      <c r="C316" s="829"/>
      <c r="D316" s="832"/>
      <c r="E316" s="833"/>
      <c r="F316" s="435"/>
      <c r="G316" s="435"/>
      <c r="H316" s="832"/>
      <c r="I316" s="844" t="s">
        <v>272</v>
      </c>
    </row>
    <row r="317" spans="1:9">
      <c r="A317" s="818"/>
      <c r="B317" s="435">
        <v>1</v>
      </c>
      <c r="C317" s="829">
        <v>20.9</v>
      </c>
      <c r="D317" s="832"/>
      <c r="E317" s="833" t="s">
        <v>1143</v>
      </c>
      <c r="F317" s="831">
        <v>1</v>
      </c>
      <c r="G317" s="829">
        <f>D273</f>
        <v>327.79250000000002</v>
      </c>
      <c r="H317" s="832"/>
      <c r="I317" s="831" t="s">
        <v>2285</v>
      </c>
    </row>
    <row r="318" spans="1:9">
      <c r="A318" s="818"/>
      <c r="B318" s="435"/>
      <c r="C318" s="829"/>
      <c r="D318" s="832">
        <f>B317*C317</f>
        <v>20.9</v>
      </c>
      <c r="E318" s="833" t="s">
        <v>1164</v>
      </c>
      <c r="F318" s="839"/>
      <c r="G318" s="839"/>
      <c r="H318" s="838">
        <f>G317*F317</f>
        <v>327.79250000000002</v>
      </c>
      <c r="I318" s="839" t="s">
        <v>2157</v>
      </c>
    </row>
    <row r="319" spans="1:9">
      <c r="A319" s="818"/>
      <c r="B319" s="435"/>
      <c r="C319" s="829"/>
      <c r="D319" s="832"/>
      <c r="E319" s="833"/>
      <c r="F319" s="435"/>
      <c r="G319" s="435"/>
      <c r="H319" s="435"/>
      <c r="I319" s="435"/>
    </row>
    <row r="320" spans="1:9">
      <c r="A320" s="818"/>
      <c r="B320" s="435">
        <v>1</v>
      </c>
      <c r="C320" s="829">
        <v>15.8</v>
      </c>
      <c r="D320" s="832"/>
      <c r="E320" s="833" t="s">
        <v>1134</v>
      </c>
      <c r="F320" s="435"/>
      <c r="G320" s="435"/>
      <c r="H320" s="435"/>
      <c r="I320" s="844" t="s">
        <v>273</v>
      </c>
    </row>
    <row r="321" spans="1:9">
      <c r="A321" s="818"/>
      <c r="B321" s="435"/>
      <c r="C321" s="829"/>
      <c r="D321" s="832">
        <f>B320*C320</f>
        <v>15.8</v>
      </c>
      <c r="E321" s="833" t="s">
        <v>1165</v>
      </c>
      <c r="F321" s="435">
        <v>1</v>
      </c>
      <c r="G321" s="832">
        <f>D174</f>
        <v>180.11599999999999</v>
      </c>
      <c r="H321" s="435"/>
      <c r="I321" s="831" t="s">
        <v>2286</v>
      </c>
    </row>
    <row r="322" spans="1:9">
      <c r="A322" s="818"/>
      <c r="B322" s="435"/>
      <c r="C322" s="829"/>
      <c r="D322" s="832"/>
      <c r="E322" s="833"/>
      <c r="F322" s="839"/>
      <c r="G322" s="839"/>
      <c r="H322" s="838">
        <f>G321*F321</f>
        <v>180.11599999999999</v>
      </c>
      <c r="I322" s="839" t="s">
        <v>2158</v>
      </c>
    </row>
    <row r="323" spans="1:9">
      <c r="A323" s="818"/>
      <c r="B323" s="435">
        <v>1</v>
      </c>
      <c r="C323" s="829">
        <v>16.600000000000001</v>
      </c>
      <c r="D323" s="832"/>
      <c r="E323" s="833" t="s">
        <v>1137</v>
      </c>
      <c r="F323" s="435"/>
      <c r="G323" s="829"/>
      <c r="H323" s="435"/>
      <c r="I323" s="844"/>
    </row>
    <row r="324" spans="1:9">
      <c r="A324" s="818"/>
      <c r="B324" s="435"/>
      <c r="C324" s="829"/>
      <c r="D324" s="832">
        <f>B323*C323</f>
        <v>16.600000000000001</v>
      </c>
      <c r="E324" s="833" t="s">
        <v>1166</v>
      </c>
      <c r="F324" s="435"/>
      <c r="G324" s="829"/>
      <c r="H324" s="832"/>
      <c r="I324" s="837" t="s">
        <v>9</v>
      </c>
    </row>
    <row r="325" spans="1:9">
      <c r="A325" s="818"/>
      <c r="B325" s="435"/>
      <c r="C325" s="829"/>
      <c r="D325" s="832"/>
      <c r="E325" s="833"/>
      <c r="F325" s="435"/>
      <c r="G325" s="829"/>
      <c r="H325" s="832"/>
      <c r="I325" s="844" t="s">
        <v>448</v>
      </c>
    </row>
    <row r="326" spans="1:9">
      <c r="A326" s="818"/>
      <c r="B326" s="839"/>
      <c r="C326" s="839"/>
      <c r="D326" s="838">
        <f>SUM(D302:D324)+SUM(H287:H299)</f>
        <v>278.8</v>
      </c>
      <c r="E326" s="839" t="s">
        <v>2422</v>
      </c>
      <c r="F326" s="435">
        <v>1</v>
      </c>
      <c r="G326" s="829">
        <v>31.56</v>
      </c>
      <c r="H326" s="832"/>
      <c r="I326" s="831" t="s">
        <v>1270</v>
      </c>
    </row>
    <row r="327" spans="1:9">
      <c r="A327" s="818"/>
      <c r="B327" s="435"/>
      <c r="C327" s="829"/>
      <c r="D327" s="832"/>
      <c r="E327" s="833"/>
      <c r="F327" s="839"/>
      <c r="G327" s="839"/>
      <c r="H327" s="838">
        <f>F326*G326</f>
        <v>31.56</v>
      </c>
      <c r="I327" s="845" t="s">
        <v>2447</v>
      </c>
    </row>
    <row r="328" spans="1:9">
      <c r="A328" s="818"/>
      <c r="B328" s="435"/>
      <c r="C328" s="829"/>
      <c r="D328" s="832"/>
      <c r="E328" s="844" t="s">
        <v>2489</v>
      </c>
      <c r="F328" s="435"/>
      <c r="G328" s="829"/>
      <c r="H328" s="832"/>
      <c r="I328" s="831"/>
    </row>
    <row r="329" spans="1:9">
      <c r="A329" s="818"/>
      <c r="B329" s="435"/>
      <c r="C329" s="829"/>
      <c r="D329" s="832"/>
      <c r="E329" s="833"/>
      <c r="F329" s="435"/>
      <c r="G329" s="829"/>
      <c r="H329" s="832"/>
      <c r="I329" s="833" t="s">
        <v>1271</v>
      </c>
    </row>
    <row r="330" spans="1:9">
      <c r="A330" s="818"/>
      <c r="B330" s="435">
        <v>6</v>
      </c>
      <c r="C330" s="829">
        <v>1.3</v>
      </c>
      <c r="D330" s="832"/>
      <c r="E330" s="833" t="s">
        <v>2490</v>
      </c>
      <c r="F330" s="435">
        <v>1</v>
      </c>
      <c r="G330" s="829">
        <v>33.03</v>
      </c>
      <c r="H330" s="832"/>
      <c r="I330" s="831"/>
    </row>
    <row r="331" spans="1:9">
      <c r="A331" s="818"/>
      <c r="B331" s="435"/>
      <c r="C331" s="829"/>
      <c r="D331" s="832">
        <f>C330*B330</f>
        <v>7.8000000000000007</v>
      </c>
      <c r="E331" s="833"/>
      <c r="F331" s="839"/>
      <c r="G331" s="839"/>
      <c r="H331" s="838">
        <f>F330*G330</f>
        <v>33.03</v>
      </c>
      <c r="I331" s="845" t="s">
        <v>2381</v>
      </c>
    </row>
    <row r="332" spans="1:9">
      <c r="A332" s="818"/>
      <c r="B332" s="435"/>
      <c r="C332" s="829"/>
      <c r="D332" s="832"/>
      <c r="E332" s="833"/>
      <c r="F332" s="435"/>
      <c r="G332" s="829"/>
      <c r="H332" s="832"/>
      <c r="I332" s="831"/>
    </row>
    <row r="333" spans="1:9">
      <c r="A333" s="818"/>
      <c r="B333" s="435">
        <v>12</v>
      </c>
      <c r="C333" s="829">
        <v>1.5</v>
      </c>
      <c r="D333" s="832"/>
      <c r="E333" s="833"/>
      <c r="F333" s="435"/>
      <c r="G333" s="829"/>
      <c r="H333" s="832"/>
      <c r="I333" s="837" t="s">
        <v>374</v>
      </c>
    </row>
    <row r="334" spans="1:9">
      <c r="A334" s="818"/>
      <c r="B334" s="435"/>
      <c r="C334" s="829"/>
      <c r="D334" s="832">
        <f>C333*B333</f>
        <v>18</v>
      </c>
      <c r="E334" s="833"/>
      <c r="F334" s="435">
        <v>1</v>
      </c>
      <c r="G334" s="829">
        <v>5</v>
      </c>
      <c r="H334" s="832"/>
      <c r="I334" s="833" t="s">
        <v>373</v>
      </c>
    </row>
    <row r="335" spans="1:9">
      <c r="A335" s="818"/>
      <c r="B335" s="435"/>
      <c r="C335" s="435"/>
      <c r="D335" s="435"/>
      <c r="E335" s="833"/>
      <c r="F335" s="839"/>
      <c r="G335" s="839"/>
      <c r="H335" s="838">
        <f>F334*G334</f>
        <v>5</v>
      </c>
      <c r="I335" s="845" t="s">
        <v>2493</v>
      </c>
    </row>
    <row r="336" spans="1:9">
      <c r="A336" s="818"/>
      <c r="B336" s="839"/>
      <c r="C336" s="839"/>
      <c r="D336" s="838">
        <f>SUM(D330:D335)</f>
        <v>25.8</v>
      </c>
      <c r="E336" s="839" t="s">
        <v>2421</v>
      </c>
      <c r="F336" s="435"/>
      <c r="G336" s="829"/>
      <c r="H336" s="832"/>
      <c r="I336" s="844"/>
    </row>
    <row r="337" spans="1:13">
      <c r="A337" s="818"/>
      <c r="B337" s="435"/>
      <c r="C337" s="829"/>
      <c r="D337" s="435"/>
      <c r="E337" s="435"/>
      <c r="F337" s="435"/>
      <c r="G337" s="829"/>
      <c r="H337" s="832"/>
      <c r="I337" s="837" t="s">
        <v>279</v>
      </c>
    </row>
    <row r="338" spans="1:13">
      <c r="A338" s="818"/>
      <c r="B338" s="435"/>
      <c r="C338" s="829"/>
      <c r="D338" s="832"/>
      <c r="E338" s="844" t="s">
        <v>274</v>
      </c>
      <c r="F338" s="435"/>
      <c r="G338" s="829"/>
      <c r="H338" s="832"/>
      <c r="I338" s="844" t="s">
        <v>11</v>
      </c>
    </row>
    <row r="339" spans="1:13">
      <c r="A339" s="818"/>
      <c r="B339" s="435"/>
      <c r="C339" s="829"/>
      <c r="D339" s="832"/>
      <c r="E339" s="844" t="s">
        <v>275</v>
      </c>
      <c r="F339" s="435"/>
      <c r="G339" s="829"/>
      <c r="H339" s="832"/>
      <c r="I339" s="831" t="s">
        <v>1800</v>
      </c>
    </row>
    <row r="340" spans="1:13">
      <c r="A340" s="818"/>
      <c r="B340" s="435">
        <v>2</v>
      </c>
      <c r="C340" s="829">
        <v>29.85</v>
      </c>
      <c r="D340" s="832"/>
      <c r="E340" s="833" t="s">
        <v>1167</v>
      </c>
      <c r="F340" s="435">
        <v>1</v>
      </c>
      <c r="G340" s="829">
        <v>53.21</v>
      </c>
      <c r="H340" s="832"/>
      <c r="I340" s="844"/>
    </row>
    <row r="341" spans="1:13">
      <c r="A341" s="818"/>
      <c r="B341" s="435"/>
      <c r="C341" s="829">
        <v>1.2</v>
      </c>
      <c r="D341" s="832">
        <f>C340*C341*B340</f>
        <v>71.64</v>
      </c>
      <c r="E341" s="833"/>
      <c r="F341" s="839"/>
      <c r="G341" s="839"/>
      <c r="H341" s="838">
        <f>F340*G340</f>
        <v>53.21</v>
      </c>
      <c r="I341" s="845" t="s">
        <v>2385</v>
      </c>
    </row>
    <row r="342" spans="1:13">
      <c r="A342" s="818"/>
      <c r="B342" s="435"/>
      <c r="C342" s="829"/>
      <c r="D342" s="832"/>
      <c r="E342" s="833"/>
      <c r="F342" s="435"/>
      <c r="G342" s="829"/>
      <c r="H342" s="832"/>
      <c r="I342" s="844"/>
    </row>
    <row r="343" spans="1:13">
      <c r="A343" s="818"/>
      <c r="B343" s="435">
        <v>1</v>
      </c>
      <c r="C343" s="829">
        <v>13</v>
      </c>
      <c r="D343" s="832"/>
      <c r="E343" s="833"/>
      <c r="F343" s="435">
        <v>1</v>
      </c>
      <c r="G343" s="829">
        <v>13.45</v>
      </c>
      <c r="H343" s="832"/>
      <c r="I343" s="831" t="s">
        <v>1788</v>
      </c>
    </row>
    <row r="344" spans="1:13">
      <c r="A344" s="818"/>
      <c r="B344" s="435"/>
      <c r="C344" s="829">
        <v>1.2</v>
      </c>
      <c r="D344" s="832">
        <f>C343*C344*B343</f>
        <v>15.6</v>
      </c>
      <c r="E344" s="833"/>
      <c r="F344" s="839"/>
      <c r="G344" s="839"/>
      <c r="H344" s="838">
        <f>F343*G343</f>
        <v>13.45</v>
      </c>
      <c r="I344" s="845" t="s">
        <v>2386</v>
      </c>
    </row>
    <row r="345" spans="1:13">
      <c r="A345" s="818"/>
      <c r="B345" s="435"/>
      <c r="C345" s="829"/>
      <c r="D345" s="435"/>
      <c r="E345" s="435"/>
      <c r="F345" s="435"/>
      <c r="G345" s="829"/>
      <c r="H345" s="832"/>
      <c r="I345" s="831"/>
    </row>
    <row r="346" spans="1:13">
      <c r="A346" s="818"/>
      <c r="B346" s="839"/>
      <c r="C346" s="839"/>
      <c r="D346" s="838">
        <f>SUM(D340:D344)</f>
        <v>87.24</v>
      </c>
      <c r="E346" s="839" t="s">
        <v>2272</v>
      </c>
      <c r="F346" s="435">
        <v>1</v>
      </c>
      <c r="G346" s="829">
        <v>20.55</v>
      </c>
      <c r="H346" s="832"/>
      <c r="I346" s="833" t="s">
        <v>1789</v>
      </c>
    </row>
    <row r="347" spans="1:13">
      <c r="A347" s="818"/>
      <c r="B347" s="435"/>
      <c r="C347" s="829"/>
      <c r="D347" s="832"/>
      <c r="E347" s="833"/>
      <c r="F347" s="839"/>
      <c r="G347" s="839"/>
      <c r="H347" s="838">
        <f>F346*G346</f>
        <v>20.55</v>
      </c>
      <c r="I347" s="845" t="s">
        <v>2387</v>
      </c>
      <c r="K347" s="968"/>
      <c r="L347" s="967"/>
      <c r="M347" s="967"/>
    </row>
    <row r="348" spans="1:13">
      <c r="A348" s="818"/>
      <c r="B348" s="435"/>
      <c r="C348" s="829"/>
      <c r="D348" s="832"/>
      <c r="E348" s="844" t="s">
        <v>2439</v>
      </c>
      <c r="F348" s="435"/>
      <c r="G348" s="829"/>
      <c r="H348" s="832"/>
      <c r="I348" s="844"/>
      <c r="K348" s="968"/>
      <c r="L348" s="967"/>
      <c r="M348" s="967"/>
    </row>
    <row r="349" spans="1:13">
      <c r="A349" s="818"/>
      <c r="B349" s="435">
        <v>2</v>
      </c>
      <c r="C349" s="829">
        <v>31.85</v>
      </c>
      <c r="D349" s="832"/>
      <c r="E349" s="833" t="s">
        <v>2440</v>
      </c>
      <c r="F349" s="435"/>
      <c r="G349" s="829"/>
      <c r="H349" s="832"/>
      <c r="I349" s="831"/>
    </row>
    <row r="350" spans="1:13">
      <c r="A350" s="818"/>
      <c r="B350" s="435"/>
      <c r="C350" s="829"/>
      <c r="D350" s="832">
        <f>C349*B349</f>
        <v>63.7</v>
      </c>
      <c r="E350" s="833"/>
      <c r="F350" s="435"/>
      <c r="G350" s="435"/>
      <c r="H350" s="435"/>
      <c r="I350" s="435"/>
    </row>
    <row r="351" spans="1:13">
      <c r="A351" s="818"/>
      <c r="B351" s="435"/>
      <c r="C351" s="829"/>
      <c r="D351" s="832"/>
      <c r="E351" s="833"/>
      <c r="F351" s="435"/>
      <c r="G351" s="435"/>
      <c r="H351" s="435"/>
      <c r="I351" s="435"/>
    </row>
    <row r="352" spans="1:13">
      <c r="A352" s="818"/>
      <c r="B352" s="435">
        <v>1</v>
      </c>
      <c r="C352" s="829">
        <v>16</v>
      </c>
      <c r="D352" s="832"/>
      <c r="E352" s="833" t="s">
        <v>2491</v>
      </c>
      <c r="F352" s="435"/>
      <c r="G352" s="435"/>
      <c r="H352" s="435"/>
      <c r="I352" s="435"/>
    </row>
    <row r="353" spans="1:9">
      <c r="A353" s="818"/>
      <c r="B353" s="435"/>
      <c r="C353" s="829"/>
      <c r="D353" s="832">
        <f>C352*B352</f>
        <v>16</v>
      </c>
      <c r="E353" s="833"/>
      <c r="F353" s="435"/>
      <c r="G353" s="435"/>
      <c r="H353" s="435"/>
      <c r="I353" s="435"/>
    </row>
    <row r="354" spans="1:9">
      <c r="A354" s="818"/>
      <c r="B354" s="435"/>
      <c r="C354" s="829"/>
      <c r="D354" s="832"/>
      <c r="E354" s="833"/>
      <c r="F354" s="435"/>
      <c r="G354" s="435"/>
      <c r="H354" s="435"/>
      <c r="I354" s="435"/>
    </row>
    <row r="355" spans="1:9">
      <c r="A355" s="818"/>
      <c r="B355" s="839"/>
      <c r="C355" s="839"/>
      <c r="D355" s="838">
        <f>D353+D350</f>
        <v>79.7</v>
      </c>
      <c r="E355" s="839" t="s">
        <v>2492</v>
      </c>
      <c r="F355" s="435"/>
      <c r="G355" s="829"/>
      <c r="H355" s="832"/>
      <c r="I355" s="844"/>
    </row>
    <row r="356" spans="1:9">
      <c r="A356" s="818"/>
      <c r="B356" s="435"/>
      <c r="C356" s="829"/>
      <c r="D356" s="832"/>
      <c r="E356" s="833"/>
      <c r="F356" s="435"/>
      <c r="G356" s="829"/>
      <c r="H356" s="832"/>
      <c r="I356" s="831"/>
    </row>
    <row r="357" spans="1:9">
      <c r="A357" s="818"/>
      <c r="B357" s="435"/>
      <c r="C357" s="829"/>
      <c r="D357" s="832"/>
      <c r="E357" s="833"/>
      <c r="F357" s="435"/>
      <c r="G357" s="829"/>
      <c r="H357" s="832"/>
      <c r="I357" s="833"/>
    </row>
    <row r="358" spans="1:9">
      <c r="A358" s="818"/>
      <c r="B358" s="435"/>
      <c r="C358" s="829"/>
      <c r="D358" s="832"/>
      <c r="E358" s="833"/>
      <c r="F358" s="435"/>
      <c r="G358" s="829"/>
      <c r="H358" s="832"/>
      <c r="I358" s="833"/>
    </row>
    <row r="359" spans="1:9">
      <c r="A359" s="818"/>
      <c r="B359" s="109"/>
      <c r="C359" s="850"/>
      <c r="D359" s="928"/>
      <c r="E359" s="109"/>
      <c r="F359" s="109"/>
      <c r="G359" s="850"/>
      <c r="H359" s="851"/>
      <c r="I359" s="852"/>
    </row>
    <row r="360" spans="1:9">
      <c r="A360" s="818"/>
      <c r="B360" s="853" t="s">
        <v>1884</v>
      </c>
      <c r="C360" s="854" t="s">
        <v>526</v>
      </c>
      <c r="D360" s="855" t="s">
        <v>1885</v>
      </c>
      <c r="E360" s="854" t="s">
        <v>1886</v>
      </c>
      <c r="F360" s="853" t="s">
        <v>1884</v>
      </c>
      <c r="G360" s="854" t="s">
        <v>526</v>
      </c>
      <c r="H360" s="855" t="s">
        <v>1885</v>
      </c>
      <c r="I360" s="854" t="s">
        <v>1886</v>
      </c>
    </row>
    <row r="361" spans="1:9">
      <c r="A361" s="818"/>
      <c r="B361" s="435"/>
      <c r="C361" s="829"/>
      <c r="D361" s="832"/>
      <c r="E361" s="844" t="s">
        <v>1368</v>
      </c>
      <c r="F361" s="435"/>
      <c r="G361" s="433"/>
      <c r="H361" s="433"/>
      <c r="I361" s="844" t="s">
        <v>392</v>
      </c>
    </row>
    <row r="362" spans="1:9">
      <c r="A362" s="818"/>
      <c r="B362" s="435"/>
      <c r="C362" s="829"/>
      <c r="D362" s="832"/>
      <c r="E362" s="844" t="s">
        <v>377</v>
      </c>
      <c r="F362" s="435"/>
      <c r="G362" s="435"/>
      <c r="H362" s="829"/>
      <c r="I362" s="844" t="s">
        <v>393</v>
      </c>
    </row>
    <row r="363" spans="1:9">
      <c r="A363" s="818"/>
      <c r="B363" s="435"/>
      <c r="C363" s="829"/>
      <c r="D363" s="832"/>
      <c r="E363" s="844" t="s">
        <v>283</v>
      </c>
      <c r="F363" s="435">
        <v>6</v>
      </c>
      <c r="G363" s="829">
        <v>1</v>
      </c>
      <c r="H363" s="832"/>
      <c r="I363" s="844" t="s">
        <v>394</v>
      </c>
    </row>
    <row r="364" spans="1:9">
      <c r="A364" s="818"/>
      <c r="B364" s="435">
        <v>45</v>
      </c>
      <c r="C364" s="829">
        <v>1</v>
      </c>
      <c r="D364" s="832"/>
      <c r="E364" s="833"/>
      <c r="F364" s="839"/>
      <c r="G364" s="839"/>
      <c r="H364" s="838">
        <f>F363*G363</f>
        <v>6</v>
      </c>
      <c r="I364" s="845" t="s">
        <v>2403</v>
      </c>
    </row>
    <row r="365" spans="1:9">
      <c r="A365" s="818"/>
      <c r="B365" s="839"/>
      <c r="C365" s="839"/>
      <c r="D365" s="838">
        <f>B364*C364</f>
        <v>45</v>
      </c>
      <c r="E365" s="845" t="s">
        <v>2390</v>
      </c>
      <c r="F365" s="435"/>
      <c r="G365" s="829"/>
      <c r="H365" s="832"/>
      <c r="I365" s="844"/>
    </row>
    <row r="366" spans="1:9">
      <c r="A366" s="818"/>
      <c r="B366" s="435"/>
      <c r="C366" s="829"/>
      <c r="D366" s="832"/>
      <c r="E366" s="833"/>
      <c r="F366" s="435">
        <v>6</v>
      </c>
      <c r="G366" s="829">
        <v>1</v>
      </c>
      <c r="H366" s="832"/>
      <c r="I366" s="844" t="s">
        <v>2501</v>
      </c>
    </row>
    <row r="367" spans="1:9">
      <c r="A367" s="818"/>
      <c r="B367" s="435"/>
      <c r="C367" s="829"/>
      <c r="D367" s="832"/>
      <c r="E367" s="844" t="s">
        <v>381</v>
      </c>
      <c r="F367" s="839"/>
      <c r="G367" s="839"/>
      <c r="H367" s="838">
        <f>F366*G366</f>
        <v>6</v>
      </c>
      <c r="I367" s="845" t="s">
        <v>2500</v>
      </c>
    </row>
    <row r="368" spans="1:9">
      <c r="A368" s="818"/>
      <c r="B368" s="435"/>
      <c r="C368" s="829"/>
      <c r="D368" s="832"/>
      <c r="E368" s="844" t="s">
        <v>382</v>
      </c>
      <c r="F368" s="435"/>
      <c r="G368" s="829"/>
      <c r="H368" s="832"/>
      <c r="I368" s="844"/>
    </row>
    <row r="369" spans="1:9">
      <c r="A369" s="818"/>
      <c r="B369" s="435">
        <v>10</v>
      </c>
      <c r="C369" s="829">
        <v>1</v>
      </c>
      <c r="D369" s="832"/>
      <c r="E369" s="833"/>
      <c r="F369" s="435"/>
      <c r="G369" s="829"/>
      <c r="H369" s="832"/>
      <c r="I369" s="844" t="s">
        <v>8</v>
      </c>
    </row>
    <row r="370" spans="1:9">
      <c r="A370" s="818"/>
      <c r="B370" s="839"/>
      <c r="C370" s="839"/>
      <c r="D370" s="838">
        <f>B369*C369</f>
        <v>10</v>
      </c>
      <c r="E370" s="845" t="s">
        <v>2391</v>
      </c>
      <c r="F370" s="435">
        <v>10</v>
      </c>
      <c r="G370" s="829">
        <v>1</v>
      </c>
      <c r="H370" s="832"/>
      <c r="I370" s="844" t="s">
        <v>941</v>
      </c>
    </row>
    <row r="371" spans="1:9">
      <c r="A371" s="818"/>
      <c r="B371" s="435"/>
      <c r="C371" s="829"/>
      <c r="D371" s="832"/>
      <c r="E371" s="844"/>
      <c r="F371" s="839"/>
      <c r="G371" s="839"/>
      <c r="H371" s="838">
        <f>F370*G370</f>
        <v>10</v>
      </c>
      <c r="I371" s="845" t="s">
        <v>2408</v>
      </c>
    </row>
    <row r="372" spans="1:9">
      <c r="A372" s="818"/>
      <c r="B372" s="435"/>
      <c r="C372" s="829"/>
      <c r="D372" s="832"/>
      <c r="E372" s="844" t="s">
        <v>384</v>
      </c>
      <c r="F372" s="435"/>
      <c r="G372" s="829"/>
      <c r="H372" s="832"/>
      <c r="I372" s="844"/>
    </row>
    <row r="373" spans="1:9">
      <c r="A373" s="818"/>
      <c r="B373" s="435">
        <v>9</v>
      </c>
      <c r="C373" s="829">
        <v>1</v>
      </c>
      <c r="D373" s="832"/>
      <c r="E373" s="844"/>
      <c r="F373" s="435"/>
      <c r="G373" s="829"/>
      <c r="H373" s="832"/>
      <c r="I373" s="844" t="s">
        <v>942</v>
      </c>
    </row>
    <row r="374" spans="1:9">
      <c r="A374" s="818"/>
      <c r="B374" s="839"/>
      <c r="C374" s="839"/>
      <c r="D374" s="838">
        <f>B373*C373</f>
        <v>9</v>
      </c>
      <c r="E374" s="845" t="s">
        <v>2392</v>
      </c>
      <c r="F374" s="435">
        <v>16</v>
      </c>
      <c r="G374" s="829">
        <v>1</v>
      </c>
      <c r="H374" s="832"/>
      <c r="I374" s="844"/>
    </row>
    <row r="375" spans="1:9">
      <c r="A375" s="818"/>
      <c r="B375" s="435"/>
      <c r="C375" s="829"/>
      <c r="D375" s="832"/>
      <c r="E375" s="844"/>
      <c r="F375" s="839"/>
      <c r="G375" s="839"/>
      <c r="H375" s="838">
        <f>F374*G374</f>
        <v>16</v>
      </c>
      <c r="I375" s="845" t="s">
        <v>2409</v>
      </c>
    </row>
    <row r="376" spans="1:9">
      <c r="A376" s="818"/>
      <c r="B376" s="435"/>
      <c r="C376" s="829"/>
      <c r="D376" s="832"/>
      <c r="E376" s="844" t="s">
        <v>287</v>
      </c>
      <c r="F376" s="435"/>
      <c r="G376" s="829"/>
      <c r="H376" s="832"/>
      <c r="I376" s="844"/>
    </row>
    <row r="377" spans="1:9">
      <c r="A377" s="818"/>
      <c r="B377" s="435"/>
      <c r="C377" s="829"/>
      <c r="D377" s="832"/>
      <c r="E377" s="844" t="s">
        <v>288</v>
      </c>
      <c r="F377" s="443"/>
      <c r="G377" s="443"/>
      <c r="H377" s="433"/>
      <c r="I377" s="435" t="s">
        <v>383</v>
      </c>
    </row>
    <row r="378" spans="1:9">
      <c r="A378" s="818"/>
      <c r="B378" s="435">
        <v>26</v>
      </c>
      <c r="C378" s="829">
        <v>1</v>
      </c>
      <c r="D378" s="832"/>
      <c r="E378" s="844"/>
      <c r="F378" s="435">
        <v>6</v>
      </c>
      <c r="G378" s="433">
        <v>1</v>
      </c>
      <c r="H378" s="433"/>
      <c r="I378" s="444"/>
    </row>
    <row r="379" spans="1:9">
      <c r="A379" s="818"/>
      <c r="B379" s="839"/>
      <c r="C379" s="839"/>
      <c r="D379" s="838">
        <f>B378*C378</f>
        <v>26</v>
      </c>
      <c r="E379" s="845" t="s">
        <v>2394</v>
      </c>
      <c r="F379" s="839"/>
      <c r="G379" s="839"/>
      <c r="H379" s="838">
        <f>F378*G378</f>
        <v>6</v>
      </c>
      <c r="I379" s="845" t="s">
        <v>2407</v>
      </c>
    </row>
    <row r="380" spans="1:9">
      <c r="A380" s="818"/>
      <c r="B380" s="435"/>
      <c r="C380" s="829"/>
      <c r="D380" s="832"/>
      <c r="E380" s="844"/>
      <c r="F380" s="435"/>
      <c r="G380" s="829"/>
      <c r="H380" s="832"/>
      <c r="I380" s="844"/>
    </row>
    <row r="381" spans="1:9">
      <c r="A381" s="818"/>
      <c r="B381" s="435"/>
      <c r="C381" s="829"/>
      <c r="D381" s="832"/>
      <c r="E381" s="844" t="s">
        <v>1168</v>
      </c>
      <c r="F381" s="435"/>
      <c r="G381" s="829"/>
      <c r="H381" s="832"/>
      <c r="I381" s="844" t="s">
        <v>385</v>
      </c>
    </row>
    <row r="382" spans="1:9">
      <c r="A382" s="818"/>
      <c r="B382" s="435">
        <v>3</v>
      </c>
      <c r="C382" s="829">
        <v>1</v>
      </c>
      <c r="D382" s="832"/>
      <c r="E382" s="844"/>
      <c r="F382" s="435">
        <v>2</v>
      </c>
      <c r="G382" s="829">
        <v>1</v>
      </c>
      <c r="H382" s="832"/>
      <c r="I382" s="844"/>
    </row>
    <row r="383" spans="1:9">
      <c r="A383" s="818"/>
      <c r="B383" s="839"/>
      <c r="C383" s="839"/>
      <c r="D383" s="838">
        <f>B382*C382</f>
        <v>3</v>
      </c>
      <c r="E383" s="845" t="s">
        <v>2395</v>
      </c>
      <c r="F383" s="839"/>
      <c r="G383" s="839"/>
      <c r="H383" s="838">
        <f>F382*G382</f>
        <v>2</v>
      </c>
      <c r="I383" s="845" t="s">
        <v>2406</v>
      </c>
    </row>
    <row r="384" spans="1:9">
      <c r="A384" s="818"/>
      <c r="B384" s="435"/>
      <c r="C384" s="829"/>
      <c r="D384" s="832"/>
      <c r="E384" s="844"/>
      <c r="F384" s="435"/>
      <c r="G384" s="829"/>
      <c r="H384" s="832"/>
      <c r="I384" s="844"/>
    </row>
    <row r="385" spans="1:9">
      <c r="A385" s="818"/>
      <c r="B385" s="435"/>
      <c r="C385" s="829"/>
      <c r="D385" s="832"/>
      <c r="E385" s="844" t="s">
        <v>1169</v>
      </c>
      <c r="F385" s="435"/>
      <c r="G385" s="829"/>
      <c r="H385" s="832"/>
      <c r="I385" s="844" t="s">
        <v>1172</v>
      </c>
    </row>
    <row r="386" spans="1:9">
      <c r="A386" s="818"/>
      <c r="B386" s="435">
        <v>2</v>
      </c>
      <c r="C386" s="829">
        <v>1</v>
      </c>
      <c r="D386" s="832"/>
      <c r="E386" s="844"/>
      <c r="F386" s="435">
        <v>8</v>
      </c>
      <c r="G386" s="829">
        <v>1</v>
      </c>
      <c r="H386" s="832"/>
      <c r="I386" s="844"/>
    </row>
    <row r="387" spans="1:9">
      <c r="A387" s="818"/>
      <c r="B387" s="839"/>
      <c r="C387" s="839"/>
      <c r="D387" s="838">
        <f>B386*C386</f>
        <v>2</v>
      </c>
      <c r="E387" s="845" t="s">
        <v>2397</v>
      </c>
      <c r="F387" s="839"/>
      <c r="G387" s="839"/>
      <c r="H387" s="838">
        <f>F386*G386</f>
        <v>8</v>
      </c>
      <c r="I387" s="845" t="s">
        <v>2405</v>
      </c>
    </row>
    <row r="388" spans="1:9">
      <c r="A388" s="818"/>
      <c r="B388" s="435"/>
      <c r="C388" s="829"/>
      <c r="D388" s="832"/>
      <c r="E388" s="844"/>
      <c r="F388" s="435"/>
      <c r="G388" s="829"/>
      <c r="H388" s="832"/>
      <c r="I388" s="844"/>
    </row>
    <row r="389" spans="1:9">
      <c r="A389" s="818"/>
      <c r="B389" s="435"/>
      <c r="C389" s="829"/>
      <c r="D389" s="832"/>
      <c r="E389" s="844" t="s">
        <v>1170</v>
      </c>
      <c r="F389" s="435"/>
      <c r="G389" s="829"/>
      <c r="H389" s="832"/>
      <c r="I389" s="844" t="s">
        <v>387</v>
      </c>
    </row>
    <row r="390" spans="1:9">
      <c r="A390" s="818"/>
      <c r="B390" s="435">
        <v>3</v>
      </c>
      <c r="C390" s="829">
        <v>1</v>
      </c>
      <c r="D390" s="832"/>
      <c r="E390" s="844"/>
      <c r="F390" s="435"/>
      <c r="G390" s="829"/>
      <c r="H390" s="832"/>
      <c r="I390" s="844" t="s">
        <v>388</v>
      </c>
    </row>
    <row r="391" spans="1:9">
      <c r="A391" s="818"/>
      <c r="B391" s="839"/>
      <c r="C391" s="839"/>
      <c r="D391" s="838">
        <f>B390*C390</f>
        <v>3</v>
      </c>
      <c r="E391" s="845" t="s">
        <v>2495</v>
      </c>
      <c r="F391" s="435">
        <v>1</v>
      </c>
      <c r="G391" s="829">
        <v>1</v>
      </c>
      <c r="H391" s="832"/>
      <c r="I391" s="844" t="s">
        <v>389</v>
      </c>
    </row>
    <row r="392" spans="1:9">
      <c r="A392" s="818"/>
      <c r="B392" s="435"/>
      <c r="C392" s="829"/>
      <c r="D392" s="832"/>
      <c r="E392" s="844"/>
      <c r="F392" s="839"/>
      <c r="G392" s="839"/>
      <c r="H392" s="838">
        <f>F391*G391</f>
        <v>1</v>
      </c>
      <c r="I392" s="845" t="s">
        <v>2404</v>
      </c>
    </row>
    <row r="393" spans="1:9">
      <c r="A393" s="818"/>
      <c r="B393" s="435"/>
      <c r="C393" s="829"/>
      <c r="D393" s="832"/>
      <c r="E393" s="844" t="s">
        <v>1171</v>
      </c>
      <c r="F393" s="435"/>
      <c r="G393" s="829"/>
      <c r="H393" s="832"/>
      <c r="I393" s="844"/>
    </row>
    <row r="394" spans="1:9">
      <c r="A394" s="818"/>
      <c r="B394" s="435">
        <v>2</v>
      </c>
      <c r="C394" s="829">
        <v>1</v>
      </c>
      <c r="D394" s="832"/>
      <c r="E394" s="844"/>
      <c r="F394" s="435"/>
      <c r="G394" s="829"/>
      <c r="H394" s="832"/>
      <c r="I394" s="844" t="s">
        <v>1254</v>
      </c>
    </row>
    <row r="395" spans="1:9">
      <c r="A395" s="818"/>
      <c r="B395" s="839"/>
      <c r="C395" s="839"/>
      <c r="D395" s="838">
        <f>B394*C394</f>
        <v>2</v>
      </c>
      <c r="E395" s="845" t="s">
        <v>2496</v>
      </c>
      <c r="F395" s="435"/>
      <c r="G395" s="829"/>
      <c r="H395" s="832"/>
      <c r="I395" s="844" t="s">
        <v>2494</v>
      </c>
    </row>
    <row r="396" spans="1:9">
      <c r="A396" s="818"/>
      <c r="B396" s="435"/>
      <c r="C396" s="829"/>
      <c r="D396" s="832"/>
      <c r="E396" s="844"/>
      <c r="F396" s="435">
        <v>1</v>
      </c>
      <c r="G396" s="829">
        <v>37.4</v>
      </c>
      <c r="H396" s="832"/>
      <c r="I396" s="844"/>
    </row>
    <row r="397" spans="1:9">
      <c r="A397" s="818"/>
      <c r="B397" s="435"/>
      <c r="C397" s="829"/>
      <c r="D397" s="832"/>
      <c r="E397" s="844" t="s">
        <v>390</v>
      </c>
      <c r="F397" s="839"/>
      <c r="G397" s="839"/>
      <c r="H397" s="838">
        <f>F396*G396</f>
        <v>37.4</v>
      </c>
      <c r="I397" s="845" t="s">
        <v>2499</v>
      </c>
    </row>
    <row r="398" spans="1:9">
      <c r="A398" s="818"/>
      <c r="B398" s="435"/>
      <c r="C398" s="829"/>
      <c r="D398" s="832"/>
      <c r="E398" s="844" t="s">
        <v>391</v>
      </c>
      <c r="F398" s="844"/>
      <c r="G398" s="844"/>
      <c r="H398" s="844"/>
      <c r="I398" s="844"/>
    </row>
    <row r="399" spans="1:9">
      <c r="A399" s="818"/>
      <c r="B399" s="435">
        <v>26</v>
      </c>
      <c r="C399" s="829">
        <v>1</v>
      </c>
      <c r="D399" s="832"/>
      <c r="E399" s="844"/>
      <c r="F399" s="844"/>
      <c r="G399" s="844"/>
      <c r="H399" s="844"/>
      <c r="I399" s="844"/>
    </row>
    <row r="400" spans="1:9">
      <c r="A400" s="818"/>
      <c r="B400" s="839"/>
      <c r="C400" s="839"/>
      <c r="D400" s="838">
        <f>B399*C399</f>
        <v>26</v>
      </c>
      <c r="E400" s="845" t="s">
        <v>2398</v>
      </c>
      <c r="F400" s="844"/>
      <c r="G400" s="844"/>
      <c r="H400" s="844"/>
      <c r="I400" s="844"/>
    </row>
    <row r="401" spans="1:9">
      <c r="A401" s="818"/>
      <c r="B401" s="435"/>
      <c r="C401" s="829"/>
      <c r="D401" s="832"/>
      <c r="E401" s="844"/>
      <c r="F401" s="844"/>
      <c r="G401" s="844"/>
      <c r="H401" s="844"/>
      <c r="I401" s="844"/>
    </row>
    <row r="402" spans="1:9" ht="31.5">
      <c r="A402" s="818"/>
      <c r="B402" s="435"/>
      <c r="C402" s="829"/>
      <c r="D402" s="832"/>
      <c r="E402" s="1194" t="s">
        <v>3151</v>
      </c>
      <c r="F402" s="844"/>
      <c r="G402" s="844"/>
      <c r="H402" s="844"/>
      <c r="I402" s="844"/>
    </row>
    <row r="403" spans="1:9">
      <c r="A403" s="818"/>
      <c r="B403" s="435">
        <v>3</v>
      </c>
      <c r="C403" s="829">
        <v>1</v>
      </c>
      <c r="D403" s="832"/>
      <c r="E403" s="844"/>
      <c r="F403" s="844"/>
      <c r="G403" s="844"/>
      <c r="H403" s="844"/>
      <c r="I403" s="844"/>
    </row>
    <row r="404" spans="1:9">
      <c r="A404" s="818"/>
      <c r="B404" s="839"/>
      <c r="C404" s="839"/>
      <c r="D404" s="838">
        <f>B403*C403</f>
        <v>3</v>
      </c>
      <c r="E404" s="845" t="s">
        <v>2399</v>
      </c>
      <c r="F404" s="435"/>
      <c r="G404" s="435"/>
      <c r="H404" s="829"/>
      <c r="I404" s="832"/>
    </row>
    <row r="405" spans="1:9">
      <c r="A405" s="818"/>
      <c r="B405" s="435"/>
      <c r="C405" s="829"/>
      <c r="D405" s="832"/>
      <c r="E405" s="844"/>
      <c r="F405" s="435"/>
      <c r="G405" s="435"/>
      <c r="H405" s="829"/>
      <c r="I405" s="832"/>
    </row>
    <row r="406" spans="1:9">
      <c r="A406" s="818"/>
      <c r="B406" s="435"/>
      <c r="C406" s="829"/>
      <c r="D406" s="832"/>
      <c r="E406" s="844" t="s">
        <v>3152</v>
      </c>
      <c r="F406" s="435"/>
      <c r="G406" s="435"/>
      <c r="H406" s="829"/>
      <c r="I406" s="832"/>
    </row>
    <row r="407" spans="1:9">
      <c r="A407" s="818"/>
      <c r="B407" s="435">
        <v>2</v>
      </c>
      <c r="C407" s="829">
        <v>1</v>
      </c>
      <c r="D407" s="832"/>
      <c r="E407" s="844"/>
      <c r="F407" s="435"/>
      <c r="G407" s="435"/>
      <c r="H407" s="829"/>
      <c r="I407" s="832"/>
    </row>
    <row r="408" spans="1:9">
      <c r="A408" s="818"/>
      <c r="B408" s="839"/>
      <c r="C408" s="839"/>
      <c r="D408" s="838">
        <f>B407*C407</f>
        <v>2</v>
      </c>
      <c r="E408" s="845" t="s">
        <v>2401</v>
      </c>
      <c r="F408" s="435"/>
      <c r="G408" s="435"/>
      <c r="H408" s="829"/>
      <c r="I408" s="832"/>
    </row>
    <row r="409" spans="1:9">
      <c r="A409" s="818"/>
      <c r="B409" s="435"/>
      <c r="C409" s="829"/>
      <c r="D409" s="832"/>
      <c r="E409" s="844"/>
      <c r="F409" s="435"/>
      <c r="G409" s="435"/>
      <c r="H409" s="829"/>
      <c r="I409" s="832"/>
    </row>
    <row r="410" spans="1:9" ht="31.5">
      <c r="A410" s="818"/>
      <c r="B410" s="435"/>
      <c r="C410" s="829"/>
      <c r="D410" s="832"/>
      <c r="E410" s="1194" t="s">
        <v>3153</v>
      </c>
      <c r="F410" s="435"/>
      <c r="G410" s="435"/>
      <c r="H410" s="829"/>
      <c r="I410" s="832"/>
    </row>
    <row r="411" spans="1:9">
      <c r="A411" s="818"/>
      <c r="B411" s="435">
        <v>3</v>
      </c>
      <c r="C411" s="829">
        <v>1</v>
      </c>
      <c r="D411" s="832"/>
      <c r="E411" s="844"/>
      <c r="F411" s="435"/>
      <c r="G411" s="435"/>
      <c r="H411" s="829"/>
      <c r="I411" s="832"/>
    </row>
    <row r="412" spans="1:9">
      <c r="A412" s="818"/>
      <c r="B412" s="839"/>
      <c r="C412" s="839"/>
      <c r="D412" s="838">
        <f>B411*C411</f>
        <v>3</v>
      </c>
      <c r="E412" s="845" t="s">
        <v>2497</v>
      </c>
      <c r="F412" s="435"/>
      <c r="G412" s="829"/>
      <c r="H412" s="832"/>
      <c r="I412" s="844"/>
    </row>
    <row r="413" spans="1:9">
      <c r="A413" s="818"/>
      <c r="B413" s="435"/>
      <c r="C413" s="829"/>
      <c r="D413" s="832"/>
      <c r="E413" s="844"/>
      <c r="F413" s="435"/>
      <c r="G413" s="829"/>
      <c r="H413" s="832"/>
      <c r="I413" s="844"/>
    </row>
    <row r="414" spans="1:9" ht="31.5">
      <c r="A414" s="818"/>
      <c r="B414" s="435"/>
      <c r="C414" s="829"/>
      <c r="D414" s="832"/>
      <c r="E414" s="1194" t="s">
        <v>3154</v>
      </c>
      <c r="F414" s="435"/>
      <c r="G414" s="829"/>
      <c r="H414" s="832"/>
      <c r="I414" s="844"/>
    </row>
    <row r="415" spans="1:9">
      <c r="A415" s="818"/>
      <c r="B415" s="435">
        <v>2</v>
      </c>
      <c r="C415" s="829">
        <v>1</v>
      </c>
      <c r="D415" s="832"/>
      <c r="E415" s="844"/>
      <c r="F415" s="435"/>
      <c r="G415" s="829"/>
      <c r="H415" s="832"/>
      <c r="I415" s="844"/>
    </row>
    <row r="416" spans="1:9">
      <c r="A416" s="818"/>
      <c r="B416" s="839"/>
      <c r="C416" s="839"/>
      <c r="D416" s="838">
        <f>B415*C415</f>
        <v>2</v>
      </c>
      <c r="E416" s="845" t="s">
        <v>2498</v>
      </c>
      <c r="F416" s="435"/>
      <c r="G416" s="829"/>
      <c r="H416" s="832"/>
      <c r="I416" s="844"/>
    </row>
    <row r="417" spans="1:9">
      <c r="A417" s="818"/>
      <c r="B417" s="435"/>
      <c r="C417" s="435"/>
      <c r="D417" s="435"/>
      <c r="E417" s="435"/>
      <c r="F417" s="435"/>
      <c r="G417" s="829"/>
      <c r="H417" s="832"/>
      <c r="I417" s="844"/>
    </row>
    <row r="418" spans="1:9">
      <c r="A418" s="818"/>
      <c r="B418" s="109"/>
      <c r="C418" s="850"/>
      <c r="D418" s="928"/>
      <c r="E418" s="109"/>
      <c r="F418" s="109"/>
      <c r="G418" s="850"/>
      <c r="H418" s="851"/>
      <c r="I418" s="974"/>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6" manualBreakCount="6">
    <brk id="64" max="9" man="1"/>
    <brk id="124" max="16383" man="1"/>
    <brk id="183" max="16383" man="1"/>
    <brk id="241" max="16383" man="1"/>
    <brk id="300" max="16383" man="1"/>
    <brk id="359" max="9"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B1:N113"/>
  <sheetViews>
    <sheetView view="pageBreakPreview" zoomScale="85" zoomScaleSheetLayoutView="85" workbookViewId="0">
      <selection activeCell="C11" sqref="C11"/>
    </sheetView>
  </sheetViews>
  <sheetFormatPr defaultRowHeight="15.75"/>
  <cols>
    <col min="1" max="1" width="1.85546875" style="158" customWidth="1"/>
    <col min="2" max="2" width="7" style="158" customWidth="1"/>
    <col min="3" max="3" width="27.28515625" style="158" customWidth="1"/>
    <col min="4" max="4" width="20" style="158" customWidth="1"/>
    <col min="5" max="5" width="6.28515625" style="158" customWidth="1"/>
    <col min="6" max="6" width="9.85546875" style="158" customWidth="1"/>
    <col min="7" max="7" width="8.28515625" style="158" customWidth="1"/>
    <col min="8" max="9" width="9.140625" style="158" customWidth="1"/>
    <col min="10" max="10" width="8.140625" style="158" customWidth="1"/>
    <col min="11" max="11" width="13.42578125" style="158" customWidth="1"/>
    <col min="12" max="12" width="7.7109375" style="158" customWidth="1"/>
    <col min="13" max="13" width="12.42578125" style="158" customWidth="1"/>
    <col min="14" max="14" width="11.140625" style="158" customWidth="1"/>
    <col min="15" max="15" width="2.28515625" style="158" customWidth="1"/>
    <col min="16" max="16384" width="9.140625" style="158"/>
  </cols>
  <sheetData>
    <row r="1" spans="2:14">
      <c r="B1" s="2184" t="s">
        <v>1257</v>
      </c>
      <c r="C1" s="2184"/>
      <c r="D1" s="2184"/>
      <c r="E1" s="2184"/>
      <c r="F1" s="2184"/>
      <c r="G1" s="2184"/>
      <c r="L1" s="2184"/>
      <c r="M1" s="2184"/>
      <c r="N1" s="2184"/>
    </row>
    <row r="2" spans="2:14">
      <c r="B2" s="2184" t="s">
        <v>1208</v>
      </c>
      <c r="C2" s="2184"/>
      <c r="D2" s="2184"/>
      <c r="E2" s="2184"/>
      <c r="F2" s="2184"/>
      <c r="G2" s="2184"/>
      <c r="L2" s="2184"/>
      <c r="M2" s="2184"/>
      <c r="N2" s="2184"/>
    </row>
    <row r="3" spans="2:14">
      <c r="B3" s="2184" t="s">
        <v>1258</v>
      </c>
      <c r="C3" s="2184"/>
      <c r="D3" s="2184"/>
      <c r="E3" s="2184"/>
      <c r="F3" s="2184"/>
      <c r="G3" s="2184"/>
      <c r="L3" s="2184" t="s">
        <v>1803</v>
      </c>
      <c r="M3" s="2184"/>
      <c r="N3" s="2184"/>
    </row>
    <row r="4" spans="2:14">
      <c r="B4" s="2184" t="s">
        <v>1209</v>
      </c>
      <c r="C4" s="2184"/>
      <c r="D4" s="2184"/>
      <c r="E4" s="2184"/>
      <c r="F4" s="2184"/>
      <c r="G4" s="2184"/>
      <c r="J4" s="157"/>
      <c r="K4" s="157"/>
      <c r="L4" s="2184"/>
      <c r="M4" s="2184"/>
      <c r="N4" s="2184"/>
    </row>
    <row r="5" spans="2:14" ht="16.5" thickBot="1">
      <c r="B5" s="1336"/>
      <c r="C5" s="1336"/>
      <c r="D5" s="1336"/>
      <c r="E5" s="1336"/>
      <c r="F5" s="1336"/>
      <c r="G5" s="1336"/>
      <c r="J5" s="1337"/>
      <c r="K5" s="1337"/>
      <c r="L5" s="1336"/>
      <c r="M5" s="1336"/>
      <c r="N5" s="1336"/>
    </row>
    <row r="6" spans="2:14" ht="16.5" thickTop="1">
      <c r="B6" s="2247" t="s">
        <v>4</v>
      </c>
      <c r="C6" s="2245" t="s">
        <v>293</v>
      </c>
      <c r="D6" s="2245" t="s">
        <v>309</v>
      </c>
      <c r="E6" s="2245" t="s">
        <v>310</v>
      </c>
      <c r="F6" s="394" t="s">
        <v>295</v>
      </c>
      <c r="G6" s="2249" t="s">
        <v>311</v>
      </c>
      <c r="H6" s="2250"/>
      <c r="I6" s="2251"/>
      <c r="J6" s="389"/>
      <c r="K6" s="389" t="s">
        <v>312</v>
      </c>
      <c r="L6" s="389"/>
      <c r="M6" s="389"/>
      <c r="N6" s="393"/>
    </row>
    <row r="7" spans="2:14" ht="16.5" thickBot="1">
      <c r="B7" s="2248"/>
      <c r="C7" s="2246"/>
      <c r="D7" s="2246"/>
      <c r="E7" s="2246"/>
      <c r="F7" s="124" t="s">
        <v>313</v>
      </c>
      <c r="G7" s="124" t="s">
        <v>314</v>
      </c>
      <c r="H7" s="124" t="s">
        <v>315</v>
      </c>
      <c r="I7" s="145" t="s">
        <v>316</v>
      </c>
      <c r="J7" s="347" t="s">
        <v>317</v>
      </c>
      <c r="K7" s="392" t="s">
        <v>318</v>
      </c>
      <c r="L7" s="145" t="s">
        <v>319</v>
      </c>
      <c r="M7" s="145" t="s">
        <v>320</v>
      </c>
      <c r="N7" s="348" t="s">
        <v>321</v>
      </c>
    </row>
    <row r="8" spans="2:14" ht="16.5" thickTop="1">
      <c r="B8" s="491"/>
      <c r="C8" s="131"/>
      <c r="D8" s="131"/>
      <c r="E8" s="131"/>
      <c r="F8" s="350"/>
      <c r="G8" s="131"/>
      <c r="H8" s="349"/>
      <c r="I8" s="350"/>
      <c r="J8" s="350"/>
      <c r="K8" s="350"/>
      <c r="L8" s="350"/>
      <c r="M8" s="350"/>
      <c r="N8" s="351"/>
    </row>
    <row r="9" spans="2:14">
      <c r="B9" s="368"/>
      <c r="C9" s="134"/>
      <c r="D9" s="134"/>
      <c r="E9" s="134"/>
      <c r="F9" s="119"/>
      <c r="G9" s="134"/>
      <c r="H9" s="353"/>
      <c r="I9" s="119"/>
      <c r="J9" s="119"/>
      <c r="K9" s="119"/>
      <c r="L9" s="119"/>
      <c r="M9" s="119"/>
      <c r="N9" s="354"/>
    </row>
    <row r="10" spans="2:14">
      <c r="B10" s="368"/>
      <c r="C10" s="355" t="s">
        <v>1</v>
      </c>
      <c r="D10" s="134" t="s">
        <v>299</v>
      </c>
      <c r="E10" s="134">
        <v>14</v>
      </c>
      <c r="F10" s="119">
        <v>9.8800000000000008</v>
      </c>
      <c r="G10" s="134">
        <v>4</v>
      </c>
      <c r="H10" s="353">
        <v>3</v>
      </c>
      <c r="I10" s="119">
        <f t="shared" ref="I10:I21" si="0">G10*H10</f>
        <v>12</v>
      </c>
      <c r="J10" s="119"/>
      <c r="K10" s="119"/>
      <c r="L10" s="119"/>
      <c r="M10" s="119"/>
      <c r="N10" s="354">
        <f t="shared" ref="N10:N20" si="1">IF(E10=14,I10*F10,"-")</f>
        <v>118.56</v>
      </c>
    </row>
    <row r="11" spans="2:14">
      <c r="B11" s="368"/>
      <c r="C11" s="355"/>
      <c r="D11" s="134"/>
      <c r="E11" s="134">
        <v>14</v>
      </c>
      <c r="F11" s="119">
        <v>11.48</v>
      </c>
      <c r="G11" s="134">
        <v>4</v>
      </c>
      <c r="H11" s="353">
        <v>3</v>
      </c>
      <c r="I11" s="119">
        <f t="shared" si="0"/>
        <v>12</v>
      </c>
      <c r="J11" s="119"/>
      <c r="K11" s="119"/>
      <c r="L11" s="119"/>
      <c r="M11" s="119"/>
      <c r="N11" s="354">
        <f t="shared" si="1"/>
        <v>137.76</v>
      </c>
    </row>
    <row r="12" spans="2:14">
      <c r="B12" s="368"/>
      <c r="C12" s="355"/>
      <c r="D12" s="134"/>
      <c r="E12" s="134">
        <v>14</v>
      </c>
      <c r="F12" s="119">
        <v>9.25</v>
      </c>
      <c r="G12" s="134">
        <v>4</v>
      </c>
      <c r="H12" s="353">
        <v>3</v>
      </c>
      <c r="I12" s="119">
        <f t="shared" si="0"/>
        <v>12</v>
      </c>
      <c r="J12" s="119"/>
      <c r="K12" s="119"/>
      <c r="L12" s="119"/>
      <c r="M12" s="119"/>
      <c r="N12" s="354">
        <f t="shared" si="1"/>
        <v>111</v>
      </c>
    </row>
    <row r="13" spans="2:14">
      <c r="B13" s="368"/>
      <c r="C13" s="355"/>
      <c r="D13" s="134"/>
      <c r="E13" s="134">
        <v>14</v>
      </c>
      <c r="F13" s="119">
        <v>10.1</v>
      </c>
      <c r="G13" s="134">
        <v>4</v>
      </c>
      <c r="H13" s="353">
        <v>3</v>
      </c>
      <c r="I13" s="119">
        <f t="shared" si="0"/>
        <v>12</v>
      </c>
      <c r="J13" s="119"/>
      <c r="K13" s="119"/>
      <c r="L13" s="119"/>
      <c r="M13" s="119"/>
      <c r="N13" s="354">
        <f t="shared" si="1"/>
        <v>121.19999999999999</v>
      </c>
    </row>
    <row r="14" spans="2:14">
      <c r="B14" s="368"/>
      <c r="C14" s="355"/>
      <c r="D14" s="134"/>
      <c r="E14" s="134">
        <v>14</v>
      </c>
      <c r="F14" s="119">
        <v>9.4499999999999993</v>
      </c>
      <c r="G14" s="134">
        <v>4</v>
      </c>
      <c r="H14" s="353">
        <v>3</v>
      </c>
      <c r="I14" s="119">
        <f t="shared" si="0"/>
        <v>12</v>
      </c>
      <c r="J14" s="119"/>
      <c r="K14" s="119"/>
      <c r="L14" s="119"/>
      <c r="M14" s="119"/>
      <c r="N14" s="354">
        <f t="shared" si="1"/>
        <v>113.39999999999999</v>
      </c>
    </row>
    <row r="15" spans="2:14">
      <c r="B15" s="368"/>
      <c r="C15" s="355"/>
      <c r="D15" s="134"/>
      <c r="E15" s="134">
        <v>14</v>
      </c>
      <c r="F15" s="119">
        <v>11.35</v>
      </c>
      <c r="G15" s="134">
        <v>4</v>
      </c>
      <c r="H15" s="353">
        <v>3</v>
      </c>
      <c r="I15" s="119">
        <f t="shared" si="0"/>
        <v>12</v>
      </c>
      <c r="J15" s="119"/>
      <c r="K15" s="119"/>
      <c r="L15" s="119"/>
      <c r="M15" s="119"/>
      <c r="N15" s="354">
        <f t="shared" si="1"/>
        <v>136.19999999999999</v>
      </c>
    </row>
    <row r="16" spans="2:14">
      <c r="B16" s="368"/>
      <c r="C16" s="355"/>
      <c r="D16" s="134"/>
      <c r="E16" s="134">
        <v>8</v>
      </c>
      <c r="F16" s="119">
        <v>1.2</v>
      </c>
      <c r="G16" s="134">
        <v>144</v>
      </c>
      <c r="H16" s="353">
        <v>4</v>
      </c>
      <c r="I16" s="119">
        <f t="shared" si="0"/>
        <v>576</v>
      </c>
      <c r="J16" s="119"/>
      <c r="K16" s="119">
        <f>IF(E16=8,I16*F16,"-")</f>
        <v>691.19999999999993</v>
      </c>
      <c r="L16" s="119"/>
      <c r="M16" s="119"/>
      <c r="N16" s="354"/>
    </row>
    <row r="17" spans="2:14">
      <c r="B17" s="368"/>
      <c r="C17" s="355"/>
      <c r="D17" s="134" t="s">
        <v>300</v>
      </c>
      <c r="E17" s="134">
        <v>14</v>
      </c>
      <c r="F17" s="119">
        <v>7.16</v>
      </c>
      <c r="G17" s="134">
        <v>6</v>
      </c>
      <c r="H17" s="353">
        <v>3</v>
      </c>
      <c r="I17" s="119">
        <f t="shared" si="0"/>
        <v>18</v>
      </c>
      <c r="J17" s="119"/>
      <c r="K17" s="119"/>
      <c r="L17" s="119"/>
      <c r="M17" s="119"/>
      <c r="N17" s="354">
        <f t="shared" si="1"/>
        <v>128.88</v>
      </c>
    </row>
    <row r="18" spans="2:14">
      <c r="B18" s="368"/>
      <c r="C18" s="355"/>
      <c r="D18" s="134"/>
      <c r="E18" s="134">
        <v>14</v>
      </c>
      <c r="F18" s="119">
        <v>7.2</v>
      </c>
      <c r="G18" s="134">
        <v>6</v>
      </c>
      <c r="H18" s="353">
        <v>3</v>
      </c>
      <c r="I18" s="119">
        <f t="shared" si="0"/>
        <v>18</v>
      </c>
      <c r="J18" s="119"/>
      <c r="K18" s="119"/>
      <c r="L18" s="119"/>
      <c r="M18" s="119"/>
      <c r="N18" s="354">
        <f t="shared" si="1"/>
        <v>129.6</v>
      </c>
    </row>
    <row r="19" spans="2:14">
      <c r="B19" s="368"/>
      <c r="C19" s="355"/>
      <c r="D19" s="134"/>
      <c r="E19" s="134">
        <v>14</v>
      </c>
      <c r="F19" s="119">
        <v>7.91</v>
      </c>
      <c r="G19" s="134">
        <v>6</v>
      </c>
      <c r="H19" s="353">
        <v>3</v>
      </c>
      <c r="I19" s="119">
        <f t="shared" si="0"/>
        <v>18</v>
      </c>
      <c r="J19" s="119"/>
      <c r="K19" s="119"/>
      <c r="L19" s="119"/>
      <c r="M19" s="119"/>
      <c r="N19" s="354">
        <f t="shared" si="1"/>
        <v>142.38</v>
      </c>
    </row>
    <row r="20" spans="2:14">
      <c r="B20" s="368"/>
      <c r="C20" s="355"/>
      <c r="D20" s="134"/>
      <c r="E20" s="134">
        <v>14</v>
      </c>
      <c r="F20" s="119">
        <v>5.85</v>
      </c>
      <c r="G20" s="134">
        <v>6</v>
      </c>
      <c r="H20" s="353">
        <v>3</v>
      </c>
      <c r="I20" s="119">
        <f t="shared" si="0"/>
        <v>18</v>
      </c>
      <c r="J20" s="119"/>
      <c r="K20" s="119"/>
      <c r="L20" s="119"/>
      <c r="M20" s="119"/>
      <c r="N20" s="354">
        <f t="shared" si="1"/>
        <v>105.3</v>
      </c>
    </row>
    <row r="21" spans="2:14">
      <c r="B21" s="368"/>
      <c r="C21" s="355"/>
      <c r="D21" s="134"/>
      <c r="E21" s="134">
        <v>8</v>
      </c>
      <c r="F21" s="119">
        <v>1.2</v>
      </c>
      <c r="G21" s="134">
        <v>66</v>
      </c>
      <c r="H21" s="353">
        <v>6</v>
      </c>
      <c r="I21" s="119">
        <f t="shared" si="0"/>
        <v>396</v>
      </c>
      <c r="J21" s="119"/>
      <c r="K21" s="119">
        <f>IF(E21=8,I21*F21,"-")</f>
        <v>475.2</v>
      </c>
      <c r="L21" s="119"/>
      <c r="M21" s="119"/>
      <c r="N21" s="354"/>
    </row>
    <row r="22" spans="2:14">
      <c r="B22" s="368"/>
      <c r="C22" s="355"/>
      <c r="D22" s="134"/>
      <c r="E22" s="134"/>
      <c r="F22" s="119"/>
      <c r="G22" s="134"/>
      <c r="H22" s="353"/>
      <c r="I22" s="119"/>
      <c r="J22" s="119"/>
      <c r="K22" s="119"/>
      <c r="L22" s="119"/>
      <c r="M22" s="119"/>
      <c r="N22" s="354"/>
    </row>
    <row r="23" spans="2:14">
      <c r="B23" s="368"/>
      <c r="C23" s="134"/>
      <c r="D23" s="134"/>
      <c r="E23" s="134"/>
      <c r="F23" s="119"/>
      <c r="G23" s="134"/>
      <c r="H23" s="353"/>
      <c r="I23" s="119"/>
      <c r="J23" s="119"/>
      <c r="K23" s="119"/>
      <c r="L23" s="119"/>
      <c r="M23" s="119"/>
      <c r="N23" s="354"/>
    </row>
    <row r="24" spans="2:14">
      <c r="B24" s="368"/>
      <c r="C24" s="355"/>
      <c r="D24" s="134"/>
      <c r="E24" s="134"/>
      <c r="F24" s="119"/>
      <c r="G24" s="134"/>
      <c r="H24" s="353"/>
      <c r="I24" s="119"/>
      <c r="J24" s="119"/>
      <c r="K24" s="119"/>
      <c r="L24" s="119"/>
      <c r="M24" s="119"/>
      <c r="N24" s="354"/>
    </row>
    <row r="25" spans="2:14">
      <c r="B25" s="368"/>
      <c r="C25" s="355"/>
      <c r="D25" s="134"/>
      <c r="E25" s="134"/>
      <c r="F25" s="119"/>
      <c r="G25" s="134"/>
      <c r="H25" s="353"/>
      <c r="I25" s="119"/>
      <c r="J25" s="119"/>
      <c r="K25" s="119"/>
      <c r="L25" s="119"/>
      <c r="M25" s="119"/>
      <c r="N25" s="354"/>
    </row>
    <row r="26" spans="2:14">
      <c r="B26" s="368"/>
      <c r="C26" s="355"/>
      <c r="D26" s="134"/>
      <c r="E26" s="134"/>
      <c r="F26" s="119"/>
      <c r="G26" s="134"/>
      <c r="H26" s="353"/>
      <c r="I26" s="119"/>
      <c r="J26" s="119"/>
      <c r="K26" s="119"/>
      <c r="L26" s="119"/>
      <c r="M26" s="119"/>
      <c r="N26" s="354"/>
    </row>
    <row r="27" spans="2:14" ht="16.5" thickBot="1">
      <c r="B27" s="373"/>
      <c r="C27" s="492"/>
      <c r="D27" s="145"/>
      <c r="E27" s="145"/>
      <c r="F27" s="356"/>
      <c r="G27" s="145"/>
      <c r="H27" s="490"/>
      <c r="I27" s="356"/>
      <c r="J27" s="356"/>
      <c r="K27" s="356"/>
      <c r="L27" s="356"/>
      <c r="M27" s="356"/>
      <c r="N27" s="357"/>
    </row>
    <row r="28" spans="2:14" ht="16.5" thickTop="1">
      <c r="B28" s="493"/>
      <c r="C28" s="494"/>
      <c r="D28" s="494"/>
      <c r="E28" s="494"/>
      <c r="F28" s="2250" t="s">
        <v>301</v>
      </c>
      <c r="G28" s="2250"/>
      <c r="H28" s="2250"/>
      <c r="I28" s="2315"/>
      <c r="J28" s="430"/>
      <c r="K28" s="376">
        <f>SUM(K8:K27)</f>
        <v>1166.3999999999999</v>
      </c>
      <c r="L28" s="376">
        <f>SUM(L8:L27)</f>
        <v>0</v>
      </c>
      <c r="M28" s="376">
        <f>SUM(M8:M27)</f>
        <v>0</v>
      </c>
      <c r="N28" s="431">
        <f>SUM(N8:N27)</f>
        <v>1244.28</v>
      </c>
    </row>
    <row r="29" spans="2:14">
      <c r="B29" s="495"/>
      <c r="C29" s="496"/>
      <c r="D29" s="496"/>
      <c r="E29" s="496"/>
      <c r="F29" s="155" t="s">
        <v>302</v>
      </c>
      <c r="G29" s="155"/>
      <c r="H29" s="155"/>
      <c r="I29" s="424"/>
      <c r="J29" s="361"/>
      <c r="K29" s="425" t="s">
        <v>303</v>
      </c>
      <c r="L29" s="426" t="s">
        <v>304</v>
      </c>
      <c r="M29" s="425" t="s">
        <v>305</v>
      </c>
      <c r="N29" s="427" t="s">
        <v>306</v>
      </c>
    </row>
    <row r="30" spans="2:14" ht="16.5" thickBot="1">
      <c r="B30" s="497"/>
      <c r="C30" s="498"/>
      <c r="D30" s="498"/>
      <c r="E30" s="498"/>
      <c r="F30" s="156" t="s">
        <v>307</v>
      </c>
      <c r="G30" s="156"/>
      <c r="H30" s="156"/>
      <c r="I30" s="429"/>
      <c r="J30" s="363"/>
      <c r="K30" s="120">
        <f>K28*K29</f>
        <v>460.72799999999995</v>
      </c>
      <c r="L30" s="120">
        <f>L28*L29</f>
        <v>0</v>
      </c>
      <c r="M30" s="120">
        <f>M28*M29</f>
        <v>0</v>
      </c>
      <c r="N30" s="364">
        <f>N28*N29</f>
        <v>1505.5788</v>
      </c>
    </row>
    <row r="31" spans="2:14" ht="16.5" thickTop="1"/>
    <row r="37" spans="2:14" ht="16.5" thickBot="1">
      <c r="C37" s="463" t="s">
        <v>24</v>
      </c>
      <c r="D37" s="346"/>
      <c r="E37" s="346"/>
      <c r="F37" s="346"/>
      <c r="G37" s="346"/>
      <c r="H37" s="346"/>
      <c r="I37" s="346"/>
      <c r="J37" s="346"/>
      <c r="K37" s="346"/>
      <c r="L37" s="2314" t="s">
        <v>308</v>
      </c>
      <c r="M37" s="2314"/>
    </row>
    <row r="38" spans="2:14" ht="16.5" thickTop="1">
      <c r="B38" s="2247" t="s">
        <v>4</v>
      </c>
      <c r="C38" s="2245" t="s">
        <v>293</v>
      </c>
      <c r="D38" s="2245" t="s">
        <v>309</v>
      </c>
      <c r="E38" s="2245" t="s">
        <v>310</v>
      </c>
      <c r="F38" s="394" t="s">
        <v>295</v>
      </c>
      <c r="G38" s="2249" t="s">
        <v>311</v>
      </c>
      <c r="H38" s="2250"/>
      <c r="I38" s="2251"/>
      <c r="J38" s="389"/>
      <c r="K38" s="389" t="s">
        <v>312</v>
      </c>
      <c r="L38" s="389"/>
      <c r="M38" s="389"/>
      <c r="N38" s="393"/>
    </row>
    <row r="39" spans="2:14" ht="16.5" thickBot="1">
      <c r="B39" s="2248"/>
      <c r="C39" s="2246"/>
      <c r="D39" s="2246"/>
      <c r="E39" s="2246"/>
      <c r="F39" s="124" t="s">
        <v>313</v>
      </c>
      <c r="G39" s="124" t="s">
        <v>314</v>
      </c>
      <c r="H39" s="124" t="s">
        <v>315</v>
      </c>
      <c r="I39" s="145" t="s">
        <v>316</v>
      </c>
      <c r="J39" s="347" t="s">
        <v>317</v>
      </c>
      <c r="K39" s="392" t="s">
        <v>318</v>
      </c>
      <c r="L39" s="145" t="s">
        <v>319</v>
      </c>
      <c r="M39" s="145" t="s">
        <v>320</v>
      </c>
      <c r="N39" s="348" t="s">
        <v>321</v>
      </c>
    </row>
    <row r="40" spans="2:14" ht="16.5" thickTop="1">
      <c r="B40" s="390"/>
      <c r="C40" s="131" t="s">
        <v>945</v>
      </c>
      <c r="D40" s="131"/>
      <c r="E40" s="131"/>
      <c r="F40" s="350"/>
      <c r="G40" s="131"/>
      <c r="H40" s="131"/>
      <c r="I40" s="350"/>
      <c r="J40" s="350"/>
      <c r="K40" s="350"/>
      <c r="L40" s="350"/>
      <c r="M40" s="350"/>
      <c r="N40" s="351"/>
    </row>
    <row r="41" spans="2:14">
      <c r="B41" s="140"/>
      <c r="C41" s="154" t="s">
        <v>398</v>
      </c>
      <c r="D41" s="134"/>
      <c r="E41" s="134">
        <v>8</v>
      </c>
      <c r="F41" s="119">
        <v>5.85</v>
      </c>
      <c r="G41" s="134">
        <v>2</v>
      </c>
      <c r="H41" s="134">
        <v>26</v>
      </c>
      <c r="I41" s="119">
        <f>G41*H41</f>
        <v>52</v>
      </c>
      <c r="J41" s="119"/>
      <c r="K41" s="119">
        <f>F41*I41</f>
        <v>304.2</v>
      </c>
      <c r="L41" s="119"/>
      <c r="M41" s="119"/>
      <c r="N41" s="354"/>
    </row>
    <row r="42" spans="2:14">
      <c r="B42" s="140"/>
      <c r="C42" s="154" t="s">
        <v>399</v>
      </c>
      <c r="D42" s="134"/>
      <c r="E42" s="134">
        <v>8</v>
      </c>
      <c r="F42" s="119">
        <v>5.05</v>
      </c>
      <c r="G42" s="134">
        <v>2</v>
      </c>
      <c r="H42" s="134">
        <v>30</v>
      </c>
      <c r="I42" s="119">
        <f t="shared" ref="I42:I53" si="2">G42*H42</f>
        <v>60</v>
      </c>
      <c r="J42" s="119"/>
      <c r="K42" s="119">
        <f t="shared" ref="K42:K53" si="3">F42*I42</f>
        <v>303</v>
      </c>
      <c r="L42" s="119"/>
      <c r="M42" s="119"/>
      <c r="N42" s="354"/>
    </row>
    <row r="43" spans="2:14">
      <c r="B43" s="140"/>
      <c r="C43" s="154" t="s">
        <v>398</v>
      </c>
      <c r="D43" s="134"/>
      <c r="E43" s="134">
        <v>8</v>
      </c>
      <c r="F43" s="119">
        <v>5.75</v>
      </c>
      <c r="G43" s="134">
        <v>6</v>
      </c>
      <c r="H43" s="134">
        <v>26</v>
      </c>
      <c r="I43" s="119">
        <f t="shared" si="2"/>
        <v>156</v>
      </c>
      <c r="J43" s="119"/>
      <c r="K43" s="119">
        <f t="shared" si="3"/>
        <v>897</v>
      </c>
      <c r="L43" s="119"/>
      <c r="M43" s="119"/>
      <c r="N43" s="354"/>
    </row>
    <row r="44" spans="2:14">
      <c r="B44" s="140"/>
      <c r="C44" s="154" t="s">
        <v>1174</v>
      </c>
      <c r="D44" s="134"/>
      <c r="E44" s="134">
        <v>8</v>
      </c>
      <c r="F44" s="119">
        <v>5.05</v>
      </c>
      <c r="G44" s="134">
        <v>6</v>
      </c>
      <c r="H44" s="134">
        <v>30</v>
      </c>
      <c r="I44" s="119">
        <f t="shared" si="2"/>
        <v>180</v>
      </c>
      <c r="J44" s="119"/>
      <c r="K44" s="119">
        <f t="shared" si="3"/>
        <v>909</v>
      </c>
      <c r="L44" s="119"/>
      <c r="M44" s="119"/>
      <c r="N44" s="354"/>
    </row>
    <row r="45" spans="2:14">
      <c r="B45" s="140"/>
      <c r="C45" s="154" t="s">
        <v>398</v>
      </c>
      <c r="D45" s="134"/>
      <c r="E45" s="134">
        <v>8</v>
      </c>
      <c r="F45" s="119">
        <v>4.0199999999999996</v>
      </c>
      <c r="G45" s="134">
        <v>2</v>
      </c>
      <c r="H45" s="134">
        <v>26</v>
      </c>
      <c r="I45" s="119">
        <f t="shared" si="2"/>
        <v>52</v>
      </c>
      <c r="J45" s="119"/>
      <c r="K45" s="119">
        <f t="shared" si="3"/>
        <v>209.03999999999996</v>
      </c>
      <c r="L45" s="119"/>
      <c r="M45" s="119"/>
      <c r="N45" s="354"/>
    </row>
    <row r="46" spans="2:14">
      <c r="B46" s="140"/>
      <c r="C46" s="154" t="s">
        <v>1175</v>
      </c>
      <c r="D46" s="134"/>
      <c r="E46" s="134">
        <v>8</v>
      </c>
      <c r="F46" s="119">
        <v>4.97</v>
      </c>
      <c r="G46" s="134">
        <v>2</v>
      </c>
      <c r="H46" s="134">
        <v>21</v>
      </c>
      <c r="I46" s="119">
        <f t="shared" si="2"/>
        <v>42</v>
      </c>
      <c r="J46" s="119"/>
      <c r="K46" s="119">
        <f t="shared" si="3"/>
        <v>208.73999999999998</v>
      </c>
      <c r="L46" s="119"/>
      <c r="M46" s="119"/>
      <c r="N46" s="354"/>
    </row>
    <row r="47" spans="2:14">
      <c r="B47" s="140"/>
      <c r="C47" s="154"/>
      <c r="D47" s="134"/>
      <c r="E47" s="134"/>
      <c r="F47" s="119"/>
      <c r="G47" s="134"/>
      <c r="H47" s="134"/>
      <c r="I47" s="119"/>
      <c r="J47" s="119"/>
      <c r="K47" s="119"/>
      <c r="L47" s="119"/>
      <c r="M47" s="119"/>
      <c r="N47" s="354"/>
    </row>
    <row r="48" spans="2:14">
      <c r="B48" s="140"/>
      <c r="C48" s="154"/>
      <c r="D48" s="134"/>
      <c r="E48" s="134"/>
      <c r="F48" s="119"/>
      <c r="G48" s="134"/>
      <c r="H48" s="134"/>
      <c r="I48" s="119"/>
      <c r="J48" s="119"/>
      <c r="K48" s="119"/>
      <c r="L48" s="119"/>
      <c r="M48" s="119"/>
      <c r="N48" s="354"/>
    </row>
    <row r="49" spans="2:14">
      <c r="B49" s="140"/>
      <c r="C49" s="154" t="s">
        <v>402</v>
      </c>
      <c r="D49" s="134"/>
      <c r="E49" s="134">
        <v>8</v>
      </c>
      <c r="F49" s="119">
        <v>5.77</v>
      </c>
      <c r="G49" s="134">
        <v>1</v>
      </c>
      <c r="H49" s="134">
        <v>10</v>
      </c>
      <c r="I49" s="119">
        <f t="shared" si="2"/>
        <v>10</v>
      </c>
      <c r="J49" s="119"/>
      <c r="K49" s="119">
        <f t="shared" si="3"/>
        <v>57.699999999999996</v>
      </c>
      <c r="L49" s="119"/>
      <c r="M49" s="119"/>
      <c r="N49" s="354"/>
    </row>
    <row r="50" spans="2:14">
      <c r="B50" s="140"/>
      <c r="C50" s="154"/>
      <c r="D50" s="134"/>
      <c r="E50" s="134">
        <v>8</v>
      </c>
      <c r="F50" s="119">
        <v>1.87</v>
      </c>
      <c r="G50" s="134">
        <v>1</v>
      </c>
      <c r="H50" s="134">
        <v>30</v>
      </c>
      <c r="I50" s="119">
        <f t="shared" si="2"/>
        <v>30</v>
      </c>
      <c r="J50" s="119"/>
      <c r="K50" s="119">
        <f t="shared" si="3"/>
        <v>56.1</v>
      </c>
      <c r="L50" s="119"/>
      <c r="M50" s="119"/>
      <c r="N50" s="354"/>
    </row>
    <row r="51" spans="2:14">
      <c r="B51" s="140"/>
      <c r="C51" s="154" t="s">
        <v>1176</v>
      </c>
      <c r="D51" s="134"/>
      <c r="E51" s="134">
        <v>8</v>
      </c>
      <c r="F51" s="119">
        <v>5.67</v>
      </c>
      <c r="G51" s="134">
        <v>3</v>
      </c>
      <c r="H51" s="134">
        <v>20</v>
      </c>
      <c r="I51" s="119">
        <f t="shared" si="2"/>
        <v>60</v>
      </c>
      <c r="J51" s="119"/>
      <c r="K51" s="119">
        <f t="shared" si="3"/>
        <v>340.2</v>
      </c>
      <c r="L51" s="119"/>
      <c r="M51" s="119"/>
      <c r="N51" s="354"/>
    </row>
    <row r="52" spans="2:14">
      <c r="B52" s="140"/>
      <c r="C52" s="154"/>
      <c r="D52" s="134"/>
      <c r="E52" s="134">
        <v>8</v>
      </c>
      <c r="F52" s="119">
        <v>1.87</v>
      </c>
      <c r="G52" s="134">
        <v>3</v>
      </c>
      <c r="H52" s="134">
        <v>29</v>
      </c>
      <c r="I52" s="119">
        <f t="shared" si="2"/>
        <v>87</v>
      </c>
      <c r="J52" s="119"/>
      <c r="K52" s="119">
        <f t="shared" si="3"/>
        <v>162.69</v>
      </c>
      <c r="L52" s="119"/>
      <c r="M52" s="119"/>
      <c r="N52" s="354"/>
    </row>
    <row r="53" spans="2:14">
      <c r="B53" s="140"/>
      <c r="C53" s="154" t="s">
        <v>1177</v>
      </c>
      <c r="D53" s="134"/>
      <c r="E53" s="134">
        <v>8</v>
      </c>
      <c r="F53" s="119">
        <v>4.0199999999999996</v>
      </c>
      <c r="G53" s="134">
        <v>1</v>
      </c>
      <c r="H53" s="134">
        <v>10</v>
      </c>
      <c r="I53" s="119">
        <f t="shared" si="2"/>
        <v>10</v>
      </c>
      <c r="J53" s="119"/>
      <c r="K53" s="119">
        <f t="shared" si="3"/>
        <v>40.199999999999996</v>
      </c>
      <c r="L53" s="119"/>
      <c r="M53" s="119"/>
      <c r="N53" s="354"/>
    </row>
    <row r="54" spans="2:14">
      <c r="B54" s="140"/>
      <c r="C54" s="154"/>
      <c r="D54" s="134"/>
      <c r="E54" s="134">
        <v>8</v>
      </c>
      <c r="F54" s="119">
        <v>1.87</v>
      </c>
      <c r="G54" s="134">
        <v>1</v>
      </c>
      <c r="H54" s="134">
        <v>21</v>
      </c>
      <c r="I54" s="119">
        <f>G54*H54</f>
        <v>21</v>
      </c>
      <c r="J54" s="119"/>
      <c r="K54" s="119">
        <f>F54*I54</f>
        <v>39.270000000000003</v>
      </c>
      <c r="L54" s="119"/>
      <c r="M54" s="119"/>
      <c r="N54" s="354"/>
    </row>
    <row r="55" spans="2:14">
      <c r="B55" s="140"/>
      <c r="C55" s="154"/>
      <c r="D55" s="134"/>
      <c r="E55" s="134"/>
      <c r="F55" s="119"/>
      <c r="G55" s="134"/>
      <c r="H55" s="134"/>
      <c r="I55" s="119"/>
      <c r="J55" s="119"/>
      <c r="K55" s="119"/>
      <c r="L55" s="119"/>
      <c r="M55" s="119"/>
      <c r="N55" s="354"/>
    </row>
    <row r="56" spans="2:14">
      <c r="B56" s="140"/>
      <c r="C56" s="154"/>
      <c r="D56" s="134"/>
      <c r="E56" s="134"/>
      <c r="F56" s="119"/>
      <c r="G56" s="134"/>
      <c r="H56" s="134"/>
      <c r="I56" s="119"/>
      <c r="J56" s="119"/>
      <c r="K56" s="119"/>
      <c r="L56" s="119"/>
      <c r="M56" s="119"/>
      <c r="N56" s="354"/>
    </row>
    <row r="57" spans="2:14">
      <c r="B57" s="140"/>
      <c r="C57" s="154"/>
      <c r="D57" s="134"/>
      <c r="E57" s="134"/>
      <c r="F57" s="119"/>
      <c r="G57" s="134"/>
      <c r="H57" s="134"/>
      <c r="I57" s="119"/>
      <c r="J57" s="119"/>
      <c r="K57" s="119"/>
      <c r="L57" s="119"/>
      <c r="M57" s="119"/>
      <c r="N57" s="354"/>
    </row>
    <row r="58" spans="2:14">
      <c r="B58" s="140"/>
      <c r="C58" s="154"/>
      <c r="D58" s="134"/>
      <c r="E58" s="134"/>
      <c r="F58" s="119"/>
      <c r="G58" s="134"/>
      <c r="H58" s="134"/>
      <c r="I58" s="119"/>
      <c r="J58" s="119"/>
      <c r="K58" s="119"/>
      <c r="L58" s="119"/>
      <c r="M58" s="119"/>
      <c r="N58" s="354"/>
    </row>
    <row r="59" spans="2:14">
      <c r="B59" s="140"/>
      <c r="C59" s="154"/>
      <c r="D59" s="134"/>
      <c r="E59" s="134"/>
      <c r="F59" s="119"/>
      <c r="G59" s="134"/>
      <c r="H59" s="134"/>
      <c r="I59" s="119"/>
      <c r="J59" s="119"/>
      <c r="K59" s="119"/>
      <c r="L59" s="119"/>
      <c r="M59" s="119"/>
      <c r="N59" s="354"/>
    </row>
    <row r="60" spans="2:14">
      <c r="B60" s="140"/>
      <c r="C60" s="154"/>
      <c r="D60" s="134"/>
      <c r="E60" s="134"/>
      <c r="F60" s="119"/>
      <c r="G60" s="134"/>
      <c r="H60" s="134"/>
      <c r="I60" s="119"/>
      <c r="J60" s="119"/>
      <c r="K60" s="119"/>
      <c r="L60" s="119"/>
      <c r="M60" s="119"/>
      <c r="N60" s="354"/>
    </row>
    <row r="61" spans="2:14">
      <c r="B61" s="140"/>
      <c r="C61" s="154"/>
      <c r="D61" s="134"/>
      <c r="E61" s="134"/>
      <c r="F61" s="119"/>
      <c r="G61" s="134"/>
      <c r="H61" s="134"/>
      <c r="I61" s="119"/>
      <c r="J61" s="119"/>
      <c r="K61" s="119"/>
      <c r="L61" s="119"/>
      <c r="M61" s="119"/>
      <c r="N61" s="354"/>
    </row>
    <row r="62" spans="2:14">
      <c r="B62" s="140"/>
      <c r="C62" s="154"/>
      <c r="D62" s="134"/>
      <c r="E62" s="134"/>
      <c r="F62" s="119"/>
      <c r="G62" s="134"/>
      <c r="H62" s="134"/>
      <c r="I62" s="119"/>
      <c r="J62" s="119"/>
      <c r="K62" s="119"/>
      <c r="L62" s="119"/>
      <c r="M62" s="119"/>
      <c r="N62" s="354"/>
    </row>
    <row r="63" spans="2:14">
      <c r="B63" s="140"/>
      <c r="C63" s="154"/>
      <c r="D63" s="134"/>
      <c r="E63" s="134"/>
      <c r="F63" s="119"/>
      <c r="G63" s="134"/>
      <c r="H63" s="134"/>
      <c r="I63" s="119"/>
      <c r="J63" s="119"/>
      <c r="K63" s="119"/>
      <c r="L63" s="119"/>
      <c r="M63" s="119"/>
      <c r="N63" s="354"/>
    </row>
    <row r="64" spans="2:14">
      <c r="B64" s="140"/>
      <c r="C64" s="154"/>
      <c r="D64" s="134"/>
      <c r="E64" s="134"/>
      <c r="F64" s="119"/>
      <c r="G64" s="134"/>
      <c r="H64" s="134"/>
      <c r="I64" s="119"/>
      <c r="J64" s="119"/>
      <c r="K64" s="119"/>
      <c r="L64" s="119"/>
      <c r="M64" s="119"/>
      <c r="N64" s="354"/>
    </row>
    <row r="65" spans="2:14" ht="16.5" thickBot="1">
      <c r="B65" s="391"/>
      <c r="C65" s="499"/>
      <c r="D65" s="145"/>
      <c r="E65" s="145"/>
      <c r="F65" s="356"/>
      <c r="G65" s="145"/>
      <c r="H65" s="145"/>
      <c r="I65" s="356"/>
      <c r="J65" s="356"/>
      <c r="K65" s="356"/>
      <c r="L65" s="356"/>
      <c r="M65" s="356"/>
      <c r="N65" s="357"/>
    </row>
    <row r="66" spans="2:14" ht="16.5" thickTop="1">
      <c r="B66" s="493"/>
      <c r="C66" s="494"/>
      <c r="D66" s="494"/>
      <c r="E66" s="494"/>
      <c r="F66" s="2250" t="s">
        <v>301</v>
      </c>
      <c r="G66" s="2250"/>
      <c r="H66" s="2250"/>
      <c r="I66" s="2315"/>
      <c r="J66" s="430"/>
      <c r="K66" s="376">
        <f>SUM(K40:K65)</f>
        <v>3527.139999999999</v>
      </c>
      <c r="L66" s="376">
        <f>SUM(L38:L65)</f>
        <v>0</v>
      </c>
      <c r="M66" s="376">
        <f>SUM(M38:M65)</f>
        <v>0</v>
      </c>
      <c r="N66" s="431">
        <f>SUM(N38:N65)</f>
        <v>0</v>
      </c>
    </row>
    <row r="67" spans="2:14">
      <c r="B67" s="495"/>
      <c r="C67" s="496"/>
      <c r="D67" s="496"/>
      <c r="E67" s="496"/>
      <c r="F67" s="155" t="s">
        <v>302</v>
      </c>
      <c r="G67" s="155"/>
      <c r="H67" s="155"/>
      <c r="I67" s="424"/>
      <c r="J67" s="361"/>
      <c r="K67" s="425" t="s">
        <v>303</v>
      </c>
      <c r="L67" s="426" t="s">
        <v>304</v>
      </c>
      <c r="M67" s="425" t="s">
        <v>305</v>
      </c>
      <c r="N67" s="427" t="s">
        <v>306</v>
      </c>
    </row>
    <row r="68" spans="2:14" ht="16.5" thickBot="1">
      <c r="B68" s="497"/>
      <c r="C68" s="498"/>
      <c r="D68" s="498"/>
      <c r="E68" s="498"/>
      <c r="F68" s="156" t="s">
        <v>307</v>
      </c>
      <c r="G68" s="156"/>
      <c r="H68" s="156"/>
      <c r="I68" s="429"/>
      <c r="J68" s="363"/>
      <c r="K68" s="120">
        <f>K66*K67</f>
        <v>1393.2202999999997</v>
      </c>
      <c r="L68" s="120">
        <f>L66*L67</f>
        <v>0</v>
      </c>
      <c r="M68" s="120">
        <f>M66*M67</f>
        <v>0</v>
      </c>
      <c r="N68" s="364">
        <f>N66*N67</f>
        <v>0</v>
      </c>
    </row>
    <row r="69" spans="2:14" ht="16.5" thickTop="1">
      <c r="B69" s="2247" t="s">
        <v>4</v>
      </c>
      <c r="C69" s="2245" t="s">
        <v>293</v>
      </c>
      <c r="D69" s="2245" t="s">
        <v>309</v>
      </c>
      <c r="E69" s="2245" t="s">
        <v>310</v>
      </c>
      <c r="F69" s="394" t="s">
        <v>295</v>
      </c>
      <c r="G69" s="2249" t="s">
        <v>311</v>
      </c>
      <c r="H69" s="2250"/>
      <c r="I69" s="2251"/>
      <c r="J69" s="389"/>
      <c r="K69" s="389" t="s">
        <v>312</v>
      </c>
      <c r="L69" s="389"/>
      <c r="M69" s="389"/>
      <c r="N69" s="393"/>
    </row>
    <row r="70" spans="2:14" ht="16.5" thickBot="1">
      <c r="B70" s="2248"/>
      <c r="C70" s="2246"/>
      <c r="D70" s="2246"/>
      <c r="E70" s="2246"/>
      <c r="F70" s="124" t="s">
        <v>313</v>
      </c>
      <c r="G70" s="124" t="s">
        <v>314</v>
      </c>
      <c r="H70" s="124" t="s">
        <v>315</v>
      </c>
      <c r="I70" s="145" t="s">
        <v>316</v>
      </c>
      <c r="J70" s="347" t="s">
        <v>317</v>
      </c>
      <c r="K70" s="392" t="s">
        <v>318</v>
      </c>
      <c r="L70" s="145" t="s">
        <v>319</v>
      </c>
      <c r="M70" s="145" t="s">
        <v>320</v>
      </c>
      <c r="N70" s="348" t="s">
        <v>321</v>
      </c>
    </row>
    <row r="71" spans="2:14" ht="16.5" thickTop="1">
      <c r="B71" s="390"/>
      <c r="C71" s="375" t="s">
        <v>337</v>
      </c>
      <c r="D71" s="131"/>
      <c r="E71" s="131">
        <v>12</v>
      </c>
      <c r="F71" s="350">
        <v>3.68</v>
      </c>
      <c r="G71" s="131">
        <v>4</v>
      </c>
      <c r="H71" s="131">
        <v>22</v>
      </c>
      <c r="I71" s="131">
        <f>G71*H71</f>
        <v>88</v>
      </c>
      <c r="J71" s="131"/>
      <c r="K71" s="131"/>
      <c r="L71" s="131"/>
      <c r="M71" s="500">
        <f>F71*I71</f>
        <v>323.84000000000003</v>
      </c>
      <c r="N71" s="465"/>
    </row>
    <row r="72" spans="2:14">
      <c r="B72" s="140"/>
      <c r="C72" s="142"/>
      <c r="D72" s="134"/>
      <c r="E72" s="134">
        <v>8</v>
      </c>
      <c r="F72" s="119">
        <v>0.9</v>
      </c>
      <c r="G72" s="134">
        <v>15</v>
      </c>
      <c r="H72" s="134">
        <v>22</v>
      </c>
      <c r="I72" s="134">
        <f>G72*H72</f>
        <v>330</v>
      </c>
      <c r="J72" s="134"/>
      <c r="K72" s="371">
        <f>F72*I72</f>
        <v>297</v>
      </c>
      <c r="L72" s="134"/>
      <c r="M72" s="371"/>
      <c r="N72" s="372"/>
    </row>
    <row r="73" spans="2:14">
      <c r="B73" s="140"/>
      <c r="C73" s="142"/>
      <c r="D73" s="134"/>
      <c r="E73" s="134">
        <v>14</v>
      </c>
      <c r="F73" s="119">
        <v>3.68</v>
      </c>
      <c r="G73" s="134">
        <v>4</v>
      </c>
      <c r="H73" s="134">
        <v>2</v>
      </c>
      <c r="I73" s="134">
        <f>G73*H73</f>
        <v>8</v>
      </c>
      <c r="J73" s="134"/>
      <c r="K73" s="134"/>
      <c r="L73" s="134"/>
      <c r="M73" s="371"/>
      <c r="N73" s="466">
        <f>F73*I73</f>
        <v>29.44</v>
      </c>
    </row>
    <row r="74" spans="2:14">
      <c r="B74" s="140"/>
      <c r="C74" s="142"/>
      <c r="D74" s="134"/>
      <c r="E74" s="134">
        <v>8</v>
      </c>
      <c r="F74" s="119">
        <v>0.7</v>
      </c>
      <c r="G74" s="134">
        <v>15</v>
      </c>
      <c r="H74" s="134">
        <v>2</v>
      </c>
      <c r="I74" s="134">
        <f>G74*H74</f>
        <v>30</v>
      </c>
      <c r="J74" s="134"/>
      <c r="K74" s="371">
        <f>F74*I74</f>
        <v>21</v>
      </c>
      <c r="L74" s="134"/>
      <c r="M74" s="371"/>
      <c r="N74" s="372"/>
    </row>
    <row r="75" spans="2:14">
      <c r="B75" s="140"/>
      <c r="C75" s="142" t="s">
        <v>339</v>
      </c>
      <c r="D75" s="134"/>
      <c r="E75" s="134">
        <v>12</v>
      </c>
      <c r="F75" s="119">
        <v>9.7799999999999994</v>
      </c>
      <c r="G75" s="134">
        <v>2</v>
      </c>
      <c r="H75" s="134">
        <v>4</v>
      </c>
      <c r="I75" s="134">
        <f t="shared" ref="I75:I108" si="4">G75*H75</f>
        <v>8</v>
      </c>
      <c r="J75" s="134"/>
      <c r="K75" s="371"/>
      <c r="L75" s="119"/>
      <c r="M75" s="371">
        <f t="shared" ref="M75:M80" si="5">F75*I75</f>
        <v>78.239999999999995</v>
      </c>
      <c r="N75" s="354"/>
    </row>
    <row r="76" spans="2:14">
      <c r="B76" s="140"/>
      <c r="C76" s="134"/>
      <c r="D76" s="134"/>
      <c r="E76" s="134">
        <v>12</v>
      </c>
      <c r="F76" s="119">
        <v>11.48</v>
      </c>
      <c r="G76" s="134">
        <v>2</v>
      </c>
      <c r="H76" s="134">
        <v>4</v>
      </c>
      <c r="I76" s="134">
        <f t="shared" si="4"/>
        <v>8</v>
      </c>
      <c r="J76" s="134"/>
      <c r="K76" s="371"/>
      <c r="L76" s="119"/>
      <c r="M76" s="371">
        <f t="shared" si="5"/>
        <v>91.84</v>
      </c>
      <c r="N76" s="354"/>
    </row>
    <row r="77" spans="2:14">
      <c r="B77" s="140"/>
      <c r="C77" s="143"/>
      <c r="D77" s="134"/>
      <c r="E77" s="134">
        <v>12</v>
      </c>
      <c r="F77" s="119">
        <v>9.15</v>
      </c>
      <c r="G77" s="134">
        <v>2</v>
      </c>
      <c r="H77" s="134">
        <v>4</v>
      </c>
      <c r="I77" s="134">
        <f t="shared" si="4"/>
        <v>8</v>
      </c>
      <c r="J77" s="134"/>
      <c r="K77" s="371"/>
      <c r="L77" s="119"/>
      <c r="M77" s="371">
        <f t="shared" si="5"/>
        <v>73.2</v>
      </c>
      <c r="N77" s="354"/>
    </row>
    <row r="78" spans="2:14">
      <c r="B78" s="140"/>
      <c r="C78" s="134"/>
      <c r="D78" s="134"/>
      <c r="E78" s="134">
        <v>12</v>
      </c>
      <c r="F78" s="119">
        <v>10.1</v>
      </c>
      <c r="G78" s="134">
        <v>2</v>
      </c>
      <c r="H78" s="134">
        <v>3</v>
      </c>
      <c r="I78" s="134">
        <f t="shared" si="4"/>
        <v>6</v>
      </c>
      <c r="J78" s="134"/>
      <c r="K78" s="371"/>
      <c r="L78" s="134"/>
      <c r="M78" s="371">
        <f t="shared" si="5"/>
        <v>60.599999999999994</v>
      </c>
      <c r="N78" s="354"/>
    </row>
    <row r="79" spans="2:14">
      <c r="B79" s="140"/>
      <c r="C79" s="134"/>
      <c r="D79" s="134"/>
      <c r="E79" s="134">
        <v>12</v>
      </c>
      <c r="F79" s="119">
        <v>9.4499999999999993</v>
      </c>
      <c r="G79" s="134">
        <v>2</v>
      </c>
      <c r="H79" s="134">
        <v>3</v>
      </c>
      <c r="I79" s="134">
        <f t="shared" si="4"/>
        <v>6</v>
      </c>
      <c r="J79" s="134"/>
      <c r="K79" s="371"/>
      <c r="L79" s="134"/>
      <c r="M79" s="371">
        <f t="shared" si="5"/>
        <v>56.699999999999996</v>
      </c>
      <c r="N79" s="354"/>
    </row>
    <row r="80" spans="2:14">
      <c r="B80" s="140"/>
      <c r="C80" s="142"/>
      <c r="D80" s="134"/>
      <c r="E80" s="134">
        <v>12</v>
      </c>
      <c r="F80" s="119">
        <v>11.35</v>
      </c>
      <c r="G80" s="134">
        <v>2</v>
      </c>
      <c r="H80" s="134">
        <v>3</v>
      </c>
      <c r="I80" s="134">
        <f t="shared" si="4"/>
        <v>6</v>
      </c>
      <c r="J80" s="134"/>
      <c r="K80" s="371"/>
      <c r="L80" s="119"/>
      <c r="M80" s="371">
        <f t="shared" si="5"/>
        <v>68.099999999999994</v>
      </c>
      <c r="N80" s="354"/>
    </row>
    <row r="81" spans="2:14">
      <c r="B81" s="140"/>
      <c r="C81" s="142"/>
      <c r="D81" s="134"/>
      <c r="E81" s="134">
        <v>8</v>
      </c>
      <c r="F81" s="119">
        <v>0.9</v>
      </c>
      <c r="G81" s="134">
        <v>2</v>
      </c>
      <c r="H81" s="134">
        <v>143</v>
      </c>
      <c r="I81" s="134">
        <f t="shared" si="4"/>
        <v>286</v>
      </c>
      <c r="J81" s="134"/>
      <c r="K81" s="371">
        <f>F81*I81</f>
        <v>257.40000000000003</v>
      </c>
      <c r="L81" s="134"/>
      <c r="M81" s="119"/>
      <c r="N81" s="466"/>
    </row>
    <row r="82" spans="2:14">
      <c r="B82" s="140"/>
      <c r="C82" s="142" t="s">
        <v>340</v>
      </c>
      <c r="D82" s="134"/>
      <c r="E82" s="134">
        <v>12</v>
      </c>
      <c r="F82" s="119">
        <v>9.7799999999999994</v>
      </c>
      <c r="G82" s="134">
        <v>2</v>
      </c>
      <c r="H82" s="134">
        <v>3</v>
      </c>
      <c r="I82" s="134">
        <f t="shared" si="4"/>
        <v>6</v>
      </c>
      <c r="J82" s="134"/>
      <c r="K82" s="371"/>
      <c r="L82" s="119"/>
      <c r="M82" s="371">
        <f t="shared" ref="M82:M101" si="6">F82*I82</f>
        <v>58.679999999999993</v>
      </c>
      <c r="N82" s="372"/>
    </row>
    <row r="83" spans="2:14">
      <c r="B83" s="140"/>
      <c r="C83" s="134"/>
      <c r="D83" s="134"/>
      <c r="E83" s="134">
        <v>12</v>
      </c>
      <c r="F83" s="119">
        <v>11.48</v>
      </c>
      <c r="G83" s="134">
        <v>2</v>
      </c>
      <c r="H83" s="134">
        <v>3</v>
      </c>
      <c r="I83" s="134">
        <f t="shared" si="4"/>
        <v>6</v>
      </c>
      <c r="J83" s="134"/>
      <c r="K83" s="371"/>
      <c r="L83" s="119"/>
      <c r="M83" s="371">
        <f t="shared" si="6"/>
        <v>68.88</v>
      </c>
      <c r="N83" s="354"/>
    </row>
    <row r="84" spans="2:14">
      <c r="B84" s="140"/>
      <c r="C84" s="134"/>
      <c r="D84" s="134"/>
      <c r="E84" s="134">
        <v>12</v>
      </c>
      <c r="F84" s="119">
        <v>9.15</v>
      </c>
      <c r="G84" s="134">
        <v>2</v>
      </c>
      <c r="H84" s="134">
        <v>3</v>
      </c>
      <c r="I84" s="134">
        <f t="shared" si="4"/>
        <v>6</v>
      </c>
      <c r="J84" s="134"/>
      <c r="K84" s="371"/>
      <c r="L84" s="119"/>
      <c r="M84" s="371">
        <f t="shared" si="6"/>
        <v>54.900000000000006</v>
      </c>
      <c r="N84" s="354"/>
    </row>
    <row r="85" spans="2:14">
      <c r="B85" s="140"/>
      <c r="C85" s="142"/>
      <c r="D85" s="134"/>
      <c r="E85" s="134">
        <v>12</v>
      </c>
      <c r="F85" s="119">
        <v>10.1</v>
      </c>
      <c r="G85" s="134">
        <v>2</v>
      </c>
      <c r="H85" s="134">
        <v>3</v>
      </c>
      <c r="I85" s="134">
        <f t="shared" si="4"/>
        <v>6</v>
      </c>
      <c r="J85" s="134"/>
      <c r="K85" s="371"/>
      <c r="L85" s="134"/>
      <c r="M85" s="371">
        <f t="shared" si="6"/>
        <v>60.599999999999994</v>
      </c>
      <c r="N85" s="354"/>
    </row>
    <row r="86" spans="2:14">
      <c r="B86" s="140"/>
      <c r="C86" s="134"/>
      <c r="D86" s="134"/>
      <c r="E86" s="134">
        <v>12</v>
      </c>
      <c r="F86" s="119">
        <v>9.4499999999999993</v>
      </c>
      <c r="G86" s="134">
        <v>2</v>
      </c>
      <c r="H86" s="134">
        <v>3</v>
      </c>
      <c r="I86" s="134">
        <f t="shared" si="4"/>
        <v>6</v>
      </c>
      <c r="J86" s="134"/>
      <c r="K86" s="371"/>
      <c r="L86" s="134"/>
      <c r="M86" s="371">
        <f t="shared" si="6"/>
        <v>56.699999999999996</v>
      </c>
      <c r="N86" s="354"/>
    </row>
    <row r="87" spans="2:14">
      <c r="B87" s="140"/>
      <c r="C87" s="134"/>
      <c r="D87" s="134"/>
      <c r="E87" s="134">
        <v>12</v>
      </c>
      <c r="F87" s="119">
        <v>11.35</v>
      </c>
      <c r="G87" s="134">
        <v>2</v>
      </c>
      <c r="H87" s="134">
        <v>3</v>
      </c>
      <c r="I87" s="134">
        <f t="shared" si="4"/>
        <v>6</v>
      </c>
      <c r="J87" s="134"/>
      <c r="K87" s="371"/>
      <c r="L87" s="119"/>
      <c r="M87" s="371">
        <f t="shared" si="6"/>
        <v>68.099999999999994</v>
      </c>
      <c r="N87" s="354"/>
    </row>
    <row r="88" spans="2:14">
      <c r="B88" s="140"/>
      <c r="C88" s="134"/>
      <c r="D88" s="134"/>
      <c r="E88" s="134">
        <v>8</v>
      </c>
      <c r="F88" s="119">
        <v>0.9</v>
      </c>
      <c r="G88" s="134">
        <v>2</v>
      </c>
      <c r="H88" s="134">
        <v>143</v>
      </c>
      <c r="I88" s="134">
        <f t="shared" si="4"/>
        <v>286</v>
      </c>
      <c r="J88" s="134"/>
      <c r="K88" s="371">
        <f>F88*I88</f>
        <v>257.40000000000003</v>
      </c>
      <c r="L88" s="134"/>
      <c r="M88" s="371"/>
      <c r="N88" s="354"/>
    </row>
    <row r="89" spans="2:14">
      <c r="B89" s="140"/>
      <c r="C89" s="142" t="s">
        <v>1173</v>
      </c>
      <c r="D89" s="134"/>
      <c r="E89" s="134">
        <v>12</v>
      </c>
      <c r="F89" s="119">
        <v>7.06</v>
      </c>
      <c r="G89" s="134">
        <v>6</v>
      </c>
      <c r="H89" s="134">
        <v>3</v>
      </c>
      <c r="I89" s="134">
        <f t="shared" si="4"/>
        <v>18</v>
      </c>
      <c r="J89" s="134"/>
      <c r="K89" s="371"/>
      <c r="L89" s="119"/>
      <c r="M89" s="371">
        <f t="shared" si="6"/>
        <v>127.08</v>
      </c>
      <c r="N89" s="354"/>
    </row>
    <row r="90" spans="2:14">
      <c r="B90" s="140"/>
      <c r="C90" s="134"/>
      <c r="D90" s="134"/>
      <c r="E90" s="134">
        <v>12</v>
      </c>
      <c r="F90" s="119">
        <v>7.1</v>
      </c>
      <c r="G90" s="134">
        <v>6</v>
      </c>
      <c r="H90" s="134">
        <v>3</v>
      </c>
      <c r="I90" s="134">
        <f t="shared" si="4"/>
        <v>18</v>
      </c>
      <c r="J90" s="134"/>
      <c r="K90" s="371"/>
      <c r="L90" s="119"/>
      <c r="M90" s="371">
        <f t="shared" si="6"/>
        <v>127.8</v>
      </c>
      <c r="N90" s="354"/>
    </row>
    <row r="91" spans="2:14">
      <c r="B91" s="140"/>
      <c r="C91" s="134"/>
      <c r="D91" s="134"/>
      <c r="E91" s="134">
        <v>12</v>
      </c>
      <c r="F91" s="119">
        <v>7.91</v>
      </c>
      <c r="G91" s="134">
        <v>6</v>
      </c>
      <c r="H91" s="134">
        <v>3</v>
      </c>
      <c r="I91" s="134">
        <f t="shared" si="4"/>
        <v>18</v>
      </c>
      <c r="J91" s="134"/>
      <c r="K91" s="371"/>
      <c r="L91" s="119"/>
      <c r="M91" s="371">
        <f t="shared" si="6"/>
        <v>142.38</v>
      </c>
      <c r="N91" s="354"/>
    </row>
    <row r="92" spans="2:14">
      <c r="B92" s="140"/>
      <c r="C92" s="134"/>
      <c r="D92" s="134"/>
      <c r="E92" s="134">
        <v>12</v>
      </c>
      <c r="F92" s="119">
        <v>5.85</v>
      </c>
      <c r="G92" s="134">
        <v>6</v>
      </c>
      <c r="H92" s="134">
        <v>3</v>
      </c>
      <c r="I92" s="134">
        <f t="shared" si="4"/>
        <v>18</v>
      </c>
      <c r="J92" s="134"/>
      <c r="K92" s="371"/>
      <c r="L92" s="119"/>
      <c r="M92" s="371">
        <f t="shared" si="6"/>
        <v>105.3</v>
      </c>
      <c r="N92" s="354"/>
    </row>
    <row r="93" spans="2:14">
      <c r="B93" s="140"/>
      <c r="C93" s="142"/>
      <c r="D93" s="134"/>
      <c r="E93" s="134">
        <v>8</v>
      </c>
      <c r="F93" s="119">
        <v>0.9</v>
      </c>
      <c r="G93" s="134">
        <v>6</v>
      </c>
      <c r="H93" s="134">
        <v>65</v>
      </c>
      <c r="I93" s="134">
        <f t="shared" si="4"/>
        <v>390</v>
      </c>
      <c r="J93" s="134"/>
      <c r="K93" s="371">
        <f>F93*I93</f>
        <v>351</v>
      </c>
      <c r="L93" s="119"/>
      <c r="M93" s="371"/>
      <c r="N93" s="354"/>
    </row>
    <row r="94" spans="2:14">
      <c r="B94" s="140"/>
      <c r="C94" s="142" t="s">
        <v>250</v>
      </c>
      <c r="D94" s="134"/>
      <c r="E94" s="134">
        <v>12</v>
      </c>
      <c r="F94" s="119">
        <v>1.45</v>
      </c>
      <c r="G94" s="134">
        <v>2</v>
      </c>
      <c r="H94" s="134">
        <v>2</v>
      </c>
      <c r="I94" s="134">
        <f t="shared" si="4"/>
        <v>4</v>
      </c>
      <c r="J94" s="134"/>
      <c r="K94" s="371"/>
      <c r="L94" s="119"/>
      <c r="M94" s="371">
        <f t="shared" si="6"/>
        <v>5.8</v>
      </c>
      <c r="N94" s="354"/>
    </row>
    <row r="95" spans="2:14">
      <c r="B95" s="140"/>
      <c r="C95" s="142"/>
      <c r="D95" s="134"/>
      <c r="E95" s="134">
        <v>12</v>
      </c>
      <c r="F95" s="119">
        <v>1.1499999999999999</v>
      </c>
      <c r="G95" s="134">
        <v>2</v>
      </c>
      <c r="H95" s="134">
        <v>2</v>
      </c>
      <c r="I95" s="134">
        <f t="shared" si="4"/>
        <v>4</v>
      </c>
      <c r="J95" s="134"/>
      <c r="K95" s="371"/>
      <c r="L95" s="119"/>
      <c r="M95" s="371">
        <f t="shared" si="6"/>
        <v>4.5999999999999996</v>
      </c>
      <c r="N95" s="354"/>
    </row>
    <row r="96" spans="2:14">
      <c r="B96" s="140"/>
      <c r="C96" s="142"/>
      <c r="D96" s="134"/>
      <c r="E96" s="134">
        <v>8</v>
      </c>
      <c r="F96" s="119">
        <v>0.6</v>
      </c>
      <c r="G96" s="134">
        <v>2</v>
      </c>
      <c r="H96" s="134">
        <v>7</v>
      </c>
      <c r="I96" s="134">
        <f t="shared" si="4"/>
        <v>14</v>
      </c>
      <c r="J96" s="134"/>
      <c r="K96" s="371">
        <f>F96*I96</f>
        <v>8.4</v>
      </c>
      <c r="L96" s="119"/>
      <c r="M96" s="371"/>
      <c r="N96" s="354"/>
    </row>
    <row r="97" spans="2:14">
      <c r="B97" s="140"/>
      <c r="C97" s="142" t="s">
        <v>190</v>
      </c>
      <c r="D97" s="134"/>
      <c r="E97" s="134">
        <v>12</v>
      </c>
      <c r="F97" s="119">
        <v>1.35</v>
      </c>
      <c r="G97" s="134">
        <v>2</v>
      </c>
      <c r="H97" s="134">
        <v>2</v>
      </c>
      <c r="I97" s="134">
        <f t="shared" si="4"/>
        <v>4</v>
      </c>
      <c r="J97" s="134"/>
      <c r="K97" s="371"/>
      <c r="L97" s="119"/>
      <c r="M97" s="371">
        <f t="shared" si="6"/>
        <v>5.4</v>
      </c>
      <c r="N97" s="354"/>
    </row>
    <row r="98" spans="2:14">
      <c r="B98" s="140"/>
      <c r="C98" s="134"/>
      <c r="D98" s="134"/>
      <c r="E98" s="134">
        <v>12</v>
      </c>
      <c r="F98" s="119">
        <v>1.05</v>
      </c>
      <c r="G98" s="134">
        <v>2</v>
      </c>
      <c r="H98" s="134">
        <v>2</v>
      </c>
      <c r="I98" s="134">
        <f t="shared" si="4"/>
        <v>4</v>
      </c>
      <c r="J98" s="134"/>
      <c r="K98" s="371"/>
      <c r="L98" s="119"/>
      <c r="M98" s="371">
        <f t="shared" si="6"/>
        <v>4.2</v>
      </c>
      <c r="N98" s="354"/>
    </row>
    <row r="99" spans="2:14">
      <c r="B99" s="140"/>
      <c r="C99" s="134"/>
      <c r="D99" s="134"/>
      <c r="E99" s="134">
        <v>8</v>
      </c>
      <c r="F99" s="119">
        <v>0.5</v>
      </c>
      <c r="G99" s="134">
        <v>2</v>
      </c>
      <c r="H99" s="134">
        <v>6</v>
      </c>
      <c r="I99" s="134">
        <f t="shared" si="4"/>
        <v>12</v>
      </c>
      <c r="J99" s="134"/>
      <c r="K99" s="371">
        <f>F99*I99</f>
        <v>6</v>
      </c>
      <c r="L99" s="119"/>
      <c r="M99" s="371"/>
      <c r="N99" s="354"/>
    </row>
    <row r="100" spans="2:14">
      <c r="B100" s="140"/>
      <c r="C100" s="142" t="s">
        <v>191</v>
      </c>
      <c r="D100" s="134"/>
      <c r="E100" s="134">
        <v>12</v>
      </c>
      <c r="F100" s="119">
        <v>1.55</v>
      </c>
      <c r="G100" s="134">
        <v>4</v>
      </c>
      <c r="H100" s="134">
        <v>2</v>
      </c>
      <c r="I100" s="134">
        <f t="shared" si="4"/>
        <v>8</v>
      </c>
      <c r="J100" s="134"/>
      <c r="K100" s="371"/>
      <c r="L100" s="119"/>
      <c r="M100" s="371">
        <f t="shared" si="6"/>
        <v>12.4</v>
      </c>
      <c r="N100" s="354"/>
    </row>
    <row r="101" spans="2:14">
      <c r="B101" s="140"/>
      <c r="C101" s="134"/>
      <c r="D101" s="134"/>
      <c r="E101" s="134">
        <v>12</v>
      </c>
      <c r="F101" s="119">
        <v>1.25</v>
      </c>
      <c r="G101" s="134">
        <v>4</v>
      </c>
      <c r="H101" s="134">
        <v>2</v>
      </c>
      <c r="I101" s="134">
        <f t="shared" si="4"/>
        <v>8</v>
      </c>
      <c r="J101" s="134"/>
      <c r="K101" s="371"/>
      <c r="L101" s="119"/>
      <c r="M101" s="371">
        <f t="shared" si="6"/>
        <v>10</v>
      </c>
      <c r="N101" s="354"/>
    </row>
    <row r="102" spans="2:14">
      <c r="B102" s="140"/>
      <c r="C102" s="134"/>
      <c r="D102" s="134"/>
      <c r="E102" s="134">
        <v>8</v>
      </c>
      <c r="F102" s="119">
        <v>0.7</v>
      </c>
      <c r="G102" s="134">
        <v>4</v>
      </c>
      <c r="H102" s="134">
        <v>7</v>
      </c>
      <c r="I102" s="134">
        <f t="shared" si="4"/>
        <v>28</v>
      </c>
      <c r="J102" s="134"/>
      <c r="K102" s="371">
        <f>F102*I102</f>
        <v>19.599999999999998</v>
      </c>
      <c r="L102" s="119"/>
      <c r="M102" s="371"/>
      <c r="N102" s="354"/>
    </row>
    <row r="103" spans="2:14">
      <c r="B103" s="140"/>
      <c r="C103" s="142" t="s">
        <v>250</v>
      </c>
      <c r="D103" s="134"/>
      <c r="E103" s="134">
        <v>12</v>
      </c>
      <c r="F103" s="119">
        <v>2.4500000000000002</v>
      </c>
      <c r="G103" s="134">
        <v>1</v>
      </c>
      <c r="H103" s="134">
        <v>2</v>
      </c>
      <c r="I103" s="134">
        <f t="shared" si="4"/>
        <v>2</v>
      </c>
      <c r="J103" s="134"/>
      <c r="K103" s="371"/>
      <c r="L103" s="119"/>
      <c r="M103" s="371">
        <f>F103*I103</f>
        <v>4.9000000000000004</v>
      </c>
      <c r="N103" s="354"/>
    </row>
    <row r="104" spans="2:14">
      <c r="B104" s="140"/>
      <c r="C104" s="142"/>
      <c r="D104" s="134"/>
      <c r="E104" s="134">
        <v>12</v>
      </c>
      <c r="F104" s="119">
        <v>2.15</v>
      </c>
      <c r="G104" s="134">
        <v>1</v>
      </c>
      <c r="H104" s="134">
        <v>2</v>
      </c>
      <c r="I104" s="134">
        <f t="shared" si="4"/>
        <v>2</v>
      </c>
      <c r="J104" s="134"/>
      <c r="K104" s="371"/>
      <c r="L104" s="119"/>
      <c r="M104" s="371">
        <f>F104*I104</f>
        <v>4.3</v>
      </c>
      <c r="N104" s="354"/>
    </row>
    <row r="105" spans="2:14">
      <c r="B105" s="140"/>
      <c r="C105" s="142"/>
      <c r="D105" s="134"/>
      <c r="E105" s="134">
        <v>8</v>
      </c>
      <c r="F105" s="119">
        <v>0.6</v>
      </c>
      <c r="G105" s="134">
        <v>1</v>
      </c>
      <c r="H105" s="134">
        <v>12</v>
      </c>
      <c r="I105" s="134">
        <f t="shared" si="4"/>
        <v>12</v>
      </c>
      <c r="J105" s="134"/>
      <c r="K105" s="371">
        <f>F105*I105</f>
        <v>7.1999999999999993</v>
      </c>
      <c r="L105" s="119"/>
      <c r="M105" s="371"/>
      <c r="N105" s="354"/>
    </row>
    <row r="106" spans="2:14">
      <c r="B106" s="140"/>
      <c r="C106" s="142" t="s">
        <v>190</v>
      </c>
      <c r="D106" s="134"/>
      <c r="E106" s="134">
        <v>12</v>
      </c>
      <c r="F106" s="119">
        <v>2.2000000000000002</v>
      </c>
      <c r="G106" s="134">
        <v>1</v>
      </c>
      <c r="H106" s="134">
        <v>2</v>
      </c>
      <c r="I106" s="134">
        <f t="shared" si="4"/>
        <v>2</v>
      </c>
      <c r="J106" s="134"/>
      <c r="K106" s="371"/>
      <c r="L106" s="119"/>
      <c r="M106" s="371">
        <f>F106*I106</f>
        <v>4.4000000000000004</v>
      </c>
      <c r="N106" s="354"/>
    </row>
    <row r="107" spans="2:14">
      <c r="B107" s="140"/>
      <c r="C107" s="134"/>
      <c r="D107" s="134"/>
      <c r="E107" s="134">
        <v>12</v>
      </c>
      <c r="F107" s="119">
        <v>1.9</v>
      </c>
      <c r="G107" s="134">
        <v>1</v>
      </c>
      <c r="H107" s="134">
        <v>2</v>
      </c>
      <c r="I107" s="134">
        <f t="shared" si="4"/>
        <v>2</v>
      </c>
      <c r="J107" s="134"/>
      <c r="K107" s="371"/>
      <c r="L107" s="119"/>
      <c r="M107" s="371">
        <f>F107*I107</f>
        <v>3.8</v>
      </c>
      <c r="N107" s="354"/>
    </row>
    <row r="108" spans="2:14" ht="16.5" thickBot="1">
      <c r="B108" s="391"/>
      <c r="C108" s="145"/>
      <c r="D108" s="145"/>
      <c r="E108" s="145">
        <v>8</v>
      </c>
      <c r="F108" s="356">
        <v>0.5</v>
      </c>
      <c r="G108" s="145">
        <v>1</v>
      </c>
      <c r="H108" s="145">
        <v>11</v>
      </c>
      <c r="I108" s="145">
        <f t="shared" si="4"/>
        <v>11</v>
      </c>
      <c r="J108" s="145"/>
      <c r="K108" s="374">
        <f>F108*I108</f>
        <v>5.5</v>
      </c>
      <c r="L108" s="356"/>
      <c r="M108" s="374"/>
      <c r="N108" s="357"/>
    </row>
    <row r="109" spans="2:14" ht="16.5" thickTop="1">
      <c r="B109" s="422"/>
      <c r="C109" s="389"/>
      <c r="D109" s="389"/>
      <c r="E109" s="389"/>
      <c r="F109" s="2250" t="s">
        <v>301</v>
      </c>
      <c r="G109" s="2250"/>
      <c r="H109" s="2250"/>
      <c r="I109" s="2315"/>
      <c r="J109" s="430"/>
      <c r="K109" s="376">
        <f>SUM(K71:K108)</f>
        <v>1230.5000000000002</v>
      </c>
      <c r="L109" s="376"/>
      <c r="M109" s="376">
        <f>SUM(M71:M108)</f>
        <v>1682.74</v>
      </c>
      <c r="N109" s="431">
        <f>SUM(N71:N108)</f>
        <v>29.44</v>
      </c>
    </row>
    <row r="110" spans="2:14">
      <c r="B110" s="423"/>
      <c r="C110" s="155"/>
      <c r="D110" s="155"/>
      <c r="E110" s="155"/>
      <c r="F110" s="155" t="s">
        <v>302</v>
      </c>
      <c r="G110" s="155"/>
      <c r="H110" s="155"/>
      <c r="I110" s="424"/>
      <c r="J110" s="361"/>
      <c r="K110" s="425" t="s">
        <v>303</v>
      </c>
      <c r="L110" s="426"/>
      <c r="M110" s="425" t="s">
        <v>305</v>
      </c>
      <c r="N110" s="427" t="s">
        <v>306</v>
      </c>
    </row>
    <row r="111" spans="2:14" ht="16.5" thickBot="1">
      <c r="B111" s="428"/>
      <c r="C111" s="156"/>
      <c r="D111" s="156"/>
      <c r="E111" s="156"/>
      <c r="F111" s="156" t="s">
        <v>307</v>
      </c>
      <c r="G111" s="156"/>
      <c r="H111" s="156"/>
      <c r="I111" s="429"/>
      <c r="J111" s="363"/>
      <c r="K111" s="120">
        <f>K109*K110</f>
        <v>486.04750000000013</v>
      </c>
      <c r="L111" s="120">
        <f>L109*L110</f>
        <v>0</v>
      </c>
      <c r="M111" s="120">
        <f>M109*M110</f>
        <v>1494.2731200000001</v>
      </c>
      <c r="N111" s="364">
        <f>N109*N110</f>
        <v>35.622399999999999</v>
      </c>
    </row>
    <row r="112" spans="2:14" ht="16.5" thickTop="1">
      <c r="B112" s="346"/>
      <c r="C112" s="346"/>
      <c r="D112" s="346"/>
      <c r="E112" s="346"/>
      <c r="F112" s="346"/>
      <c r="G112" s="346"/>
      <c r="H112" s="346"/>
      <c r="I112" s="346"/>
      <c r="J112" s="365"/>
      <c r="K112" s="122"/>
      <c r="L112" s="122"/>
      <c r="M112" s="122"/>
      <c r="N112" s="122"/>
    </row>
    <row r="113" spans="2:14">
      <c r="B113" s="346"/>
      <c r="C113" s="463" t="s">
        <v>24</v>
      </c>
      <c r="D113" s="346"/>
      <c r="E113" s="346"/>
      <c r="F113" s="346"/>
      <c r="G113" s="346"/>
      <c r="H113" s="346"/>
      <c r="I113" s="346"/>
      <c r="J113" s="346"/>
      <c r="K113" s="346"/>
      <c r="L113" s="2314" t="s">
        <v>308</v>
      </c>
      <c r="M113" s="2314"/>
      <c r="N113" s="346"/>
    </row>
  </sheetData>
  <mergeCells count="28">
    <mergeCell ref="L113:M113"/>
    <mergeCell ref="B6:B7"/>
    <mergeCell ref="C6:C7"/>
    <mergeCell ref="D6:D7"/>
    <mergeCell ref="E6:E7"/>
    <mergeCell ref="G6:I6"/>
    <mergeCell ref="F66:I66"/>
    <mergeCell ref="F28:I28"/>
    <mergeCell ref="L37:M37"/>
    <mergeCell ref="B38:B39"/>
    <mergeCell ref="C38:C39"/>
    <mergeCell ref="D38:D39"/>
    <mergeCell ref="G38:I38"/>
    <mergeCell ref="F109:I109"/>
    <mergeCell ref="B69:B70"/>
    <mergeCell ref="C69:C70"/>
    <mergeCell ref="D69:D70"/>
    <mergeCell ref="E69:E70"/>
    <mergeCell ref="G69:I69"/>
    <mergeCell ref="B4:G4"/>
    <mergeCell ref="L4:N4"/>
    <mergeCell ref="E38:E39"/>
    <mergeCell ref="B1:G1"/>
    <mergeCell ref="L1:N1"/>
    <mergeCell ref="L2:N2"/>
    <mergeCell ref="L3:N3"/>
    <mergeCell ref="B2:G2"/>
    <mergeCell ref="B3:G3"/>
  </mergeCells>
  <pageMargins left="0.45" right="0.2" top="1" bottom="0.75" header="0.3" footer="0.3"/>
  <pageSetup scale="85" orientation="landscape" horizontalDpi="300" verticalDpi="300" r:id="rId1"/>
  <rowBreaks count="3" manualBreakCount="3">
    <brk id="37" max="14" man="1"/>
    <brk id="68" max="14" man="1"/>
    <brk id="93" max="14" man="1"/>
  </row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B1:J44"/>
  <sheetViews>
    <sheetView view="pageBreakPreview" zoomScale="98" zoomScaleSheetLayoutView="98" workbookViewId="0">
      <selection activeCell="N27" sqref="N27"/>
    </sheetView>
  </sheetViews>
  <sheetFormatPr defaultRowHeight="12.75"/>
  <cols>
    <col min="1" max="1" width="3.140625" style="242" customWidth="1"/>
    <col min="2" max="2" width="4.7109375" style="242" customWidth="1"/>
    <col min="3" max="4" width="9.140625" style="242"/>
    <col min="5" max="5" width="6.140625" style="242" customWidth="1"/>
    <col min="6" max="6" width="0.28515625" style="242" customWidth="1"/>
    <col min="7" max="7" width="14.42578125" style="242" customWidth="1"/>
    <col min="8" max="9" width="14.28515625" style="242" customWidth="1"/>
    <col min="10" max="10" width="11.85546875" style="242" customWidth="1"/>
    <col min="11" max="11" width="1.85546875" style="242" customWidth="1"/>
    <col min="12" max="257" width="9.140625" style="242"/>
    <col min="258" max="258" width="4.7109375" style="242" customWidth="1"/>
    <col min="259" max="260" width="9.140625" style="242"/>
    <col min="261" max="261" width="6.140625" style="242" customWidth="1"/>
    <col min="262" max="262" width="0.28515625" style="242" customWidth="1"/>
    <col min="263" max="263" width="14.42578125" style="242" customWidth="1"/>
    <col min="264" max="265" width="14.28515625" style="242" customWidth="1"/>
    <col min="266" max="266" width="19.5703125" style="242" customWidth="1"/>
    <col min="267" max="513" width="9.140625" style="242"/>
    <col min="514" max="514" width="4.7109375" style="242" customWidth="1"/>
    <col min="515" max="516" width="9.140625" style="242"/>
    <col min="517" max="517" width="6.140625" style="242" customWidth="1"/>
    <col min="518" max="518" width="0.28515625" style="242" customWidth="1"/>
    <col min="519" max="519" width="14.42578125" style="242" customWidth="1"/>
    <col min="520" max="521" width="14.28515625" style="242" customWidth="1"/>
    <col min="522" max="522" width="19.5703125" style="242" customWidth="1"/>
    <col min="523" max="769" width="9.140625" style="242"/>
    <col min="770" max="770" width="4.7109375" style="242" customWidth="1"/>
    <col min="771" max="772" width="9.140625" style="242"/>
    <col min="773" max="773" width="6.140625" style="242" customWidth="1"/>
    <col min="774" max="774" width="0.28515625" style="242" customWidth="1"/>
    <col min="775" max="775" width="14.42578125" style="242" customWidth="1"/>
    <col min="776" max="777" width="14.28515625" style="242" customWidth="1"/>
    <col min="778" max="778" width="19.5703125" style="242" customWidth="1"/>
    <col min="779" max="1025" width="9.140625" style="242"/>
    <col min="1026" max="1026" width="4.7109375" style="242" customWidth="1"/>
    <col min="1027" max="1028" width="9.140625" style="242"/>
    <col min="1029" max="1029" width="6.140625" style="242" customWidth="1"/>
    <col min="1030" max="1030" width="0.28515625" style="242" customWidth="1"/>
    <col min="1031" max="1031" width="14.42578125" style="242" customWidth="1"/>
    <col min="1032" max="1033" width="14.28515625" style="242" customWidth="1"/>
    <col min="1034" max="1034" width="19.5703125" style="242" customWidth="1"/>
    <col min="1035" max="1281" width="9.140625" style="242"/>
    <col min="1282" max="1282" width="4.7109375" style="242" customWidth="1"/>
    <col min="1283" max="1284" width="9.140625" style="242"/>
    <col min="1285" max="1285" width="6.140625" style="242" customWidth="1"/>
    <col min="1286" max="1286" width="0.28515625" style="242" customWidth="1"/>
    <col min="1287" max="1287" width="14.42578125" style="242" customWidth="1"/>
    <col min="1288" max="1289" width="14.28515625" style="242" customWidth="1"/>
    <col min="1290" max="1290" width="19.5703125" style="242" customWidth="1"/>
    <col min="1291" max="1537" width="9.140625" style="242"/>
    <col min="1538" max="1538" width="4.7109375" style="242" customWidth="1"/>
    <col min="1539" max="1540" width="9.140625" style="242"/>
    <col min="1541" max="1541" width="6.140625" style="242" customWidth="1"/>
    <col min="1542" max="1542" width="0.28515625" style="242" customWidth="1"/>
    <col min="1543" max="1543" width="14.42578125" style="242" customWidth="1"/>
    <col min="1544" max="1545" width="14.28515625" style="242" customWidth="1"/>
    <col min="1546" max="1546" width="19.5703125" style="242" customWidth="1"/>
    <col min="1547" max="1793" width="9.140625" style="242"/>
    <col min="1794" max="1794" width="4.7109375" style="242" customWidth="1"/>
    <col min="1795" max="1796" width="9.140625" style="242"/>
    <col min="1797" max="1797" width="6.140625" style="242" customWidth="1"/>
    <col min="1798" max="1798" width="0.28515625" style="242" customWidth="1"/>
    <col min="1799" max="1799" width="14.42578125" style="242" customWidth="1"/>
    <col min="1800" max="1801" width="14.28515625" style="242" customWidth="1"/>
    <col min="1802" max="1802" width="19.5703125" style="242" customWidth="1"/>
    <col min="1803" max="2049" width="9.140625" style="242"/>
    <col min="2050" max="2050" width="4.7109375" style="242" customWidth="1"/>
    <col min="2051" max="2052" width="9.140625" style="242"/>
    <col min="2053" max="2053" width="6.140625" style="242" customWidth="1"/>
    <col min="2054" max="2054" width="0.28515625" style="242" customWidth="1"/>
    <col min="2055" max="2055" width="14.42578125" style="242" customWidth="1"/>
    <col min="2056" max="2057" width="14.28515625" style="242" customWidth="1"/>
    <col min="2058" max="2058" width="19.5703125" style="242" customWidth="1"/>
    <col min="2059" max="2305" width="9.140625" style="242"/>
    <col min="2306" max="2306" width="4.7109375" style="242" customWidth="1"/>
    <col min="2307" max="2308" width="9.140625" style="242"/>
    <col min="2309" max="2309" width="6.140625" style="242" customWidth="1"/>
    <col min="2310" max="2310" width="0.28515625" style="242" customWidth="1"/>
    <col min="2311" max="2311" width="14.42578125" style="242" customWidth="1"/>
    <col min="2312" max="2313" width="14.28515625" style="242" customWidth="1"/>
    <col min="2314" max="2314" width="19.5703125" style="242" customWidth="1"/>
    <col min="2315" max="2561" width="9.140625" style="242"/>
    <col min="2562" max="2562" width="4.7109375" style="242" customWidth="1"/>
    <col min="2563" max="2564" width="9.140625" style="242"/>
    <col min="2565" max="2565" width="6.140625" style="242" customWidth="1"/>
    <col min="2566" max="2566" width="0.28515625" style="242" customWidth="1"/>
    <col min="2567" max="2567" width="14.42578125" style="242" customWidth="1"/>
    <col min="2568" max="2569" width="14.28515625" style="242" customWidth="1"/>
    <col min="2570" max="2570" width="19.5703125" style="242" customWidth="1"/>
    <col min="2571" max="2817" width="9.140625" style="242"/>
    <col min="2818" max="2818" width="4.7109375" style="242" customWidth="1"/>
    <col min="2819" max="2820" width="9.140625" style="242"/>
    <col min="2821" max="2821" width="6.140625" style="242" customWidth="1"/>
    <col min="2822" max="2822" width="0.28515625" style="242" customWidth="1"/>
    <col min="2823" max="2823" width="14.42578125" style="242" customWidth="1"/>
    <col min="2824" max="2825" width="14.28515625" style="242" customWidth="1"/>
    <col min="2826" max="2826" width="19.5703125" style="242" customWidth="1"/>
    <col min="2827" max="3073" width="9.140625" style="242"/>
    <col min="3074" max="3074" width="4.7109375" style="242" customWidth="1"/>
    <col min="3075" max="3076" width="9.140625" style="242"/>
    <col min="3077" max="3077" width="6.140625" style="242" customWidth="1"/>
    <col min="3078" max="3078" width="0.28515625" style="242" customWidth="1"/>
    <col min="3079" max="3079" width="14.42578125" style="242" customWidth="1"/>
    <col min="3080" max="3081" width="14.28515625" style="242" customWidth="1"/>
    <col min="3082" max="3082" width="19.5703125" style="242" customWidth="1"/>
    <col min="3083" max="3329" width="9.140625" style="242"/>
    <col min="3330" max="3330" width="4.7109375" style="242" customWidth="1"/>
    <col min="3331" max="3332" width="9.140625" style="242"/>
    <col min="3333" max="3333" width="6.140625" style="242" customWidth="1"/>
    <col min="3334" max="3334" width="0.28515625" style="242" customWidth="1"/>
    <col min="3335" max="3335" width="14.42578125" style="242" customWidth="1"/>
    <col min="3336" max="3337" width="14.28515625" style="242" customWidth="1"/>
    <col min="3338" max="3338" width="19.5703125" style="242" customWidth="1"/>
    <col min="3339" max="3585" width="9.140625" style="242"/>
    <col min="3586" max="3586" width="4.7109375" style="242" customWidth="1"/>
    <col min="3587" max="3588" width="9.140625" style="242"/>
    <col min="3589" max="3589" width="6.140625" style="242" customWidth="1"/>
    <col min="3590" max="3590" width="0.28515625" style="242" customWidth="1"/>
    <col min="3591" max="3591" width="14.42578125" style="242" customWidth="1"/>
    <col min="3592" max="3593" width="14.28515625" style="242" customWidth="1"/>
    <col min="3594" max="3594" width="19.5703125" style="242" customWidth="1"/>
    <col min="3595" max="3841" width="9.140625" style="242"/>
    <col min="3842" max="3842" width="4.7109375" style="242" customWidth="1"/>
    <col min="3843" max="3844" width="9.140625" style="242"/>
    <col min="3845" max="3845" width="6.140625" style="242" customWidth="1"/>
    <col min="3846" max="3846" width="0.28515625" style="242" customWidth="1"/>
    <col min="3847" max="3847" width="14.42578125" style="242" customWidth="1"/>
    <col min="3848" max="3849" width="14.28515625" style="242" customWidth="1"/>
    <col min="3850" max="3850" width="19.5703125" style="242" customWidth="1"/>
    <col min="3851" max="4097" width="9.140625" style="242"/>
    <col min="4098" max="4098" width="4.7109375" style="242" customWidth="1"/>
    <col min="4099" max="4100" width="9.140625" style="242"/>
    <col min="4101" max="4101" width="6.140625" style="242" customWidth="1"/>
    <col min="4102" max="4102" width="0.28515625" style="242" customWidth="1"/>
    <col min="4103" max="4103" width="14.42578125" style="242" customWidth="1"/>
    <col min="4104" max="4105" width="14.28515625" style="242" customWidth="1"/>
    <col min="4106" max="4106" width="19.5703125" style="242" customWidth="1"/>
    <col min="4107" max="4353" width="9.140625" style="242"/>
    <col min="4354" max="4354" width="4.7109375" style="242" customWidth="1"/>
    <col min="4355" max="4356" width="9.140625" style="242"/>
    <col min="4357" max="4357" width="6.140625" style="242" customWidth="1"/>
    <col min="4358" max="4358" width="0.28515625" style="242" customWidth="1"/>
    <col min="4359" max="4359" width="14.42578125" style="242" customWidth="1"/>
    <col min="4360" max="4361" width="14.28515625" style="242" customWidth="1"/>
    <col min="4362" max="4362" width="19.5703125" style="242" customWidth="1"/>
    <col min="4363" max="4609" width="9.140625" style="242"/>
    <col min="4610" max="4610" width="4.7109375" style="242" customWidth="1"/>
    <col min="4611" max="4612" width="9.140625" style="242"/>
    <col min="4613" max="4613" width="6.140625" style="242" customWidth="1"/>
    <col min="4614" max="4614" width="0.28515625" style="242" customWidth="1"/>
    <col min="4615" max="4615" width="14.42578125" style="242" customWidth="1"/>
    <col min="4616" max="4617" width="14.28515625" style="242" customWidth="1"/>
    <col min="4618" max="4618" width="19.5703125" style="242" customWidth="1"/>
    <col min="4619" max="4865" width="9.140625" style="242"/>
    <col min="4866" max="4866" width="4.7109375" style="242" customWidth="1"/>
    <col min="4867" max="4868" width="9.140625" style="242"/>
    <col min="4869" max="4869" width="6.140625" style="242" customWidth="1"/>
    <col min="4870" max="4870" width="0.28515625" style="242" customWidth="1"/>
    <col min="4871" max="4871" width="14.42578125" style="242" customWidth="1"/>
    <col min="4872" max="4873" width="14.28515625" style="242" customWidth="1"/>
    <col min="4874" max="4874" width="19.5703125" style="242" customWidth="1"/>
    <col min="4875" max="5121" width="9.140625" style="242"/>
    <col min="5122" max="5122" width="4.7109375" style="242" customWidth="1"/>
    <col min="5123" max="5124" width="9.140625" style="242"/>
    <col min="5125" max="5125" width="6.140625" style="242" customWidth="1"/>
    <col min="5126" max="5126" width="0.28515625" style="242" customWidth="1"/>
    <col min="5127" max="5127" width="14.42578125" style="242" customWidth="1"/>
    <col min="5128" max="5129" width="14.28515625" style="242" customWidth="1"/>
    <col min="5130" max="5130" width="19.5703125" style="242" customWidth="1"/>
    <col min="5131" max="5377" width="9.140625" style="242"/>
    <col min="5378" max="5378" width="4.7109375" style="242" customWidth="1"/>
    <col min="5379" max="5380" width="9.140625" style="242"/>
    <col min="5381" max="5381" width="6.140625" style="242" customWidth="1"/>
    <col min="5382" max="5382" width="0.28515625" style="242" customWidth="1"/>
    <col min="5383" max="5383" width="14.42578125" style="242" customWidth="1"/>
    <col min="5384" max="5385" width="14.28515625" style="242" customWidth="1"/>
    <col min="5386" max="5386" width="19.5703125" style="242" customWidth="1"/>
    <col min="5387" max="5633" width="9.140625" style="242"/>
    <col min="5634" max="5634" width="4.7109375" style="242" customWidth="1"/>
    <col min="5635" max="5636" width="9.140625" style="242"/>
    <col min="5637" max="5637" width="6.140625" style="242" customWidth="1"/>
    <col min="5638" max="5638" width="0.28515625" style="242" customWidth="1"/>
    <col min="5639" max="5639" width="14.42578125" style="242" customWidth="1"/>
    <col min="5640" max="5641" width="14.28515625" style="242" customWidth="1"/>
    <col min="5642" max="5642" width="19.5703125" style="242" customWidth="1"/>
    <col min="5643" max="5889" width="9.140625" style="242"/>
    <col min="5890" max="5890" width="4.7109375" style="242" customWidth="1"/>
    <col min="5891" max="5892" width="9.140625" style="242"/>
    <col min="5893" max="5893" width="6.140625" style="242" customWidth="1"/>
    <col min="5894" max="5894" width="0.28515625" style="242" customWidth="1"/>
    <col min="5895" max="5895" width="14.42578125" style="242" customWidth="1"/>
    <col min="5896" max="5897" width="14.28515625" style="242" customWidth="1"/>
    <col min="5898" max="5898" width="19.5703125" style="242" customWidth="1"/>
    <col min="5899" max="6145" width="9.140625" style="242"/>
    <col min="6146" max="6146" width="4.7109375" style="242" customWidth="1"/>
    <col min="6147" max="6148" width="9.140625" style="242"/>
    <col min="6149" max="6149" width="6.140625" style="242" customWidth="1"/>
    <col min="6150" max="6150" width="0.28515625" style="242" customWidth="1"/>
    <col min="6151" max="6151" width="14.42578125" style="242" customWidth="1"/>
    <col min="6152" max="6153" width="14.28515625" style="242" customWidth="1"/>
    <col min="6154" max="6154" width="19.5703125" style="242" customWidth="1"/>
    <col min="6155" max="6401" width="9.140625" style="242"/>
    <col min="6402" max="6402" width="4.7109375" style="242" customWidth="1"/>
    <col min="6403" max="6404" width="9.140625" style="242"/>
    <col min="6405" max="6405" width="6.140625" style="242" customWidth="1"/>
    <col min="6406" max="6406" width="0.28515625" style="242" customWidth="1"/>
    <col min="6407" max="6407" width="14.42578125" style="242" customWidth="1"/>
    <col min="6408" max="6409" width="14.28515625" style="242" customWidth="1"/>
    <col min="6410" max="6410" width="19.5703125" style="242" customWidth="1"/>
    <col min="6411" max="6657" width="9.140625" style="242"/>
    <col min="6658" max="6658" width="4.7109375" style="242" customWidth="1"/>
    <col min="6659" max="6660" width="9.140625" style="242"/>
    <col min="6661" max="6661" width="6.140625" style="242" customWidth="1"/>
    <col min="6662" max="6662" width="0.28515625" style="242" customWidth="1"/>
    <col min="6663" max="6663" width="14.42578125" style="242" customWidth="1"/>
    <col min="6664" max="6665" width="14.28515625" style="242" customWidth="1"/>
    <col min="6666" max="6666" width="19.5703125" style="242" customWidth="1"/>
    <col min="6667" max="6913" width="9.140625" style="242"/>
    <col min="6914" max="6914" width="4.7109375" style="242" customWidth="1"/>
    <col min="6915" max="6916" width="9.140625" style="242"/>
    <col min="6917" max="6917" width="6.140625" style="242" customWidth="1"/>
    <col min="6918" max="6918" width="0.28515625" style="242" customWidth="1"/>
    <col min="6919" max="6919" width="14.42578125" style="242" customWidth="1"/>
    <col min="6920" max="6921" width="14.28515625" style="242" customWidth="1"/>
    <col min="6922" max="6922" width="19.5703125" style="242" customWidth="1"/>
    <col min="6923" max="7169" width="9.140625" style="242"/>
    <col min="7170" max="7170" width="4.7109375" style="242" customWidth="1"/>
    <col min="7171" max="7172" width="9.140625" style="242"/>
    <col min="7173" max="7173" width="6.140625" style="242" customWidth="1"/>
    <col min="7174" max="7174" width="0.28515625" style="242" customWidth="1"/>
    <col min="7175" max="7175" width="14.42578125" style="242" customWidth="1"/>
    <col min="7176" max="7177" width="14.28515625" style="242" customWidth="1"/>
    <col min="7178" max="7178" width="19.5703125" style="242" customWidth="1"/>
    <col min="7179" max="7425" width="9.140625" style="242"/>
    <col min="7426" max="7426" width="4.7109375" style="242" customWidth="1"/>
    <col min="7427" max="7428" width="9.140625" style="242"/>
    <col min="7429" max="7429" width="6.140625" style="242" customWidth="1"/>
    <col min="7430" max="7430" width="0.28515625" style="242" customWidth="1"/>
    <col min="7431" max="7431" width="14.42578125" style="242" customWidth="1"/>
    <col min="7432" max="7433" width="14.28515625" style="242" customWidth="1"/>
    <col min="7434" max="7434" width="19.5703125" style="242" customWidth="1"/>
    <col min="7435" max="7681" width="9.140625" style="242"/>
    <col min="7682" max="7682" width="4.7109375" style="242" customWidth="1"/>
    <col min="7683" max="7684" width="9.140625" style="242"/>
    <col min="7685" max="7685" width="6.140625" style="242" customWidth="1"/>
    <col min="7686" max="7686" width="0.28515625" style="242" customWidth="1"/>
    <col min="7687" max="7687" width="14.42578125" style="242" customWidth="1"/>
    <col min="7688" max="7689" width="14.28515625" style="242" customWidth="1"/>
    <col min="7690" max="7690" width="19.5703125" style="242" customWidth="1"/>
    <col min="7691" max="7937" width="9.140625" style="242"/>
    <col min="7938" max="7938" width="4.7109375" style="242" customWidth="1"/>
    <col min="7939" max="7940" width="9.140625" style="242"/>
    <col min="7941" max="7941" width="6.140625" style="242" customWidth="1"/>
    <col min="7942" max="7942" width="0.28515625" style="242" customWidth="1"/>
    <col min="7943" max="7943" width="14.42578125" style="242" customWidth="1"/>
    <col min="7944" max="7945" width="14.28515625" style="242" customWidth="1"/>
    <col min="7946" max="7946" width="19.5703125" style="242" customWidth="1"/>
    <col min="7947" max="8193" width="9.140625" style="242"/>
    <col min="8194" max="8194" width="4.7109375" style="242" customWidth="1"/>
    <col min="8195" max="8196" width="9.140625" style="242"/>
    <col min="8197" max="8197" width="6.140625" style="242" customWidth="1"/>
    <col min="8198" max="8198" width="0.28515625" style="242" customWidth="1"/>
    <col min="8199" max="8199" width="14.42578125" style="242" customWidth="1"/>
    <col min="8200" max="8201" width="14.28515625" style="242" customWidth="1"/>
    <col min="8202" max="8202" width="19.5703125" style="242" customWidth="1"/>
    <col min="8203" max="8449" width="9.140625" style="242"/>
    <col min="8450" max="8450" width="4.7109375" style="242" customWidth="1"/>
    <col min="8451" max="8452" width="9.140625" style="242"/>
    <col min="8453" max="8453" width="6.140625" style="242" customWidth="1"/>
    <col min="8454" max="8454" width="0.28515625" style="242" customWidth="1"/>
    <col min="8455" max="8455" width="14.42578125" style="242" customWidth="1"/>
    <col min="8456" max="8457" width="14.28515625" style="242" customWidth="1"/>
    <col min="8458" max="8458" width="19.5703125" style="242" customWidth="1"/>
    <col min="8459" max="8705" width="9.140625" style="242"/>
    <col min="8706" max="8706" width="4.7109375" style="242" customWidth="1"/>
    <col min="8707" max="8708" width="9.140625" style="242"/>
    <col min="8709" max="8709" width="6.140625" style="242" customWidth="1"/>
    <col min="8710" max="8710" width="0.28515625" style="242" customWidth="1"/>
    <col min="8711" max="8711" width="14.42578125" style="242" customWidth="1"/>
    <col min="8712" max="8713" width="14.28515625" style="242" customWidth="1"/>
    <col min="8714" max="8714" width="19.5703125" style="242" customWidth="1"/>
    <col min="8715" max="8961" width="9.140625" style="242"/>
    <col min="8962" max="8962" width="4.7109375" style="242" customWidth="1"/>
    <col min="8963" max="8964" width="9.140625" style="242"/>
    <col min="8965" max="8965" width="6.140625" style="242" customWidth="1"/>
    <col min="8966" max="8966" width="0.28515625" style="242" customWidth="1"/>
    <col min="8967" max="8967" width="14.42578125" style="242" customWidth="1"/>
    <col min="8968" max="8969" width="14.28515625" style="242" customWidth="1"/>
    <col min="8970" max="8970" width="19.5703125" style="242" customWidth="1"/>
    <col min="8971" max="9217" width="9.140625" style="242"/>
    <col min="9218" max="9218" width="4.7109375" style="242" customWidth="1"/>
    <col min="9219" max="9220" width="9.140625" style="242"/>
    <col min="9221" max="9221" width="6.140625" style="242" customWidth="1"/>
    <col min="9222" max="9222" width="0.28515625" style="242" customWidth="1"/>
    <col min="9223" max="9223" width="14.42578125" style="242" customWidth="1"/>
    <col min="9224" max="9225" width="14.28515625" style="242" customWidth="1"/>
    <col min="9226" max="9226" width="19.5703125" style="242" customWidth="1"/>
    <col min="9227" max="9473" width="9.140625" style="242"/>
    <col min="9474" max="9474" width="4.7109375" style="242" customWidth="1"/>
    <col min="9475" max="9476" width="9.140625" style="242"/>
    <col min="9477" max="9477" width="6.140625" style="242" customWidth="1"/>
    <col min="9478" max="9478" width="0.28515625" style="242" customWidth="1"/>
    <col min="9479" max="9479" width="14.42578125" style="242" customWidth="1"/>
    <col min="9480" max="9481" width="14.28515625" style="242" customWidth="1"/>
    <col min="9482" max="9482" width="19.5703125" style="242" customWidth="1"/>
    <col min="9483" max="9729" width="9.140625" style="242"/>
    <col min="9730" max="9730" width="4.7109375" style="242" customWidth="1"/>
    <col min="9731" max="9732" width="9.140625" style="242"/>
    <col min="9733" max="9733" width="6.140625" style="242" customWidth="1"/>
    <col min="9734" max="9734" width="0.28515625" style="242" customWidth="1"/>
    <col min="9735" max="9735" width="14.42578125" style="242" customWidth="1"/>
    <col min="9736" max="9737" width="14.28515625" style="242" customWidth="1"/>
    <col min="9738" max="9738" width="19.5703125" style="242" customWidth="1"/>
    <col min="9739" max="9985" width="9.140625" style="242"/>
    <col min="9986" max="9986" width="4.7109375" style="242" customWidth="1"/>
    <col min="9987" max="9988" width="9.140625" style="242"/>
    <col min="9989" max="9989" width="6.140625" style="242" customWidth="1"/>
    <col min="9990" max="9990" width="0.28515625" style="242" customWidth="1"/>
    <col min="9991" max="9991" width="14.42578125" style="242" customWidth="1"/>
    <col min="9992" max="9993" width="14.28515625" style="242" customWidth="1"/>
    <col min="9994" max="9994" width="19.5703125" style="242" customWidth="1"/>
    <col min="9995" max="10241" width="9.140625" style="242"/>
    <col min="10242" max="10242" width="4.7109375" style="242" customWidth="1"/>
    <col min="10243" max="10244" width="9.140625" style="242"/>
    <col min="10245" max="10245" width="6.140625" style="242" customWidth="1"/>
    <col min="10246" max="10246" width="0.28515625" style="242" customWidth="1"/>
    <col min="10247" max="10247" width="14.42578125" style="242" customWidth="1"/>
    <col min="10248" max="10249" width="14.28515625" style="242" customWidth="1"/>
    <col min="10250" max="10250" width="19.5703125" style="242" customWidth="1"/>
    <col min="10251" max="10497" width="9.140625" style="242"/>
    <col min="10498" max="10498" width="4.7109375" style="242" customWidth="1"/>
    <col min="10499" max="10500" width="9.140625" style="242"/>
    <col min="10501" max="10501" width="6.140625" style="242" customWidth="1"/>
    <col min="10502" max="10502" width="0.28515625" style="242" customWidth="1"/>
    <col min="10503" max="10503" width="14.42578125" style="242" customWidth="1"/>
    <col min="10504" max="10505" width="14.28515625" style="242" customWidth="1"/>
    <col min="10506" max="10506" width="19.5703125" style="242" customWidth="1"/>
    <col min="10507" max="10753" width="9.140625" style="242"/>
    <col min="10754" max="10754" width="4.7109375" style="242" customWidth="1"/>
    <col min="10755" max="10756" width="9.140625" style="242"/>
    <col min="10757" max="10757" width="6.140625" style="242" customWidth="1"/>
    <col min="10758" max="10758" width="0.28515625" style="242" customWidth="1"/>
    <col min="10759" max="10759" width="14.42578125" style="242" customWidth="1"/>
    <col min="10760" max="10761" width="14.28515625" style="242" customWidth="1"/>
    <col min="10762" max="10762" width="19.5703125" style="242" customWidth="1"/>
    <col min="10763" max="11009" width="9.140625" style="242"/>
    <col min="11010" max="11010" width="4.7109375" style="242" customWidth="1"/>
    <col min="11011" max="11012" width="9.140625" style="242"/>
    <col min="11013" max="11013" width="6.140625" style="242" customWidth="1"/>
    <col min="11014" max="11014" width="0.28515625" style="242" customWidth="1"/>
    <col min="11015" max="11015" width="14.42578125" style="242" customWidth="1"/>
    <col min="11016" max="11017" width="14.28515625" style="242" customWidth="1"/>
    <col min="11018" max="11018" width="19.5703125" style="242" customWidth="1"/>
    <col min="11019" max="11265" width="9.140625" style="242"/>
    <col min="11266" max="11266" width="4.7109375" style="242" customWidth="1"/>
    <col min="11267" max="11268" width="9.140625" style="242"/>
    <col min="11269" max="11269" width="6.140625" style="242" customWidth="1"/>
    <col min="11270" max="11270" width="0.28515625" style="242" customWidth="1"/>
    <col min="11271" max="11271" width="14.42578125" style="242" customWidth="1"/>
    <col min="11272" max="11273" width="14.28515625" style="242" customWidth="1"/>
    <col min="11274" max="11274" width="19.5703125" style="242" customWidth="1"/>
    <col min="11275" max="11521" width="9.140625" style="242"/>
    <col min="11522" max="11522" width="4.7109375" style="242" customWidth="1"/>
    <col min="11523" max="11524" width="9.140625" style="242"/>
    <col min="11525" max="11525" width="6.140625" style="242" customWidth="1"/>
    <col min="11526" max="11526" width="0.28515625" style="242" customWidth="1"/>
    <col min="11527" max="11527" width="14.42578125" style="242" customWidth="1"/>
    <col min="11528" max="11529" width="14.28515625" style="242" customWidth="1"/>
    <col min="11530" max="11530" width="19.5703125" style="242" customWidth="1"/>
    <col min="11531" max="11777" width="9.140625" style="242"/>
    <col min="11778" max="11778" width="4.7109375" style="242" customWidth="1"/>
    <col min="11779" max="11780" width="9.140625" style="242"/>
    <col min="11781" max="11781" width="6.140625" style="242" customWidth="1"/>
    <col min="11782" max="11782" width="0.28515625" style="242" customWidth="1"/>
    <col min="11783" max="11783" width="14.42578125" style="242" customWidth="1"/>
    <col min="11784" max="11785" width="14.28515625" style="242" customWidth="1"/>
    <col min="11786" max="11786" width="19.5703125" style="242" customWidth="1"/>
    <col min="11787" max="12033" width="9.140625" style="242"/>
    <col min="12034" max="12034" width="4.7109375" style="242" customWidth="1"/>
    <col min="12035" max="12036" width="9.140625" style="242"/>
    <col min="12037" max="12037" width="6.140625" style="242" customWidth="1"/>
    <col min="12038" max="12038" width="0.28515625" style="242" customWidth="1"/>
    <col min="12039" max="12039" width="14.42578125" style="242" customWidth="1"/>
    <col min="12040" max="12041" width="14.28515625" style="242" customWidth="1"/>
    <col min="12042" max="12042" width="19.5703125" style="242" customWidth="1"/>
    <col min="12043" max="12289" width="9.140625" style="242"/>
    <col min="12290" max="12290" width="4.7109375" style="242" customWidth="1"/>
    <col min="12291" max="12292" width="9.140625" style="242"/>
    <col min="12293" max="12293" width="6.140625" style="242" customWidth="1"/>
    <col min="12294" max="12294" width="0.28515625" style="242" customWidth="1"/>
    <col min="12295" max="12295" width="14.42578125" style="242" customWidth="1"/>
    <col min="12296" max="12297" width="14.28515625" style="242" customWidth="1"/>
    <col min="12298" max="12298" width="19.5703125" style="242" customWidth="1"/>
    <col min="12299" max="12545" width="9.140625" style="242"/>
    <col min="12546" max="12546" width="4.7109375" style="242" customWidth="1"/>
    <col min="12547" max="12548" width="9.140625" style="242"/>
    <col min="12549" max="12549" width="6.140625" style="242" customWidth="1"/>
    <col min="12550" max="12550" width="0.28515625" style="242" customWidth="1"/>
    <col min="12551" max="12551" width="14.42578125" style="242" customWidth="1"/>
    <col min="12552" max="12553" width="14.28515625" style="242" customWidth="1"/>
    <col min="12554" max="12554" width="19.5703125" style="242" customWidth="1"/>
    <col min="12555" max="12801" width="9.140625" style="242"/>
    <col min="12802" max="12802" width="4.7109375" style="242" customWidth="1"/>
    <col min="12803" max="12804" width="9.140625" style="242"/>
    <col min="12805" max="12805" width="6.140625" style="242" customWidth="1"/>
    <col min="12806" max="12806" width="0.28515625" style="242" customWidth="1"/>
    <col min="12807" max="12807" width="14.42578125" style="242" customWidth="1"/>
    <col min="12808" max="12809" width="14.28515625" style="242" customWidth="1"/>
    <col min="12810" max="12810" width="19.5703125" style="242" customWidth="1"/>
    <col min="12811" max="13057" width="9.140625" style="242"/>
    <col min="13058" max="13058" width="4.7109375" style="242" customWidth="1"/>
    <col min="13059" max="13060" width="9.140625" style="242"/>
    <col min="13061" max="13061" width="6.140625" style="242" customWidth="1"/>
    <col min="13062" max="13062" width="0.28515625" style="242" customWidth="1"/>
    <col min="13063" max="13063" width="14.42578125" style="242" customWidth="1"/>
    <col min="13064" max="13065" width="14.28515625" style="242" customWidth="1"/>
    <col min="13066" max="13066" width="19.5703125" style="242" customWidth="1"/>
    <col min="13067" max="13313" width="9.140625" style="242"/>
    <col min="13314" max="13314" width="4.7109375" style="242" customWidth="1"/>
    <col min="13315" max="13316" width="9.140625" style="242"/>
    <col min="13317" max="13317" width="6.140625" style="242" customWidth="1"/>
    <col min="13318" max="13318" width="0.28515625" style="242" customWidth="1"/>
    <col min="13319" max="13319" width="14.42578125" style="242" customWidth="1"/>
    <col min="13320" max="13321" width="14.28515625" style="242" customWidth="1"/>
    <col min="13322" max="13322" width="19.5703125" style="242" customWidth="1"/>
    <col min="13323" max="13569" width="9.140625" style="242"/>
    <col min="13570" max="13570" width="4.7109375" style="242" customWidth="1"/>
    <col min="13571" max="13572" width="9.140625" style="242"/>
    <col min="13573" max="13573" width="6.140625" style="242" customWidth="1"/>
    <col min="13574" max="13574" width="0.28515625" style="242" customWidth="1"/>
    <col min="13575" max="13575" width="14.42578125" style="242" customWidth="1"/>
    <col min="13576" max="13577" width="14.28515625" style="242" customWidth="1"/>
    <col min="13578" max="13578" width="19.5703125" style="242" customWidth="1"/>
    <col min="13579" max="13825" width="9.140625" style="242"/>
    <col min="13826" max="13826" width="4.7109375" style="242" customWidth="1"/>
    <col min="13827" max="13828" width="9.140625" style="242"/>
    <col min="13829" max="13829" width="6.140625" style="242" customWidth="1"/>
    <col min="13830" max="13830" width="0.28515625" style="242" customWidth="1"/>
    <col min="13831" max="13831" width="14.42578125" style="242" customWidth="1"/>
    <col min="13832" max="13833" width="14.28515625" style="242" customWidth="1"/>
    <col min="13834" max="13834" width="19.5703125" style="242" customWidth="1"/>
    <col min="13835" max="14081" width="9.140625" style="242"/>
    <col min="14082" max="14082" width="4.7109375" style="242" customWidth="1"/>
    <col min="14083" max="14084" width="9.140625" style="242"/>
    <col min="14085" max="14085" width="6.140625" style="242" customWidth="1"/>
    <col min="14086" max="14086" width="0.28515625" style="242" customWidth="1"/>
    <col min="14087" max="14087" width="14.42578125" style="242" customWidth="1"/>
    <col min="14088" max="14089" width="14.28515625" style="242" customWidth="1"/>
    <col min="14090" max="14090" width="19.5703125" style="242" customWidth="1"/>
    <col min="14091" max="14337" width="9.140625" style="242"/>
    <col min="14338" max="14338" width="4.7109375" style="242" customWidth="1"/>
    <col min="14339" max="14340" width="9.140625" style="242"/>
    <col min="14341" max="14341" width="6.140625" style="242" customWidth="1"/>
    <col min="14342" max="14342" width="0.28515625" style="242" customWidth="1"/>
    <col min="14343" max="14343" width="14.42578125" style="242" customWidth="1"/>
    <col min="14344" max="14345" width="14.28515625" style="242" customWidth="1"/>
    <col min="14346" max="14346" width="19.5703125" style="242" customWidth="1"/>
    <col min="14347" max="14593" width="9.140625" style="242"/>
    <col min="14594" max="14594" width="4.7109375" style="242" customWidth="1"/>
    <col min="14595" max="14596" width="9.140625" style="242"/>
    <col min="14597" max="14597" width="6.140625" style="242" customWidth="1"/>
    <col min="14598" max="14598" width="0.28515625" style="242" customWidth="1"/>
    <col min="14599" max="14599" width="14.42578125" style="242" customWidth="1"/>
    <col min="14600" max="14601" width="14.28515625" style="242" customWidth="1"/>
    <col min="14602" max="14602" width="19.5703125" style="242" customWidth="1"/>
    <col min="14603" max="14849" width="9.140625" style="242"/>
    <col min="14850" max="14850" width="4.7109375" style="242" customWidth="1"/>
    <col min="14851" max="14852" width="9.140625" style="242"/>
    <col min="14853" max="14853" width="6.140625" style="242" customWidth="1"/>
    <col min="14854" max="14854" width="0.28515625" style="242" customWidth="1"/>
    <col min="14855" max="14855" width="14.42578125" style="242" customWidth="1"/>
    <col min="14856" max="14857" width="14.28515625" style="242" customWidth="1"/>
    <col min="14858" max="14858" width="19.5703125" style="242" customWidth="1"/>
    <col min="14859" max="15105" width="9.140625" style="242"/>
    <col min="15106" max="15106" width="4.7109375" style="242" customWidth="1"/>
    <col min="15107" max="15108" width="9.140625" style="242"/>
    <col min="15109" max="15109" width="6.140625" style="242" customWidth="1"/>
    <col min="15110" max="15110" width="0.28515625" style="242" customWidth="1"/>
    <col min="15111" max="15111" width="14.42578125" style="242" customWidth="1"/>
    <col min="15112" max="15113" width="14.28515625" style="242" customWidth="1"/>
    <col min="15114" max="15114" width="19.5703125" style="242" customWidth="1"/>
    <col min="15115" max="15361" width="9.140625" style="242"/>
    <col min="15362" max="15362" width="4.7109375" style="242" customWidth="1"/>
    <col min="15363" max="15364" width="9.140625" style="242"/>
    <col min="15365" max="15365" width="6.140625" style="242" customWidth="1"/>
    <col min="15366" max="15366" width="0.28515625" style="242" customWidth="1"/>
    <col min="15367" max="15367" width="14.42578125" style="242" customWidth="1"/>
    <col min="15368" max="15369" width="14.28515625" style="242" customWidth="1"/>
    <col min="15370" max="15370" width="19.5703125" style="242" customWidth="1"/>
    <col min="15371" max="15617" width="9.140625" style="242"/>
    <col min="15618" max="15618" width="4.7109375" style="242" customWidth="1"/>
    <col min="15619" max="15620" width="9.140625" style="242"/>
    <col min="15621" max="15621" width="6.140625" style="242" customWidth="1"/>
    <col min="15622" max="15622" width="0.28515625" style="242" customWidth="1"/>
    <col min="15623" max="15623" width="14.42578125" style="242" customWidth="1"/>
    <col min="15624" max="15625" width="14.28515625" style="242" customWidth="1"/>
    <col min="15626" max="15626" width="19.5703125" style="242" customWidth="1"/>
    <col min="15627" max="15873" width="9.140625" style="242"/>
    <col min="15874" max="15874" width="4.7109375" style="242" customWidth="1"/>
    <col min="15875" max="15876" width="9.140625" style="242"/>
    <col min="15877" max="15877" width="6.140625" style="242" customWidth="1"/>
    <col min="15878" max="15878" width="0.28515625" style="242" customWidth="1"/>
    <col min="15879" max="15879" width="14.42578125" style="242" customWidth="1"/>
    <col min="15880" max="15881" width="14.28515625" style="242" customWidth="1"/>
    <col min="15882" max="15882" width="19.5703125" style="242" customWidth="1"/>
    <col min="15883" max="16129" width="9.140625" style="242"/>
    <col min="16130" max="16130" width="4.7109375" style="242" customWidth="1"/>
    <col min="16131" max="16132" width="9.140625" style="242"/>
    <col min="16133" max="16133" width="6.140625" style="242" customWidth="1"/>
    <col min="16134" max="16134" width="0.28515625" style="242" customWidth="1"/>
    <col min="16135" max="16135" width="14.42578125" style="242" customWidth="1"/>
    <col min="16136" max="16137" width="14.28515625" style="242" customWidth="1"/>
    <col min="16138" max="16138" width="19.5703125" style="242" customWidth="1"/>
    <col min="16139" max="16384" width="9.140625" style="242"/>
  </cols>
  <sheetData>
    <row r="1" spans="2:10">
      <c r="B1" s="2316" t="s">
        <v>1520</v>
      </c>
      <c r="C1" s="2316"/>
      <c r="D1" s="2316"/>
      <c r="E1" s="2316"/>
      <c r="F1" s="2316"/>
      <c r="G1" s="2316"/>
      <c r="H1" s="2316"/>
      <c r="I1" s="2316"/>
      <c r="J1" s="2316"/>
    </row>
    <row r="2" spans="2:10" s="245" customFormat="1">
      <c r="J2" s="246"/>
    </row>
    <row r="3" spans="2:10" s="245" customFormat="1">
      <c r="B3" s="421" t="s">
        <v>1521</v>
      </c>
      <c r="C3" s="269"/>
      <c r="D3" s="269"/>
      <c r="E3" s="269"/>
      <c r="F3" s="269"/>
      <c r="I3" s="247"/>
      <c r="J3" s="248"/>
    </row>
    <row r="4" spans="2:10" s="245" customFormat="1">
      <c r="B4" s="269" t="s">
        <v>1299</v>
      </c>
      <c r="C4" s="269"/>
      <c r="D4" s="269"/>
      <c r="E4" s="269"/>
      <c r="F4" s="269"/>
      <c r="I4" s="249" t="s">
        <v>1298</v>
      </c>
      <c r="J4" s="249"/>
    </row>
    <row r="5" spans="2:10" s="245" customFormat="1">
      <c r="B5" s="421" t="s">
        <v>1522</v>
      </c>
      <c r="C5" s="269"/>
      <c r="D5" s="269"/>
      <c r="E5" s="269"/>
      <c r="F5" s="269"/>
      <c r="I5" s="247"/>
      <c r="J5" s="249"/>
    </row>
    <row r="6" spans="2:10" s="245" customFormat="1">
      <c r="B6" s="421" t="s">
        <v>1804</v>
      </c>
      <c r="C6" s="269"/>
      <c r="D6" s="269"/>
      <c r="E6" s="269"/>
      <c r="F6" s="269"/>
    </row>
    <row r="7" spans="2:10" s="245" customFormat="1">
      <c r="B7" s="421" t="s">
        <v>1681</v>
      </c>
      <c r="C7" s="269"/>
      <c r="D7" s="269"/>
      <c r="E7" s="269"/>
      <c r="F7" s="269"/>
    </row>
    <row r="8" spans="2:10" s="245" customFormat="1">
      <c r="C8" s="2317" t="s">
        <v>1301</v>
      </c>
      <c r="D8" s="2317"/>
      <c r="E8" s="2317"/>
      <c r="F8" s="2317"/>
      <c r="G8" s="2317"/>
      <c r="H8" s="2317"/>
      <c r="I8" s="2317"/>
    </row>
    <row r="9" spans="2:10" s="245" customFormat="1">
      <c r="B9" s="2318" t="s">
        <v>1302</v>
      </c>
      <c r="C9" s="2321" t="s">
        <v>0</v>
      </c>
      <c r="D9" s="2321"/>
      <c r="E9" s="2321"/>
      <c r="F9" s="2321"/>
      <c r="G9" s="2323" t="s">
        <v>1303</v>
      </c>
      <c r="H9" s="2323"/>
      <c r="I9" s="2323" t="s">
        <v>1304</v>
      </c>
      <c r="J9" s="2324"/>
    </row>
    <row r="10" spans="2:10" s="245" customFormat="1">
      <c r="B10" s="2319"/>
      <c r="C10" s="2321"/>
      <c r="D10" s="2321"/>
      <c r="E10" s="2321"/>
      <c r="F10" s="2322"/>
      <c r="G10" s="250" t="s">
        <v>1305</v>
      </c>
      <c r="H10" s="250" t="s">
        <v>1306</v>
      </c>
      <c r="I10" s="250" t="s">
        <v>1305</v>
      </c>
      <c r="J10" s="251" t="s">
        <v>1306</v>
      </c>
    </row>
    <row r="11" spans="2:10" s="245" customFormat="1">
      <c r="B11" s="2320"/>
      <c r="C11" s="2321"/>
      <c r="D11" s="2321"/>
      <c r="E11" s="2321"/>
      <c r="F11" s="2322"/>
      <c r="G11" s="252" t="s">
        <v>1307</v>
      </c>
      <c r="H11" s="252" t="s">
        <v>1308</v>
      </c>
      <c r="I11" s="252" t="s">
        <v>1307</v>
      </c>
      <c r="J11" s="253" t="s">
        <v>1308</v>
      </c>
    </row>
    <row r="12" spans="2:10" s="245" customFormat="1">
      <c r="B12" s="254"/>
      <c r="C12" s="2326" t="s">
        <v>1309</v>
      </c>
      <c r="D12" s="2327"/>
      <c r="E12" s="2327"/>
      <c r="F12" s="2328"/>
      <c r="H12" s="255"/>
      <c r="I12" s="256"/>
      <c r="J12" s="257"/>
    </row>
    <row r="13" spans="2:10" s="245" customFormat="1">
      <c r="B13" s="254">
        <v>1</v>
      </c>
      <c r="C13" s="2325" t="s">
        <v>1310</v>
      </c>
      <c r="D13" s="2325"/>
      <c r="E13" s="2325"/>
      <c r="F13" s="2325"/>
      <c r="G13" s="258">
        <v>25732</v>
      </c>
      <c r="H13" s="258">
        <f>'Gua. Meas.'!I10</f>
        <v>2112.5</v>
      </c>
      <c r="I13" s="259">
        <f t="shared" ref="I13:J27" si="0">G13</f>
        <v>25732</v>
      </c>
      <c r="J13" s="260">
        <f>H13</f>
        <v>2112.5</v>
      </c>
    </row>
    <row r="14" spans="2:10" s="245" customFormat="1">
      <c r="B14" s="254">
        <v>2</v>
      </c>
      <c r="C14" s="2325" t="s">
        <v>1311</v>
      </c>
      <c r="D14" s="2325"/>
      <c r="E14" s="2325"/>
      <c r="F14" s="2325"/>
      <c r="G14" s="258">
        <v>24492</v>
      </c>
      <c r="H14" s="258">
        <f>'Gua. Meas.'!I33</f>
        <v>18301.599999999999</v>
      </c>
      <c r="I14" s="259">
        <f t="shared" si="0"/>
        <v>24492</v>
      </c>
      <c r="J14" s="260">
        <f t="shared" si="0"/>
        <v>18301.599999999999</v>
      </c>
    </row>
    <row r="15" spans="2:10" s="245" customFormat="1">
      <c r="B15" s="254">
        <v>3</v>
      </c>
      <c r="C15" s="2325" t="s">
        <v>1312</v>
      </c>
      <c r="D15" s="2325"/>
      <c r="E15" s="2325"/>
      <c r="F15" s="2325"/>
      <c r="G15" s="258">
        <v>11300</v>
      </c>
      <c r="H15" s="258">
        <f>'Gua. Meas.'!I37</f>
        <v>6510</v>
      </c>
      <c r="I15" s="259">
        <f t="shared" si="0"/>
        <v>11300</v>
      </c>
      <c r="J15" s="260">
        <f>H15</f>
        <v>6510</v>
      </c>
    </row>
    <row r="16" spans="2:10" s="245" customFormat="1">
      <c r="B16" s="254"/>
      <c r="C16" s="2329" t="s">
        <v>1313</v>
      </c>
      <c r="D16" s="2330"/>
      <c r="E16" s="2330"/>
      <c r="F16" s="2331"/>
      <c r="G16" s="258">
        <f>SUM(G13:G15)</f>
        <v>61524</v>
      </c>
      <c r="H16" s="258">
        <f>SUM(H13:H15)</f>
        <v>26924.1</v>
      </c>
      <c r="I16" s="258">
        <f>SUM(I13:I15)</f>
        <v>61524</v>
      </c>
      <c r="J16" s="258">
        <f>SUM(J13:J15)</f>
        <v>26924.1</v>
      </c>
    </row>
    <row r="17" spans="2:10" s="245" customFormat="1">
      <c r="B17" s="254"/>
      <c r="C17" s="2332" t="s">
        <v>1314</v>
      </c>
      <c r="D17" s="2332"/>
      <c r="E17" s="2332"/>
      <c r="F17" s="2332"/>
      <c r="G17" s="258"/>
      <c r="H17" s="258"/>
      <c r="I17" s="259">
        <f t="shared" si="0"/>
        <v>0</v>
      </c>
      <c r="J17" s="260">
        <f t="shared" si="0"/>
        <v>0</v>
      </c>
    </row>
    <row r="18" spans="2:10" s="245" customFormat="1">
      <c r="B18" s="254">
        <v>1</v>
      </c>
      <c r="C18" s="2325" t="s">
        <v>1311</v>
      </c>
      <c r="D18" s="2325"/>
      <c r="E18" s="2325"/>
      <c r="F18" s="2325"/>
      <c r="G18" s="258">
        <v>12384</v>
      </c>
      <c r="H18" s="258">
        <f>'Gua. Meas.'!I52</f>
        <v>15075.770400000001</v>
      </c>
      <c r="I18" s="259">
        <f t="shared" si="0"/>
        <v>12384</v>
      </c>
      <c r="J18" s="260">
        <f t="shared" si="0"/>
        <v>15075.770400000001</v>
      </c>
    </row>
    <row r="19" spans="2:10" s="245" customFormat="1">
      <c r="B19" s="254">
        <v>2</v>
      </c>
      <c r="C19" s="2333" t="s">
        <v>1315</v>
      </c>
      <c r="D19" s="2334"/>
      <c r="E19" s="2334"/>
      <c r="F19" s="2335"/>
      <c r="G19" s="258">
        <v>22330</v>
      </c>
      <c r="H19" s="258">
        <f>'Gua. Meas.'!I56</f>
        <v>18294.599999999999</v>
      </c>
      <c r="I19" s="258">
        <f t="shared" si="0"/>
        <v>22330</v>
      </c>
      <c r="J19" s="260">
        <f t="shared" si="0"/>
        <v>18294.599999999999</v>
      </c>
    </row>
    <row r="20" spans="2:10" s="245" customFormat="1">
      <c r="B20" s="254">
        <v>3</v>
      </c>
      <c r="C20" s="2325" t="s">
        <v>1316</v>
      </c>
      <c r="D20" s="2325"/>
      <c r="E20" s="2325"/>
      <c r="F20" s="2325"/>
      <c r="G20" s="258">
        <v>17850</v>
      </c>
      <c r="H20" s="258">
        <f>'Gua. Meas.'!I62</f>
        <v>10063.5</v>
      </c>
      <c r="I20" s="258">
        <f t="shared" si="0"/>
        <v>17850</v>
      </c>
      <c r="J20" s="260">
        <f t="shared" si="0"/>
        <v>10063.5</v>
      </c>
    </row>
    <row r="21" spans="2:10" s="245" customFormat="1">
      <c r="B21" s="254">
        <v>4</v>
      </c>
      <c r="C21" s="2325" t="s">
        <v>1595</v>
      </c>
      <c r="D21" s="2325"/>
      <c r="E21" s="2325"/>
      <c r="F21" s="2325"/>
      <c r="G21" s="258">
        <v>3776</v>
      </c>
      <c r="H21" s="258">
        <f>'Gua. Meas.'!I68</f>
        <v>3194</v>
      </c>
      <c r="I21" s="258">
        <f t="shared" si="0"/>
        <v>3776</v>
      </c>
      <c r="J21" s="260">
        <f t="shared" si="0"/>
        <v>3194</v>
      </c>
    </row>
    <row r="22" spans="2:10" s="245" customFormat="1">
      <c r="B22" s="254">
        <v>5</v>
      </c>
      <c r="C22" s="2325" t="s">
        <v>1318</v>
      </c>
      <c r="D22" s="2325"/>
      <c r="E22" s="2325"/>
      <c r="F22" s="2325"/>
      <c r="G22" s="258">
        <v>19615.5</v>
      </c>
      <c r="H22" s="258">
        <f>'Gua. Meas.'!I76</f>
        <v>0</v>
      </c>
      <c r="I22" s="244">
        <f t="shared" si="0"/>
        <v>19615.5</v>
      </c>
      <c r="J22" s="260">
        <f t="shared" si="0"/>
        <v>0</v>
      </c>
    </row>
    <row r="23" spans="2:10" s="245" customFormat="1">
      <c r="B23" s="254">
        <v>6</v>
      </c>
      <c r="C23" s="2325" t="s">
        <v>1319</v>
      </c>
      <c r="D23" s="2325"/>
      <c r="E23" s="2325"/>
      <c r="F23" s="2325"/>
      <c r="G23" s="258">
        <v>45210</v>
      </c>
      <c r="H23" s="258">
        <f>'Gua. Meas.'!I85</f>
        <v>33598.699999999997</v>
      </c>
      <c r="I23" s="258">
        <f t="shared" si="0"/>
        <v>45210</v>
      </c>
      <c r="J23" s="260">
        <f t="shared" si="0"/>
        <v>33598.699999999997</v>
      </c>
    </row>
    <row r="24" spans="2:10" s="245" customFormat="1">
      <c r="B24" s="254">
        <v>7</v>
      </c>
      <c r="C24" s="261" t="s">
        <v>1320</v>
      </c>
      <c r="D24" s="262"/>
      <c r="E24" s="262"/>
      <c r="F24" s="263"/>
      <c r="G24" s="258">
        <v>2548</v>
      </c>
      <c r="H24" s="258">
        <f>'Gua. Meas.'!I90</f>
        <v>3950.6799999999994</v>
      </c>
      <c r="I24" s="258">
        <f t="shared" si="0"/>
        <v>2548</v>
      </c>
      <c r="J24" s="260">
        <f>H24</f>
        <v>3950.6799999999994</v>
      </c>
    </row>
    <row r="25" spans="2:10" s="245" customFormat="1">
      <c r="B25" s="254">
        <v>8</v>
      </c>
      <c r="C25" s="261" t="s">
        <v>1321</v>
      </c>
      <c r="D25" s="262"/>
      <c r="E25" s="262"/>
      <c r="F25" s="263"/>
      <c r="G25" s="258">
        <v>4500</v>
      </c>
      <c r="H25" s="258">
        <f>'Gua. Meas.'!I93</f>
        <v>0</v>
      </c>
      <c r="I25" s="258">
        <f t="shared" si="0"/>
        <v>4500</v>
      </c>
      <c r="J25" s="260">
        <f>H25</f>
        <v>0</v>
      </c>
    </row>
    <row r="26" spans="2:10" s="245" customFormat="1">
      <c r="B26" s="254">
        <v>9</v>
      </c>
      <c r="C26" s="261" t="s">
        <v>1322</v>
      </c>
      <c r="D26" s="262"/>
      <c r="E26" s="262"/>
      <c r="F26" s="263"/>
      <c r="G26" s="258">
        <v>0</v>
      </c>
      <c r="H26" s="258"/>
      <c r="I26" s="258">
        <f t="shared" si="0"/>
        <v>0</v>
      </c>
      <c r="J26" s="260"/>
    </row>
    <row r="27" spans="2:10" s="245" customFormat="1">
      <c r="B27" s="254">
        <v>10</v>
      </c>
      <c r="C27" s="261" t="s">
        <v>1323</v>
      </c>
      <c r="D27" s="262"/>
      <c r="E27" s="262"/>
      <c r="F27" s="263"/>
      <c r="G27" s="258">
        <v>9450</v>
      </c>
      <c r="H27" s="258">
        <f>'Gua. Meas.'!I114</f>
        <v>1800</v>
      </c>
      <c r="I27" s="258">
        <f t="shared" si="0"/>
        <v>9450</v>
      </c>
      <c r="J27" s="260">
        <f>H27</f>
        <v>1800</v>
      </c>
    </row>
    <row r="28" spans="2:10" s="245" customFormat="1">
      <c r="B28" s="254"/>
      <c r="C28" s="2329" t="s">
        <v>1324</v>
      </c>
      <c r="D28" s="2330"/>
      <c r="E28" s="2330"/>
      <c r="F28" s="2331"/>
      <c r="G28" s="258">
        <f>SUM(G18:G27)</f>
        <v>137663.5</v>
      </c>
      <c r="H28" s="258">
        <f>SUM(H18:H27)</f>
        <v>85977.25039999999</v>
      </c>
      <c r="I28" s="259">
        <f>SUM(I17:I27)</f>
        <v>137663.5</v>
      </c>
      <c r="J28" s="260">
        <f>SUM(J18:J27)</f>
        <v>85977.25039999999</v>
      </c>
    </row>
    <row r="29" spans="2:10" s="245" customFormat="1" ht="13.5" thickBot="1">
      <c r="B29" s="264"/>
      <c r="C29" s="2336" t="s">
        <v>1325</v>
      </c>
      <c r="D29" s="2337"/>
      <c r="E29" s="2337"/>
      <c r="F29" s="265"/>
      <c r="G29" s="266">
        <f>G16+G28</f>
        <v>199187.5</v>
      </c>
      <c r="H29" s="266">
        <f>H16+H28</f>
        <v>112901.3504</v>
      </c>
      <c r="I29" s="273">
        <f>G28+G16</f>
        <v>199187.5</v>
      </c>
      <c r="J29" s="267">
        <f>J16+J28</f>
        <v>112901.3504</v>
      </c>
    </row>
    <row r="30" spans="2:10" s="245" customFormat="1" ht="13.5" thickTop="1"/>
    <row r="31" spans="2:10" s="245" customFormat="1">
      <c r="B31" s="268"/>
      <c r="C31" s="268"/>
      <c r="D31" s="268"/>
      <c r="E31" s="268"/>
      <c r="F31" s="268"/>
      <c r="G31" s="268"/>
      <c r="H31" s="268"/>
      <c r="I31" s="268"/>
      <c r="J31" s="274"/>
    </row>
    <row r="32" spans="2:10" s="245" customFormat="1">
      <c r="B32" s="2338"/>
      <c r="C32" s="2338"/>
      <c r="D32" s="2338"/>
      <c r="E32" s="2338"/>
      <c r="F32" s="2338"/>
      <c r="G32" s="2338"/>
      <c r="H32" s="2338"/>
      <c r="I32" s="2338"/>
      <c r="J32" s="2338"/>
    </row>
    <row r="33" spans="2:10" s="245" customFormat="1">
      <c r="B33" s="268" t="s">
        <v>1326</v>
      </c>
      <c r="C33" s="268"/>
      <c r="D33" s="268"/>
      <c r="E33" s="268"/>
      <c r="F33" s="268"/>
      <c r="G33" s="268"/>
      <c r="H33" s="268"/>
      <c r="I33" s="268"/>
    </row>
    <row r="34" spans="2:10" s="245" customFormat="1">
      <c r="B34" s="268" t="s">
        <v>1622</v>
      </c>
      <c r="C34" s="268"/>
      <c r="D34" s="268"/>
      <c r="E34" s="268"/>
      <c r="F34" s="268"/>
      <c r="G34" s="268"/>
      <c r="H34" s="270"/>
      <c r="I34" s="268"/>
    </row>
    <row r="35" spans="2:10" s="245" customFormat="1">
      <c r="B35" s="268"/>
      <c r="C35" s="268"/>
      <c r="D35" s="268"/>
      <c r="E35" s="268"/>
      <c r="F35" s="268"/>
      <c r="G35" s="268"/>
      <c r="H35" s="270"/>
      <c r="I35" s="268"/>
    </row>
    <row r="36" spans="2:10" s="245" customFormat="1">
      <c r="B36" s="268"/>
      <c r="C36" s="268"/>
      <c r="D36" s="268"/>
      <c r="E36" s="268"/>
      <c r="F36" s="268"/>
      <c r="G36" s="268"/>
      <c r="H36" s="270"/>
      <c r="I36" s="268"/>
    </row>
    <row r="37" spans="2:10" s="245" customFormat="1">
      <c r="B37" s="268"/>
      <c r="C37" s="268"/>
      <c r="D37" s="268"/>
      <c r="E37" s="268"/>
      <c r="F37" s="268"/>
      <c r="G37" s="268"/>
      <c r="H37" s="270"/>
      <c r="I37" s="268"/>
    </row>
    <row r="38" spans="2:10" s="245" customFormat="1">
      <c r="B38" s="268"/>
      <c r="C38" s="268"/>
      <c r="D38" s="268"/>
      <c r="E38" s="268"/>
      <c r="F38" s="268"/>
      <c r="G38" s="268"/>
      <c r="H38" s="270"/>
      <c r="I38" s="268"/>
    </row>
    <row r="39" spans="2:10" s="245" customFormat="1">
      <c r="B39" s="268"/>
      <c r="C39" s="268"/>
      <c r="D39" s="268"/>
      <c r="E39" s="268"/>
      <c r="F39" s="268"/>
      <c r="G39" s="268"/>
      <c r="H39" s="270"/>
      <c r="I39" s="268"/>
    </row>
    <row r="40" spans="2:10" s="245" customFormat="1">
      <c r="B40" s="268"/>
      <c r="C40" s="268"/>
      <c r="D40" s="268"/>
      <c r="E40" s="268"/>
      <c r="F40" s="268"/>
      <c r="G40" s="268"/>
      <c r="H40" s="270"/>
      <c r="I40" s="268"/>
    </row>
    <row r="41" spans="2:10" s="245" customFormat="1"/>
    <row r="42" spans="2:10" s="245" customFormat="1"/>
    <row r="43" spans="2:10" s="245" customFormat="1"/>
    <row r="44" spans="2:10" s="245" customFormat="1">
      <c r="B44" s="271" t="s">
        <v>1327</v>
      </c>
      <c r="C44" s="271"/>
      <c r="E44" s="2339" t="s">
        <v>1328</v>
      </c>
      <c r="F44" s="2339"/>
      <c r="G44" s="2339"/>
      <c r="H44" s="2339"/>
      <c r="I44" s="2339" t="s">
        <v>1329</v>
      </c>
      <c r="J44" s="2339"/>
    </row>
  </sheetData>
  <mergeCells count="23">
    <mergeCell ref="C28:F28"/>
    <mergeCell ref="C29:E29"/>
    <mergeCell ref="B32:J32"/>
    <mergeCell ref="E44:H44"/>
    <mergeCell ref="I44:J44"/>
    <mergeCell ref="C23:F23"/>
    <mergeCell ref="C12:F12"/>
    <mergeCell ref="C13:F13"/>
    <mergeCell ref="C14:F14"/>
    <mergeCell ref="C15:F15"/>
    <mergeCell ref="C16:F16"/>
    <mergeCell ref="C17:F17"/>
    <mergeCell ref="C18:F18"/>
    <mergeCell ref="C19:F19"/>
    <mergeCell ref="C20:F20"/>
    <mergeCell ref="C21:F21"/>
    <mergeCell ref="C22:F22"/>
    <mergeCell ref="B1:J1"/>
    <mergeCell ref="C8:I8"/>
    <mergeCell ref="B9:B11"/>
    <mergeCell ref="C9:F11"/>
    <mergeCell ref="G9:H9"/>
    <mergeCell ref="I9:J9"/>
  </mergeCells>
  <pageMargins left="0.7" right="0.7" top="0.75" bottom="0.75" header="0.3" footer="0.3"/>
  <pageSetup scale="96"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B1:S181"/>
  <sheetViews>
    <sheetView view="pageBreakPreview" zoomScaleSheetLayoutView="100" workbookViewId="0">
      <selection activeCell="C10" sqref="C10"/>
    </sheetView>
  </sheetViews>
  <sheetFormatPr defaultRowHeight="15.75"/>
  <cols>
    <col min="1" max="1" width="4.5703125" style="1592" customWidth="1"/>
    <col min="2" max="2" width="6.5703125" style="1592" customWidth="1"/>
    <col min="3" max="3" width="69.28515625" style="1592" customWidth="1"/>
    <col min="4" max="4" width="7.5703125" style="1625" customWidth="1"/>
    <col min="5" max="5" width="12.7109375" style="1625" customWidth="1"/>
    <col min="6" max="6" width="11.7109375" style="1625" customWidth="1"/>
    <col min="7" max="7" width="14" style="1625" customWidth="1"/>
    <col min="8" max="8" width="9.7109375" style="1625" bestFit="1" customWidth="1"/>
    <col min="9" max="9" width="14.140625" style="1626" customWidth="1"/>
    <col min="10" max="10" width="2.5703125" style="1592" customWidth="1"/>
    <col min="11" max="257" width="9.140625" style="1592"/>
    <col min="258" max="258" width="6.5703125" style="1592" customWidth="1"/>
    <col min="259" max="259" width="47.42578125" style="1592" customWidth="1"/>
    <col min="260" max="260" width="5.85546875" style="1592" customWidth="1"/>
    <col min="261" max="261" width="9.5703125" style="1592" customWidth="1"/>
    <col min="262" max="262" width="11.7109375" style="1592" customWidth="1"/>
    <col min="263" max="263" width="11.42578125" style="1592" customWidth="1"/>
    <col min="264" max="264" width="10.42578125" style="1592" customWidth="1"/>
    <col min="265" max="265" width="10.85546875" style="1592" customWidth="1"/>
    <col min="266" max="513" width="9.140625" style="1592"/>
    <col min="514" max="514" width="6.5703125" style="1592" customWidth="1"/>
    <col min="515" max="515" width="47.42578125" style="1592" customWidth="1"/>
    <col min="516" max="516" width="5.85546875" style="1592" customWidth="1"/>
    <col min="517" max="517" width="9.5703125" style="1592" customWidth="1"/>
    <col min="518" max="518" width="11.7109375" style="1592" customWidth="1"/>
    <col min="519" max="519" width="11.42578125" style="1592" customWidth="1"/>
    <col min="520" max="520" width="10.42578125" style="1592" customWidth="1"/>
    <col min="521" max="521" width="10.85546875" style="1592" customWidth="1"/>
    <col min="522" max="769" width="9.140625" style="1592"/>
    <col min="770" max="770" width="6.5703125" style="1592" customWidth="1"/>
    <col min="771" max="771" width="47.42578125" style="1592" customWidth="1"/>
    <col min="772" max="772" width="5.85546875" style="1592" customWidth="1"/>
    <col min="773" max="773" width="9.5703125" style="1592" customWidth="1"/>
    <col min="774" max="774" width="11.7109375" style="1592" customWidth="1"/>
    <col min="775" max="775" width="11.42578125" style="1592" customWidth="1"/>
    <col min="776" max="776" width="10.42578125" style="1592" customWidth="1"/>
    <col min="777" max="777" width="10.85546875" style="1592" customWidth="1"/>
    <col min="778" max="1025" width="9.140625" style="1592"/>
    <col min="1026" max="1026" width="6.5703125" style="1592" customWidth="1"/>
    <col min="1027" max="1027" width="47.42578125" style="1592" customWidth="1"/>
    <col min="1028" max="1028" width="5.85546875" style="1592" customWidth="1"/>
    <col min="1029" max="1029" width="9.5703125" style="1592" customWidth="1"/>
    <col min="1030" max="1030" width="11.7109375" style="1592" customWidth="1"/>
    <col min="1031" max="1031" width="11.42578125" style="1592" customWidth="1"/>
    <col min="1032" max="1032" width="10.42578125" style="1592" customWidth="1"/>
    <col min="1033" max="1033" width="10.85546875" style="1592" customWidth="1"/>
    <col min="1034" max="1281" width="9.140625" style="1592"/>
    <col min="1282" max="1282" width="6.5703125" style="1592" customWidth="1"/>
    <col min="1283" max="1283" width="47.42578125" style="1592" customWidth="1"/>
    <col min="1284" max="1284" width="5.85546875" style="1592" customWidth="1"/>
    <col min="1285" max="1285" width="9.5703125" style="1592" customWidth="1"/>
    <col min="1286" max="1286" width="11.7109375" style="1592" customWidth="1"/>
    <col min="1287" max="1287" width="11.42578125" style="1592" customWidth="1"/>
    <col min="1288" max="1288" width="10.42578125" style="1592" customWidth="1"/>
    <col min="1289" max="1289" width="10.85546875" style="1592" customWidth="1"/>
    <col min="1290" max="1537" width="9.140625" style="1592"/>
    <col min="1538" max="1538" width="6.5703125" style="1592" customWidth="1"/>
    <col min="1539" max="1539" width="47.42578125" style="1592" customWidth="1"/>
    <col min="1540" max="1540" width="5.85546875" style="1592" customWidth="1"/>
    <col min="1541" max="1541" width="9.5703125" style="1592" customWidth="1"/>
    <col min="1542" max="1542" width="11.7109375" style="1592" customWidth="1"/>
    <col min="1543" max="1543" width="11.42578125" style="1592" customWidth="1"/>
    <col min="1544" max="1544" width="10.42578125" style="1592" customWidth="1"/>
    <col min="1545" max="1545" width="10.85546875" style="1592" customWidth="1"/>
    <col min="1546" max="1793" width="9.140625" style="1592"/>
    <col min="1794" max="1794" width="6.5703125" style="1592" customWidth="1"/>
    <col min="1795" max="1795" width="47.42578125" style="1592" customWidth="1"/>
    <col min="1796" max="1796" width="5.85546875" style="1592" customWidth="1"/>
    <col min="1797" max="1797" width="9.5703125" style="1592" customWidth="1"/>
    <col min="1798" max="1798" width="11.7109375" style="1592" customWidth="1"/>
    <col min="1799" max="1799" width="11.42578125" style="1592" customWidth="1"/>
    <col min="1800" max="1800" width="10.42578125" style="1592" customWidth="1"/>
    <col min="1801" max="1801" width="10.85546875" style="1592" customWidth="1"/>
    <col min="1802" max="2049" width="9.140625" style="1592"/>
    <col min="2050" max="2050" width="6.5703125" style="1592" customWidth="1"/>
    <col min="2051" max="2051" width="47.42578125" style="1592" customWidth="1"/>
    <col min="2052" max="2052" width="5.85546875" style="1592" customWidth="1"/>
    <col min="2053" max="2053" width="9.5703125" style="1592" customWidth="1"/>
    <col min="2054" max="2054" width="11.7109375" style="1592" customWidth="1"/>
    <col min="2055" max="2055" width="11.42578125" style="1592" customWidth="1"/>
    <col min="2056" max="2056" width="10.42578125" style="1592" customWidth="1"/>
    <col min="2057" max="2057" width="10.85546875" style="1592" customWidth="1"/>
    <col min="2058" max="2305" width="9.140625" style="1592"/>
    <col min="2306" max="2306" width="6.5703125" style="1592" customWidth="1"/>
    <col min="2307" max="2307" width="47.42578125" style="1592" customWidth="1"/>
    <col min="2308" max="2308" width="5.85546875" style="1592" customWidth="1"/>
    <col min="2309" max="2309" width="9.5703125" style="1592" customWidth="1"/>
    <col min="2310" max="2310" width="11.7109375" style="1592" customWidth="1"/>
    <col min="2311" max="2311" width="11.42578125" style="1592" customWidth="1"/>
    <col min="2312" max="2312" width="10.42578125" style="1592" customWidth="1"/>
    <col min="2313" max="2313" width="10.85546875" style="1592" customWidth="1"/>
    <col min="2314" max="2561" width="9.140625" style="1592"/>
    <col min="2562" max="2562" width="6.5703125" style="1592" customWidth="1"/>
    <col min="2563" max="2563" width="47.42578125" style="1592" customWidth="1"/>
    <col min="2564" max="2564" width="5.85546875" style="1592" customWidth="1"/>
    <col min="2565" max="2565" width="9.5703125" style="1592" customWidth="1"/>
    <col min="2566" max="2566" width="11.7109375" style="1592" customWidth="1"/>
    <col min="2567" max="2567" width="11.42578125" style="1592" customWidth="1"/>
    <col min="2568" max="2568" width="10.42578125" style="1592" customWidth="1"/>
    <col min="2569" max="2569" width="10.85546875" style="1592" customWidth="1"/>
    <col min="2570" max="2817" width="9.140625" style="1592"/>
    <col min="2818" max="2818" width="6.5703125" style="1592" customWidth="1"/>
    <col min="2819" max="2819" width="47.42578125" style="1592" customWidth="1"/>
    <col min="2820" max="2820" width="5.85546875" style="1592" customWidth="1"/>
    <col min="2821" max="2821" width="9.5703125" style="1592" customWidth="1"/>
    <col min="2822" max="2822" width="11.7109375" style="1592" customWidth="1"/>
    <col min="2823" max="2823" width="11.42578125" style="1592" customWidth="1"/>
    <col min="2824" max="2824" width="10.42578125" style="1592" customWidth="1"/>
    <col min="2825" max="2825" width="10.85546875" style="1592" customWidth="1"/>
    <col min="2826" max="3073" width="9.140625" style="1592"/>
    <col min="3074" max="3074" width="6.5703125" style="1592" customWidth="1"/>
    <col min="3075" max="3075" width="47.42578125" style="1592" customWidth="1"/>
    <col min="3076" max="3076" width="5.85546875" style="1592" customWidth="1"/>
    <col min="3077" max="3077" width="9.5703125" style="1592" customWidth="1"/>
    <col min="3078" max="3078" width="11.7109375" style="1592" customWidth="1"/>
    <col min="3079" max="3079" width="11.42578125" style="1592" customWidth="1"/>
    <col min="3080" max="3080" width="10.42578125" style="1592" customWidth="1"/>
    <col min="3081" max="3081" width="10.85546875" style="1592" customWidth="1"/>
    <col min="3082" max="3329" width="9.140625" style="1592"/>
    <col min="3330" max="3330" width="6.5703125" style="1592" customWidth="1"/>
    <col min="3331" max="3331" width="47.42578125" style="1592" customWidth="1"/>
    <col min="3332" max="3332" width="5.85546875" style="1592" customWidth="1"/>
    <col min="3333" max="3333" width="9.5703125" style="1592" customWidth="1"/>
    <col min="3334" max="3334" width="11.7109375" style="1592" customWidth="1"/>
    <col min="3335" max="3335" width="11.42578125" style="1592" customWidth="1"/>
    <col min="3336" max="3336" width="10.42578125" style="1592" customWidth="1"/>
    <col min="3337" max="3337" width="10.85546875" style="1592" customWidth="1"/>
    <col min="3338" max="3585" width="9.140625" style="1592"/>
    <col min="3586" max="3586" width="6.5703125" style="1592" customWidth="1"/>
    <col min="3587" max="3587" width="47.42578125" style="1592" customWidth="1"/>
    <col min="3588" max="3588" width="5.85546875" style="1592" customWidth="1"/>
    <col min="3589" max="3589" width="9.5703125" style="1592" customWidth="1"/>
    <col min="3590" max="3590" width="11.7109375" style="1592" customWidth="1"/>
    <col min="3591" max="3591" width="11.42578125" style="1592" customWidth="1"/>
    <col min="3592" max="3592" width="10.42578125" style="1592" customWidth="1"/>
    <col min="3593" max="3593" width="10.85546875" style="1592" customWidth="1"/>
    <col min="3594" max="3841" width="9.140625" style="1592"/>
    <col min="3842" max="3842" width="6.5703125" style="1592" customWidth="1"/>
    <col min="3843" max="3843" width="47.42578125" style="1592" customWidth="1"/>
    <col min="3844" max="3844" width="5.85546875" style="1592" customWidth="1"/>
    <col min="3845" max="3845" width="9.5703125" style="1592" customWidth="1"/>
    <col min="3846" max="3846" width="11.7109375" style="1592" customWidth="1"/>
    <col min="3847" max="3847" width="11.42578125" style="1592" customWidth="1"/>
    <col min="3848" max="3848" width="10.42578125" style="1592" customWidth="1"/>
    <col min="3849" max="3849" width="10.85546875" style="1592" customWidth="1"/>
    <col min="3850" max="4097" width="9.140625" style="1592"/>
    <col min="4098" max="4098" width="6.5703125" style="1592" customWidth="1"/>
    <col min="4099" max="4099" width="47.42578125" style="1592" customWidth="1"/>
    <col min="4100" max="4100" width="5.85546875" style="1592" customWidth="1"/>
    <col min="4101" max="4101" width="9.5703125" style="1592" customWidth="1"/>
    <col min="4102" max="4102" width="11.7109375" style="1592" customWidth="1"/>
    <col min="4103" max="4103" width="11.42578125" style="1592" customWidth="1"/>
    <col min="4104" max="4104" width="10.42578125" style="1592" customWidth="1"/>
    <col min="4105" max="4105" width="10.85546875" style="1592" customWidth="1"/>
    <col min="4106" max="4353" width="9.140625" style="1592"/>
    <col min="4354" max="4354" width="6.5703125" style="1592" customWidth="1"/>
    <col min="4355" max="4355" width="47.42578125" style="1592" customWidth="1"/>
    <col min="4356" max="4356" width="5.85546875" style="1592" customWidth="1"/>
    <col min="4357" max="4357" width="9.5703125" style="1592" customWidth="1"/>
    <col min="4358" max="4358" width="11.7109375" style="1592" customWidth="1"/>
    <col min="4359" max="4359" width="11.42578125" style="1592" customWidth="1"/>
    <col min="4360" max="4360" width="10.42578125" style="1592" customWidth="1"/>
    <col min="4361" max="4361" width="10.85546875" style="1592" customWidth="1"/>
    <col min="4362" max="4609" width="9.140625" style="1592"/>
    <col min="4610" max="4610" width="6.5703125" style="1592" customWidth="1"/>
    <col min="4611" max="4611" width="47.42578125" style="1592" customWidth="1"/>
    <col min="4612" max="4612" width="5.85546875" style="1592" customWidth="1"/>
    <col min="4613" max="4613" width="9.5703125" style="1592" customWidth="1"/>
    <col min="4614" max="4614" width="11.7109375" style="1592" customWidth="1"/>
    <col min="4615" max="4615" width="11.42578125" style="1592" customWidth="1"/>
    <col min="4616" max="4616" width="10.42578125" style="1592" customWidth="1"/>
    <col min="4617" max="4617" width="10.85546875" style="1592" customWidth="1"/>
    <col min="4618" max="4865" width="9.140625" style="1592"/>
    <col min="4866" max="4866" width="6.5703125" style="1592" customWidth="1"/>
    <col min="4867" max="4867" width="47.42578125" style="1592" customWidth="1"/>
    <col min="4868" max="4868" width="5.85546875" style="1592" customWidth="1"/>
    <col min="4869" max="4869" width="9.5703125" style="1592" customWidth="1"/>
    <col min="4870" max="4870" width="11.7109375" style="1592" customWidth="1"/>
    <col min="4871" max="4871" width="11.42578125" style="1592" customWidth="1"/>
    <col min="4872" max="4872" width="10.42578125" style="1592" customWidth="1"/>
    <col min="4873" max="4873" width="10.85546875" style="1592" customWidth="1"/>
    <col min="4874" max="5121" width="9.140625" style="1592"/>
    <col min="5122" max="5122" width="6.5703125" style="1592" customWidth="1"/>
    <col min="5123" max="5123" width="47.42578125" style="1592" customWidth="1"/>
    <col min="5124" max="5124" width="5.85546875" style="1592" customWidth="1"/>
    <col min="5125" max="5125" width="9.5703125" style="1592" customWidth="1"/>
    <col min="5126" max="5126" width="11.7109375" style="1592" customWidth="1"/>
    <col min="5127" max="5127" width="11.42578125" style="1592" customWidth="1"/>
    <col min="5128" max="5128" width="10.42578125" style="1592" customWidth="1"/>
    <col min="5129" max="5129" width="10.85546875" style="1592" customWidth="1"/>
    <col min="5130" max="5377" width="9.140625" style="1592"/>
    <col min="5378" max="5378" width="6.5703125" style="1592" customWidth="1"/>
    <col min="5379" max="5379" width="47.42578125" style="1592" customWidth="1"/>
    <col min="5380" max="5380" width="5.85546875" style="1592" customWidth="1"/>
    <col min="5381" max="5381" width="9.5703125" style="1592" customWidth="1"/>
    <col min="5382" max="5382" width="11.7109375" style="1592" customWidth="1"/>
    <col min="5383" max="5383" width="11.42578125" style="1592" customWidth="1"/>
    <col min="5384" max="5384" width="10.42578125" style="1592" customWidth="1"/>
    <col min="5385" max="5385" width="10.85546875" style="1592" customWidth="1"/>
    <col min="5386" max="5633" width="9.140625" style="1592"/>
    <col min="5634" max="5634" width="6.5703125" style="1592" customWidth="1"/>
    <col min="5635" max="5635" width="47.42578125" style="1592" customWidth="1"/>
    <col min="5636" max="5636" width="5.85546875" style="1592" customWidth="1"/>
    <col min="5637" max="5637" width="9.5703125" style="1592" customWidth="1"/>
    <col min="5638" max="5638" width="11.7109375" style="1592" customWidth="1"/>
    <col min="5639" max="5639" width="11.42578125" style="1592" customWidth="1"/>
    <col min="5640" max="5640" width="10.42578125" style="1592" customWidth="1"/>
    <col min="5641" max="5641" width="10.85546875" style="1592" customWidth="1"/>
    <col min="5642" max="5889" width="9.140625" style="1592"/>
    <col min="5890" max="5890" width="6.5703125" style="1592" customWidth="1"/>
    <col min="5891" max="5891" width="47.42578125" style="1592" customWidth="1"/>
    <col min="5892" max="5892" width="5.85546875" style="1592" customWidth="1"/>
    <col min="5893" max="5893" width="9.5703125" style="1592" customWidth="1"/>
    <col min="5894" max="5894" width="11.7109375" style="1592" customWidth="1"/>
    <col min="5895" max="5895" width="11.42578125" style="1592" customWidth="1"/>
    <col min="5896" max="5896" width="10.42578125" style="1592" customWidth="1"/>
    <col min="5897" max="5897" width="10.85546875" style="1592" customWidth="1"/>
    <col min="5898" max="6145" width="9.140625" style="1592"/>
    <col min="6146" max="6146" width="6.5703125" style="1592" customWidth="1"/>
    <col min="6147" max="6147" width="47.42578125" style="1592" customWidth="1"/>
    <col min="6148" max="6148" width="5.85546875" style="1592" customWidth="1"/>
    <col min="6149" max="6149" width="9.5703125" style="1592" customWidth="1"/>
    <col min="6150" max="6150" width="11.7109375" style="1592" customWidth="1"/>
    <col min="6151" max="6151" width="11.42578125" style="1592" customWidth="1"/>
    <col min="6152" max="6152" width="10.42578125" style="1592" customWidth="1"/>
    <col min="6153" max="6153" width="10.85546875" style="1592" customWidth="1"/>
    <col min="6154" max="6401" width="9.140625" style="1592"/>
    <col min="6402" max="6402" width="6.5703125" style="1592" customWidth="1"/>
    <col min="6403" max="6403" width="47.42578125" style="1592" customWidth="1"/>
    <col min="6404" max="6404" width="5.85546875" style="1592" customWidth="1"/>
    <col min="6405" max="6405" width="9.5703125" style="1592" customWidth="1"/>
    <col min="6406" max="6406" width="11.7109375" style="1592" customWidth="1"/>
    <col min="6407" max="6407" width="11.42578125" style="1592" customWidth="1"/>
    <col min="6408" max="6408" width="10.42578125" style="1592" customWidth="1"/>
    <col min="6409" max="6409" width="10.85546875" style="1592" customWidth="1"/>
    <col min="6410" max="6657" width="9.140625" style="1592"/>
    <col min="6658" max="6658" width="6.5703125" style="1592" customWidth="1"/>
    <col min="6659" max="6659" width="47.42578125" style="1592" customWidth="1"/>
    <col min="6660" max="6660" width="5.85546875" style="1592" customWidth="1"/>
    <col min="6661" max="6661" width="9.5703125" style="1592" customWidth="1"/>
    <col min="6662" max="6662" width="11.7109375" style="1592" customWidth="1"/>
    <col min="6663" max="6663" width="11.42578125" style="1592" customWidth="1"/>
    <col min="6664" max="6664" width="10.42578125" style="1592" customWidth="1"/>
    <col min="6665" max="6665" width="10.85546875" style="1592" customWidth="1"/>
    <col min="6666" max="6913" width="9.140625" style="1592"/>
    <col min="6914" max="6914" width="6.5703125" style="1592" customWidth="1"/>
    <col min="6915" max="6915" width="47.42578125" style="1592" customWidth="1"/>
    <col min="6916" max="6916" width="5.85546875" style="1592" customWidth="1"/>
    <col min="6917" max="6917" width="9.5703125" style="1592" customWidth="1"/>
    <col min="6918" max="6918" width="11.7109375" style="1592" customWidth="1"/>
    <col min="6919" max="6919" width="11.42578125" style="1592" customWidth="1"/>
    <col min="6920" max="6920" width="10.42578125" style="1592" customWidth="1"/>
    <col min="6921" max="6921" width="10.85546875" style="1592" customWidth="1"/>
    <col min="6922" max="7169" width="9.140625" style="1592"/>
    <col min="7170" max="7170" width="6.5703125" style="1592" customWidth="1"/>
    <col min="7171" max="7171" width="47.42578125" style="1592" customWidth="1"/>
    <col min="7172" max="7172" width="5.85546875" style="1592" customWidth="1"/>
    <col min="7173" max="7173" width="9.5703125" style="1592" customWidth="1"/>
    <col min="7174" max="7174" width="11.7109375" style="1592" customWidth="1"/>
    <col min="7175" max="7175" width="11.42578125" style="1592" customWidth="1"/>
    <col min="7176" max="7176" width="10.42578125" style="1592" customWidth="1"/>
    <col min="7177" max="7177" width="10.85546875" style="1592" customWidth="1"/>
    <col min="7178" max="7425" width="9.140625" style="1592"/>
    <col min="7426" max="7426" width="6.5703125" style="1592" customWidth="1"/>
    <col min="7427" max="7427" width="47.42578125" style="1592" customWidth="1"/>
    <col min="7428" max="7428" width="5.85546875" style="1592" customWidth="1"/>
    <col min="7429" max="7429" width="9.5703125" style="1592" customWidth="1"/>
    <col min="7430" max="7430" width="11.7109375" style="1592" customWidth="1"/>
    <col min="7431" max="7431" width="11.42578125" style="1592" customWidth="1"/>
    <col min="7432" max="7432" width="10.42578125" style="1592" customWidth="1"/>
    <col min="7433" max="7433" width="10.85546875" style="1592" customWidth="1"/>
    <col min="7434" max="7681" width="9.140625" style="1592"/>
    <col min="7682" max="7682" width="6.5703125" style="1592" customWidth="1"/>
    <col min="7683" max="7683" width="47.42578125" style="1592" customWidth="1"/>
    <col min="7684" max="7684" width="5.85546875" style="1592" customWidth="1"/>
    <col min="7685" max="7685" width="9.5703125" style="1592" customWidth="1"/>
    <col min="7686" max="7686" width="11.7109375" style="1592" customWidth="1"/>
    <col min="7687" max="7687" width="11.42578125" style="1592" customWidth="1"/>
    <col min="7688" max="7688" width="10.42578125" style="1592" customWidth="1"/>
    <col min="7689" max="7689" width="10.85546875" style="1592" customWidth="1"/>
    <col min="7690" max="7937" width="9.140625" style="1592"/>
    <col min="7938" max="7938" width="6.5703125" style="1592" customWidth="1"/>
    <col min="7939" max="7939" width="47.42578125" style="1592" customWidth="1"/>
    <col min="7940" max="7940" width="5.85546875" style="1592" customWidth="1"/>
    <col min="7941" max="7941" width="9.5703125" style="1592" customWidth="1"/>
    <col min="7942" max="7942" width="11.7109375" style="1592" customWidth="1"/>
    <col min="7943" max="7943" width="11.42578125" style="1592" customWidth="1"/>
    <col min="7944" max="7944" width="10.42578125" style="1592" customWidth="1"/>
    <col min="7945" max="7945" width="10.85546875" style="1592" customWidth="1"/>
    <col min="7946" max="8193" width="9.140625" style="1592"/>
    <col min="8194" max="8194" width="6.5703125" style="1592" customWidth="1"/>
    <col min="8195" max="8195" width="47.42578125" style="1592" customWidth="1"/>
    <col min="8196" max="8196" width="5.85546875" style="1592" customWidth="1"/>
    <col min="8197" max="8197" width="9.5703125" style="1592" customWidth="1"/>
    <col min="8198" max="8198" width="11.7109375" style="1592" customWidth="1"/>
    <col min="8199" max="8199" width="11.42578125" style="1592" customWidth="1"/>
    <col min="8200" max="8200" width="10.42578125" style="1592" customWidth="1"/>
    <col min="8201" max="8201" width="10.85546875" style="1592" customWidth="1"/>
    <col min="8202" max="8449" width="9.140625" style="1592"/>
    <col min="8450" max="8450" width="6.5703125" style="1592" customWidth="1"/>
    <col min="8451" max="8451" width="47.42578125" style="1592" customWidth="1"/>
    <col min="8452" max="8452" width="5.85546875" style="1592" customWidth="1"/>
    <col min="8453" max="8453" width="9.5703125" style="1592" customWidth="1"/>
    <col min="8454" max="8454" width="11.7109375" style="1592" customWidth="1"/>
    <col min="8455" max="8455" width="11.42578125" style="1592" customWidth="1"/>
    <col min="8456" max="8456" width="10.42578125" style="1592" customWidth="1"/>
    <col min="8457" max="8457" width="10.85546875" style="1592" customWidth="1"/>
    <col min="8458" max="8705" width="9.140625" style="1592"/>
    <col min="8706" max="8706" width="6.5703125" style="1592" customWidth="1"/>
    <col min="8707" max="8707" width="47.42578125" style="1592" customWidth="1"/>
    <col min="8708" max="8708" width="5.85546875" style="1592" customWidth="1"/>
    <col min="8709" max="8709" width="9.5703125" style="1592" customWidth="1"/>
    <col min="8710" max="8710" width="11.7109375" style="1592" customWidth="1"/>
    <col min="8711" max="8711" width="11.42578125" style="1592" customWidth="1"/>
    <col min="8712" max="8712" width="10.42578125" style="1592" customWidth="1"/>
    <col min="8713" max="8713" width="10.85546875" style="1592" customWidth="1"/>
    <col min="8714" max="8961" width="9.140625" style="1592"/>
    <col min="8962" max="8962" width="6.5703125" style="1592" customWidth="1"/>
    <col min="8963" max="8963" width="47.42578125" style="1592" customWidth="1"/>
    <col min="8964" max="8964" width="5.85546875" style="1592" customWidth="1"/>
    <col min="8965" max="8965" width="9.5703125" style="1592" customWidth="1"/>
    <col min="8966" max="8966" width="11.7109375" style="1592" customWidth="1"/>
    <col min="8967" max="8967" width="11.42578125" style="1592" customWidth="1"/>
    <col min="8968" max="8968" width="10.42578125" style="1592" customWidth="1"/>
    <col min="8969" max="8969" width="10.85546875" style="1592" customWidth="1"/>
    <col min="8970" max="9217" width="9.140625" style="1592"/>
    <col min="9218" max="9218" width="6.5703125" style="1592" customWidth="1"/>
    <col min="9219" max="9219" width="47.42578125" style="1592" customWidth="1"/>
    <col min="9220" max="9220" width="5.85546875" style="1592" customWidth="1"/>
    <col min="9221" max="9221" width="9.5703125" style="1592" customWidth="1"/>
    <col min="9222" max="9222" width="11.7109375" style="1592" customWidth="1"/>
    <col min="9223" max="9223" width="11.42578125" style="1592" customWidth="1"/>
    <col min="9224" max="9224" width="10.42578125" style="1592" customWidth="1"/>
    <col min="9225" max="9225" width="10.85546875" style="1592" customWidth="1"/>
    <col min="9226" max="9473" width="9.140625" style="1592"/>
    <col min="9474" max="9474" width="6.5703125" style="1592" customWidth="1"/>
    <col min="9475" max="9475" width="47.42578125" style="1592" customWidth="1"/>
    <col min="9476" max="9476" width="5.85546875" style="1592" customWidth="1"/>
    <col min="9477" max="9477" width="9.5703125" style="1592" customWidth="1"/>
    <col min="9478" max="9478" width="11.7109375" style="1592" customWidth="1"/>
    <col min="9479" max="9479" width="11.42578125" style="1592" customWidth="1"/>
    <col min="9480" max="9480" width="10.42578125" style="1592" customWidth="1"/>
    <col min="9481" max="9481" width="10.85546875" style="1592" customWidth="1"/>
    <col min="9482" max="9729" width="9.140625" style="1592"/>
    <col min="9730" max="9730" width="6.5703125" style="1592" customWidth="1"/>
    <col min="9731" max="9731" width="47.42578125" style="1592" customWidth="1"/>
    <col min="9732" max="9732" width="5.85546875" style="1592" customWidth="1"/>
    <col min="9733" max="9733" width="9.5703125" style="1592" customWidth="1"/>
    <col min="9734" max="9734" width="11.7109375" style="1592" customWidth="1"/>
    <col min="9735" max="9735" width="11.42578125" style="1592" customWidth="1"/>
    <col min="9736" max="9736" width="10.42578125" style="1592" customWidth="1"/>
    <col min="9737" max="9737" width="10.85546875" style="1592" customWidth="1"/>
    <col min="9738" max="9985" width="9.140625" style="1592"/>
    <col min="9986" max="9986" width="6.5703125" style="1592" customWidth="1"/>
    <col min="9987" max="9987" width="47.42578125" style="1592" customWidth="1"/>
    <col min="9988" max="9988" width="5.85546875" style="1592" customWidth="1"/>
    <col min="9989" max="9989" width="9.5703125" style="1592" customWidth="1"/>
    <col min="9990" max="9990" width="11.7109375" style="1592" customWidth="1"/>
    <col min="9991" max="9991" width="11.42578125" style="1592" customWidth="1"/>
    <col min="9992" max="9992" width="10.42578125" style="1592" customWidth="1"/>
    <col min="9993" max="9993" width="10.85546875" style="1592" customWidth="1"/>
    <col min="9994" max="10241" width="9.140625" style="1592"/>
    <col min="10242" max="10242" width="6.5703125" style="1592" customWidth="1"/>
    <col min="10243" max="10243" width="47.42578125" style="1592" customWidth="1"/>
    <col min="10244" max="10244" width="5.85546875" style="1592" customWidth="1"/>
    <col min="10245" max="10245" width="9.5703125" style="1592" customWidth="1"/>
    <col min="10246" max="10246" width="11.7109375" style="1592" customWidth="1"/>
    <col min="10247" max="10247" width="11.42578125" style="1592" customWidth="1"/>
    <col min="10248" max="10248" width="10.42578125" style="1592" customWidth="1"/>
    <col min="10249" max="10249" width="10.85546875" style="1592" customWidth="1"/>
    <col min="10250" max="10497" width="9.140625" style="1592"/>
    <col min="10498" max="10498" width="6.5703125" style="1592" customWidth="1"/>
    <col min="10499" max="10499" width="47.42578125" style="1592" customWidth="1"/>
    <col min="10500" max="10500" width="5.85546875" style="1592" customWidth="1"/>
    <col min="10501" max="10501" width="9.5703125" style="1592" customWidth="1"/>
    <col min="10502" max="10502" width="11.7109375" style="1592" customWidth="1"/>
    <col min="10503" max="10503" width="11.42578125" style="1592" customWidth="1"/>
    <col min="10504" max="10504" width="10.42578125" style="1592" customWidth="1"/>
    <col min="10505" max="10505" width="10.85546875" style="1592" customWidth="1"/>
    <col min="10506" max="10753" width="9.140625" style="1592"/>
    <col min="10754" max="10754" width="6.5703125" style="1592" customWidth="1"/>
    <col min="10755" max="10755" width="47.42578125" style="1592" customWidth="1"/>
    <col min="10756" max="10756" width="5.85546875" style="1592" customWidth="1"/>
    <col min="10757" max="10757" width="9.5703125" style="1592" customWidth="1"/>
    <col min="10758" max="10758" width="11.7109375" style="1592" customWidth="1"/>
    <col min="10759" max="10759" width="11.42578125" style="1592" customWidth="1"/>
    <col min="10760" max="10760" width="10.42578125" style="1592" customWidth="1"/>
    <col min="10761" max="10761" width="10.85546875" style="1592" customWidth="1"/>
    <col min="10762" max="11009" width="9.140625" style="1592"/>
    <col min="11010" max="11010" width="6.5703125" style="1592" customWidth="1"/>
    <col min="11011" max="11011" width="47.42578125" style="1592" customWidth="1"/>
    <col min="11012" max="11012" width="5.85546875" style="1592" customWidth="1"/>
    <col min="11013" max="11013" width="9.5703125" style="1592" customWidth="1"/>
    <col min="11014" max="11014" width="11.7109375" style="1592" customWidth="1"/>
    <col min="11015" max="11015" width="11.42578125" style="1592" customWidth="1"/>
    <col min="11016" max="11016" width="10.42578125" style="1592" customWidth="1"/>
    <col min="11017" max="11017" width="10.85546875" style="1592" customWidth="1"/>
    <col min="11018" max="11265" width="9.140625" style="1592"/>
    <col min="11266" max="11266" width="6.5703125" style="1592" customWidth="1"/>
    <col min="11267" max="11267" width="47.42578125" style="1592" customWidth="1"/>
    <col min="11268" max="11268" width="5.85546875" style="1592" customWidth="1"/>
    <col min="11269" max="11269" width="9.5703125" style="1592" customWidth="1"/>
    <col min="11270" max="11270" width="11.7109375" style="1592" customWidth="1"/>
    <col min="11271" max="11271" width="11.42578125" style="1592" customWidth="1"/>
    <col min="11272" max="11272" width="10.42578125" style="1592" customWidth="1"/>
    <col min="11273" max="11273" width="10.85546875" style="1592" customWidth="1"/>
    <col min="11274" max="11521" width="9.140625" style="1592"/>
    <col min="11522" max="11522" width="6.5703125" style="1592" customWidth="1"/>
    <col min="11523" max="11523" width="47.42578125" style="1592" customWidth="1"/>
    <col min="11524" max="11524" width="5.85546875" style="1592" customWidth="1"/>
    <col min="11525" max="11525" width="9.5703125" style="1592" customWidth="1"/>
    <col min="11526" max="11526" width="11.7109375" style="1592" customWidth="1"/>
    <col min="11527" max="11527" width="11.42578125" style="1592" customWidth="1"/>
    <col min="11528" max="11528" width="10.42578125" style="1592" customWidth="1"/>
    <col min="11529" max="11529" width="10.85546875" style="1592" customWidth="1"/>
    <col min="11530" max="11777" width="9.140625" style="1592"/>
    <col min="11778" max="11778" width="6.5703125" style="1592" customWidth="1"/>
    <col min="11779" max="11779" width="47.42578125" style="1592" customWidth="1"/>
    <col min="11780" max="11780" width="5.85546875" style="1592" customWidth="1"/>
    <col min="11781" max="11781" width="9.5703125" style="1592" customWidth="1"/>
    <col min="11782" max="11782" width="11.7109375" style="1592" customWidth="1"/>
    <col min="11783" max="11783" width="11.42578125" style="1592" customWidth="1"/>
    <col min="11784" max="11784" width="10.42578125" style="1592" customWidth="1"/>
    <col min="11785" max="11785" width="10.85546875" style="1592" customWidth="1"/>
    <col min="11786" max="12033" width="9.140625" style="1592"/>
    <col min="12034" max="12034" width="6.5703125" style="1592" customWidth="1"/>
    <col min="12035" max="12035" width="47.42578125" style="1592" customWidth="1"/>
    <col min="12036" max="12036" width="5.85546875" style="1592" customWidth="1"/>
    <col min="12037" max="12037" width="9.5703125" style="1592" customWidth="1"/>
    <col min="12038" max="12038" width="11.7109375" style="1592" customWidth="1"/>
    <col min="12039" max="12039" width="11.42578125" style="1592" customWidth="1"/>
    <col min="12040" max="12040" width="10.42578125" style="1592" customWidth="1"/>
    <col min="12041" max="12041" width="10.85546875" style="1592" customWidth="1"/>
    <col min="12042" max="12289" width="9.140625" style="1592"/>
    <col min="12290" max="12290" width="6.5703125" style="1592" customWidth="1"/>
    <col min="12291" max="12291" width="47.42578125" style="1592" customWidth="1"/>
    <col min="12292" max="12292" width="5.85546875" style="1592" customWidth="1"/>
    <col min="12293" max="12293" width="9.5703125" style="1592" customWidth="1"/>
    <col min="12294" max="12294" width="11.7109375" style="1592" customWidth="1"/>
    <col min="12295" max="12295" width="11.42578125" style="1592" customWidth="1"/>
    <col min="12296" max="12296" width="10.42578125" style="1592" customWidth="1"/>
    <col min="12297" max="12297" width="10.85546875" style="1592" customWidth="1"/>
    <col min="12298" max="12545" width="9.140625" style="1592"/>
    <col min="12546" max="12546" width="6.5703125" style="1592" customWidth="1"/>
    <col min="12547" max="12547" width="47.42578125" style="1592" customWidth="1"/>
    <col min="12548" max="12548" width="5.85546875" style="1592" customWidth="1"/>
    <col min="12549" max="12549" width="9.5703125" style="1592" customWidth="1"/>
    <col min="12550" max="12550" width="11.7109375" style="1592" customWidth="1"/>
    <col min="12551" max="12551" width="11.42578125" style="1592" customWidth="1"/>
    <col min="12552" max="12552" width="10.42578125" style="1592" customWidth="1"/>
    <col min="12553" max="12553" width="10.85546875" style="1592" customWidth="1"/>
    <col min="12554" max="12801" width="9.140625" style="1592"/>
    <col min="12802" max="12802" width="6.5703125" style="1592" customWidth="1"/>
    <col min="12803" max="12803" width="47.42578125" style="1592" customWidth="1"/>
    <col min="12804" max="12804" width="5.85546875" style="1592" customWidth="1"/>
    <col min="12805" max="12805" width="9.5703125" style="1592" customWidth="1"/>
    <col min="12806" max="12806" width="11.7109375" style="1592" customWidth="1"/>
    <col min="12807" max="12807" width="11.42578125" style="1592" customWidth="1"/>
    <col min="12808" max="12808" width="10.42578125" style="1592" customWidth="1"/>
    <col min="12809" max="12809" width="10.85546875" style="1592" customWidth="1"/>
    <col min="12810" max="13057" width="9.140625" style="1592"/>
    <col min="13058" max="13058" width="6.5703125" style="1592" customWidth="1"/>
    <col min="13059" max="13059" width="47.42578125" style="1592" customWidth="1"/>
    <col min="13060" max="13060" width="5.85546875" style="1592" customWidth="1"/>
    <col min="13061" max="13061" width="9.5703125" style="1592" customWidth="1"/>
    <col min="13062" max="13062" width="11.7109375" style="1592" customWidth="1"/>
    <col min="13063" max="13063" width="11.42578125" style="1592" customWidth="1"/>
    <col min="13064" max="13064" width="10.42578125" style="1592" customWidth="1"/>
    <col min="13065" max="13065" width="10.85546875" style="1592" customWidth="1"/>
    <col min="13066" max="13313" width="9.140625" style="1592"/>
    <col min="13314" max="13314" width="6.5703125" style="1592" customWidth="1"/>
    <col min="13315" max="13315" width="47.42578125" style="1592" customWidth="1"/>
    <col min="13316" max="13316" width="5.85546875" style="1592" customWidth="1"/>
    <col min="13317" max="13317" width="9.5703125" style="1592" customWidth="1"/>
    <col min="13318" max="13318" width="11.7109375" style="1592" customWidth="1"/>
    <col min="13319" max="13319" width="11.42578125" style="1592" customWidth="1"/>
    <col min="13320" max="13320" width="10.42578125" style="1592" customWidth="1"/>
    <col min="13321" max="13321" width="10.85546875" style="1592" customWidth="1"/>
    <col min="13322" max="13569" width="9.140625" style="1592"/>
    <col min="13570" max="13570" width="6.5703125" style="1592" customWidth="1"/>
    <col min="13571" max="13571" width="47.42578125" style="1592" customWidth="1"/>
    <col min="13572" max="13572" width="5.85546875" style="1592" customWidth="1"/>
    <col min="13573" max="13573" width="9.5703125" style="1592" customWidth="1"/>
    <col min="13574" max="13574" width="11.7109375" style="1592" customWidth="1"/>
    <col min="13575" max="13575" width="11.42578125" style="1592" customWidth="1"/>
    <col min="13576" max="13576" width="10.42578125" style="1592" customWidth="1"/>
    <col min="13577" max="13577" width="10.85546875" style="1592" customWidth="1"/>
    <col min="13578" max="13825" width="9.140625" style="1592"/>
    <col min="13826" max="13826" width="6.5703125" style="1592" customWidth="1"/>
    <col min="13827" max="13827" width="47.42578125" style="1592" customWidth="1"/>
    <col min="13828" max="13828" width="5.85546875" style="1592" customWidth="1"/>
    <col min="13829" max="13829" width="9.5703125" style="1592" customWidth="1"/>
    <col min="13830" max="13830" width="11.7109375" style="1592" customWidth="1"/>
    <col min="13831" max="13831" width="11.42578125" style="1592" customWidth="1"/>
    <col min="13832" max="13832" width="10.42578125" style="1592" customWidth="1"/>
    <col min="13833" max="13833" width="10.85546875" style="1592" customWidth="1"/>
    <col min="13834" max="14081" width="9.140625" style="1592"/>
    <col min="14082" max="14082" width="6.5703125" style="1592" customWidth="1"/>
    <col min="14083" max="14083" width="47.42578125" style="1592" customWidth="1"/>
    <col min="14084" max="14084" width="5.85546875" style="1592" customWidth="1"/>
    <col min="14085" max="14085" width="9.5703125" style="1592" customWidth="1"/>
    <col min="14086" max="14086" width="11.7109375" style="1592" customWidth="1"/>
    <col min="14087" max="14087" width="11.42578125" style="1592" customWidth="1"/>
    <col min="14088" max="14088" width="10.42578125" style="1592" customWidth="1"/>
    <col min="14089" max="14089" width="10.85546875" style="1592" customWidth="1"/>
    <col min="14090" max="14337" width="9.140625" style="1592"/>
    <col min="14338" max="14338" width="6.5703125" style="1592" customWidth="1"/>
    <col min="14339" max="14339" width="47.42578125" style="1592" customWidth="1"/>
    <col min="14340" max="14340" width="5.85546875" style="1592" customWidth="1"/>
    <col min="14341" max="14341" width="9.5703125" style="1592" customWidth="1"/>
    <col min="14342" max="14342" width="11.7109375" style="1592" customWidth="1"/>
    <col min="14343" max="14343" width="11.42578125" style="1592" customWidth="1"/>
    <col min="14344" max="14344" width="10.42578125" style="1592" customWidth="1"/>
    <col min="14345" max="14345" width="10.85546875" style="1592" customWidth="1"/>
    <col min="14346" max="14593" width="9.140625" style="1592"/>
    <col min="14594" max="14594" width="6.5703125" style="1592" customWidth="1"/>
    <col min="14595" max="14595" width="47.42578125" style="1592" customWidth="1"/>
    <col min="14596" max="14596" width="5.85546875" style="1592" customWidth="1"/>
    <col min="14597" max="14597" width="9.5703125" style="1592" customWidth="1"/>
    <col min="14598" max="14598" width="11.7109375" style="1592" customWidth="1"/>
    <col min="14599" max="14599" width="11.42578125" style="1592" customWidth="1"/>
    <col min="14600" max="14600" width="10.42578125" style="1592" customWidth="1"/>
    <col min="14601" max="14601" width="10.85546875" style="1592" customWidth="1"/>
    <col min="14602" max="14849" width="9.140625" style="1592"/>
    <col min="14850" max="14850" width="6.5703125" style="1592" customWidth="1"/>
    <col min="14851" max="14851" width="47.42578125" style="1592" customWidth="1"/>
    <col min="14852" max="14852" width="5.85546875" style="1592" customWidth="1"/>
    <col min="14853" max="14853" width="9.5703125" style="1592" customWidth="1"/>
    <col min="14854" max="14854" width="11.7109375" style="1592" customWidth="1"/>
    <col min="14855" max="14855" width="11.42578125" style="1592" customWidth="1"/>
    <col min="14856" max="14856" width="10.42578125" style="1592" customWidth="1"/>
    <col min="14857" max="14857" width="10.85546875" style="1592" customWidth="1"/>
    <col min="14858" max="15105" width="9.140625" style="1592"/>
    <col min="15106" max="15106" width="6.5703125" style="1592" customWidth="1"/>
    <col min="15107" max="15107" width="47.42578125" style="1592" customWidth="1"/>
    <col min="15108" max="15108" width="5.85546875" style="1592" customWidth="1"/>
    <col min="15109" max="15109" width="9.5703125" style="1592" customWidth="1"/>
    <col min="15110" max="15110" width="11.7109375" style="1592" customWidth="1"/>
    <col min="15111" max="15111" width="11.42578125" style="1592" customWidth="1"/>
    <col min="15112" max="15112" width="10.42578125" style="1592" customWidth="1"/>
    <col min="15113" max="15113" width="10.85546875" style="1592" customWidth="1"/>
    <col min="15114" max="15361" width="9.140625" style="1592"/>
    <col min="15362" max="15362" width="6.5703125" style="1592" customWidth="1"/>
    <col min="15363" max="15363" width="47.42578125" style="1592" customWidth="1"/>
    <col min="15364" max="15364" width="5.85546875" style="1592" customWidth="1"/>
    <col min="15365" max="15365" width="9.5703125" style="1592" customWidth="1"/>
    <col min="15366" max="15366" width="11.7109375" style="1592" customWidth="1"/>
    <col min="15367" max="15367" width="11.42578125" style="1592" customWidth="1"/>
    <col min="15368" max="15368" width="10.42578125" style="1592" customWidth="1"/>
    <col min="15369" max="15369" width="10.85546875" style="1592" customWidth="1"/>
    <col min="15370" max="15617" width="9.140625" style="1592"/>
    <col min="15618" max="15618" width="6.5703125" style="1592" customWidth="1"/>
    <col min="15619" max="15619" width="47.42578125" style="1592" customWidth="1"/>
    <col min="15620" max="15620" width="5.85546875" style="1592" customWidth="1"/>
    <col min="15621" max="15621" width="9.5703125" style="1592" customWidth="1"/>
    <col min="15622" max="15622" width="11.7109375" style="1592" customWidth="1"/>
    <col min="15623" max="15623" width="11.42578125" style="1592" customWidth="1"/>
    <col min="15624" max="15624" width="10.42578125" style="1592" customWidth="1"/>
    <col min="15625" max="15625" width="10.85546875" style="1592" customWidth="1"/>
    <col min="15626" max="15873" width="9.140625" style="1592"/>
    <col min="15874" max="15874" width="6.5703125" style="1592" customWidth="1"/>
    <col min="15875" max="15875" width="47.42578125" style="1592" customWidth="1"/>
    <col min="15876" max="15876" width="5.85546875" style="1592" customWidth="1"/>
    <col min="15877" max="15877" width="9.5703125" style="1592" customWidth="1"/>
    <col min="15878" max="15878" width="11.7109375" style="1592" customWidth="1"/>
    <col min="15879" max="15879" width="11.42578125" style="1592" customWidth="1"/>
    <col min="15880" max="15880" width="10.42578125" style="1592" customWidth="1"/>
    <col min="15881" max="15881" width="10.85546875" style="1592" customWidth="1"/>
    <col min="15882" max="16129" width="9.140625" style="1592"/>
    <col min="16130" max="16130" width="6.5703125" style="1592" customWidth="1"/>
    <col min="16131" max="16131" width="47.42578125" style="1592" customWidth="1"/>
    <col min="16132" max="16132" width="5.85546875" style="1592" customWidth="1"/>
    <col min="16133" max="16133" width="9.5703125" style="1592" customWidth="1"/>
    <col min="16134" max="16134" width="11.7109375" style="1592" customWidth="1"/>
    <col min="16135" max="16135" width="11.42578125" style="1592" customWidth="1"/>
    <col min="16136" max="16136" width="10.42578125" style="1592" customWidth="1"/>
    <col min="16137" max="16137" width="10.85546875" style="1592" customWidth="1"/>
    <col min="16138" max="16384" width="9.140625" style="1592"/>
  </cols>
  <sheetData>
    <row r="1" spans="2:19" s="340" customFormat="1">
      <c r="B1" s="1286" t="s">
        <v>1257</v>
      </c>
      <c r="D1" s="1286"/>
      <c r="E1" s="1286"/>
      <c r="F1" s="1286"/>
      <c r="G1" s="1286"/>
      <c r="H1" s="1286"/>
      <c r="J1" s="1328"/>
      <c r="K1" s="1328"/>
      <c r="Q1" s="341"/>
      <c r="R1" s="341"/>
    </row>
    <row r="2" spans="2:19" s="340" customFormat="1">
      <c r="B2" s="1286" t="s">
        <v>1208</v>
      </c>
      <c r="D2" s="1286"/>
      <c r="E2" s="1286"/>
      <c r="F2" s="1286"/>
      <c r="G2" s="1329"/>
      <c r="H2" s="1329"/>
      <c r="Q2" s="341"/>
      <c r="R2" s="341"/>
    </row>
    <row r="3" spans="2:19" s="340" customFormat="1">
      <c r="B3" s="1286" t="s">
        <v>1258</v>
      </c>
      <c r="D3" s="1286"/>
      <c r="E3" s="1286"/>
      <c r="F3" s="1286"/>
      <c r="G3" s="1329" t="s">
        <v>1805</v>
      </c>
      <c r="H3" s="1329"/>
      <c r="J3" s="1329"/>
      <c r="Q3" s="1287"/>
      <c r="R3" s="1287"/>
    </row>
    <row r="4" spans="2:19" s="340" customFormat="1">
      <c r="B4" s="1286" t="s">
        <v>1209</v>
      </c>
      <c r="D4" s="1286"/>
      <c r="E4" s="1286"/>
      <c r="F4" s="1286"/>
      <c r="G4" s="1286"/>
      <c r="H4" s="1286"/>
      <c r="J4" s="1286"/>
      <c r="K4" s="1286"/>
      <c r="Q4" s="341"/>
      <c r="R4" s="341"/>
      <c r="S4" s="341"/>
    </row>
    <row r="5" spans="2:19" s="340" customFormat="1" ht="16.5" thickBot="1">
      <c r="B5" s="1286"/>
      <c r="D5" s="1286"/>
      <c r="E5" s="1286"/>
      <c r="F5" s="1286"/>
      <c r="G5" s="1286"/>
      <c r="H5" s="1286"/>
      <c r="J5" s="1286"/>
      <c r="K5" s="1286"/>
      <c r="Q5" s="341"/>
      <c r="R5" s="341"/>
      <c r="S5" s="341"/>
    </row>
    <row r="6" spans="2:19" ht="14.25" customHeight="1" thickTop="1">
      <c r="B6" s="2340" t="s">
        <v>1492</v>
      </c>
      <c r="C6" s="2341" t="s">
        <v>0</v>
      </c>
      <c r="D6" s="2341" t="s">
        <v>1491</v>
      </c>
      <c r="E6" s="2343" t="s">
        <v>1307</v>
      </c>
      <c r="F6" s="2344"/>
      <c r="G6" s="2345"/>
      <c r="H6" s="2343" t="s">
        <v>1308</v>
      </c>
      <c r="I6" s="2346"/>
    </row>
    <row r="7" spans="2:19" ht="16.5" thickBot="1">
      <c r="B7" s="2266"/>
      <c r="C7" s="2342"/>
      <c r="D7" s="2342"/>
      <c r="E7" s="1289" t="s">
        <v>1487</v>
      </c>
      <c r="F7" s="1289" t="s">
        <v>1488</v>
      </c>
      <c r="G7" s="1289" t="s">
        <v>1486</v>
      </c>
      <c r="H7" s="1289" t="s">
        <v>1487</v>
      </c>
      <c r="I7" s="1559" t="s">
        <v>1486</v>
      </c>
    </row>
    <row r="8" spans="2:19" ht="16.5" thickTop="1">
      <c r="B8" s="1593"/>
      <c r="C8" s="1594" t="s">
        <v>1485</v>
      </c>
      <c r="D8" s="1595"/>
      <c r="E8" s="1595"/>
      <c r="F8" s="1596"/>
      <c r="G8" s="1595"/>
      <c r="H8" s="1595"/>
      <c r="I8" s="1597"/>
    </row>
    <row r="9" spans="2:19">
      <c r="B9" s="1598"/>
      <c r="C9" s="1599" t="s">
        <v>1484</v>
      </c>
      <c r="D9" s="1312"/>
      <c r="E9" s="1312"/>
      <c r="F9" s="1600"/>
      <c r="G9" s="1312"/>
      <c r="H9" s="1312"/>
      <c r="I9" s="1601"/>
    </row>
    <row r="10" spans="2:19" ht="18">
      <c r="B10" s="1513">
        <v>1.1000000000000001</v>
      </c>
      <c r="C10" s="1602" t="s">
        <v>1483</v>
      </c>
      <c r="D10" s="1292" t="s">
        <v>3201</v>
      </c>
      <c r="E10" s="1292">
        <v>39</v>
      </c>
      <c r="F10" s="1603">
        <v>50</v>
      </c>
      <c r="G10" s="1292">
        <f>E10*F10</f>
        <v>1950</v>
      </c>
      <c r="H10" s="1292">
        <v>42.25</v>
      </c>
      <c r="I10" s="1604">
        <f>F10*H10</f>
        <v>2112.5</v>
      </c>
    </row>
    <row r="11" spans="2:19" ht="18">
      <c r="B11" s="1293">
        <v>1.2</v>
      </c>
      <c r="C11" s="1294" t="s">
        <v>1482</v>
      </c>
      <c r="D11" s="1292" t="s">
        <v>3200</v>
      </c>
      <c r="E11" s="1292">
        <f>E10*1.5</f>
        <v>58.5</v>
      </c>
      <c r="F11" s="1603">
        <v>50</v>
      </c>
      <c r="G11" s="1292">
        <f t="shared" ref="G11:G74" si="0">E11*F11</f>
        <v>2925</v>
      </c>
      <c r="H11" s="1292">
        <v>20.010000000000002</v>
      </c>
      <c r="I11" s="1604">
        <f t="shared" ref="I11:I74" si="1">F11*H11</f>
        <v>1000.5000000000001</v>
      </c>
    </row>
    <row r="12" spans="2:19" ht="18">
      <c r="B12" s="1293">
        <v>1.3</v>
      </c>
      <c r="C12" s="1294" t="s">
        <v>1524</v>
      </c>
      <c r="D12" s="1292" t="s">
        <v>3200</v>
      </c>
      <c r="E12" s="1292">
        <f>E10*0.5</f>
        <v>19.5</v>
      </c>
      <c r="F12" s="1603">
        <v>40</v>
      </c>
      <c r="G12" s="1292">
        <f t="shared" si="0"/>
        <v>780</v>
      </c>
      <c r="H12" s="1292"/>
      <c r="I12" s="1604">
        <f t="shared" si="1"/>
        <v>0</v>
      </c>
    </row>
    <row r="13" spans="2:19" ht="18">
      <c r="B13" s="1513">
        <v>1.3</v>
      </c>
      <c r="C13" s="1313" t="s">
        <v>1480</v>
      </c>
      <c r="D13" s="1292" t="s">
        <v>3200</v>
      </c>
      <c r="E13" s="1292">
        <f>E11+E12</f>
        <v>78</v>
      </c>
      <c r="F13" s="1603">
        <v>40</v>
      </c>
      <c r="G13" s="1292">
        <f t="shared" si="0"/>
        <v>3120</v>
      </c>
      <c r="H13" s="1292">
        <v>15.52</v>
      </c>
      <c r="I13" s="1604">
        <f t="shared" si="1"/>
        <v>620.79999999999995</v>
      </c>
    </row>
    <row r="14" spans="2:19" ht="18">
      <c r="B14" s="1513">
        <v>1.4</v>
      </c>
      <c r="C14" s="1313" t="s">
        <v>1479</v>
      </c>
      <c r="D14" s="1292" t="s">
        <v>3200</v>
      </c>
      <c r="E14" s="1292">
        <f>E13</f>
        <v>78</v>
      </c>
      <c r="F14" s="1603">
        <v>15</v>
      </c>
      <c r="G14" s="1292">
        <f t="shared" si="0"/>
        <v>1170</v>
      </c>
      <c r="H14" s="1292">
        <v>32.68</v>
      </c>
      <c r="I14" s="1604">
        <f t="shared" si="1"/>
        <v>490.2</v>
      </c>
    </row>
    <row r="15" spans="2:19" ht="18">
      <c r="B15" s="1605">
        <v>1.5</v>
      </c>
      <c r="C15" s="1606" t="s">
        <v>1497</v>
      </c>
      <c r="D15" s="1301" t="s">
        <v>3201</v>
      </c>
      <c r="E15" s="1301">
        <v>14</v>
      </c>
      <c r="F15" s="1607">
        <v>280</v>
      </c>
      <c r="G15" s="1301">
        <f t="shared" si="0"/>
        <v>3920</v>
      </c>
      <c r="H15" s="1301">
        <v>16.25</v>
      </c>
      <c r="I15" s="1608">
        <f t="shared" si="1"/>
        <v>4550</v>
      </c>
    </row>
    <row r="16" spans="2:19" ht="16.5" thickBot="1">
      <c r="B16" s="1381"/>
      <c r="C16" s="1382" t="s">
        <v>1330</v>
      </c>
      <c r="D16" s="1322"/>
      <c r="E16" s="1322"/>
      <c r="F16" s="1383"/>
      <c r="G16" s="1322">
        <f>SUM(G10:G15)</f>
        <v>13865</v>
      </c>
      <c r="H16" s="1322"/>
      <c r="I16" s="1384">
        <f>SUM(I10:I15)</f>
        <v>8774</v>
      </c>
    </row>
    <row r="17" spans="2:9" ht="16.5" thickTop="1">
      <c r="B17" s="1515"/>
      <c r="C17" s="1609" t="s">
        <v>1477</v>
      </c>
      <c r="D17" s="1290"/>
      <c r="E17" s="1290"/>
      <c r="F17" s="1610"/>
      <c r="G17" s="1290"/>
      <c r="H17" s="1290"/>
      <c r="I17" s="1611"/>
    </row>
    <row r="18" spans="2:9" ht="18">
      <c r="B18" s="1513">
        <v>2.1</v>
      </c>
      <c r="C18" s="1313" t="s">
        <v>1476</v>
      </c>
      <c r="D18" s="1292" t="s">
        <v>3201</v>
      </c>
      <c r="E18" s="1292">
        <v>8</v>
      </c>
      <c r="F18" s="1603">
        <v>180</v>
      </c>
      <c r="G18" s="1292">
        <f t="shared" si="0"/>
        <v>1440</v>
      </c>
      <c r="H18" s="1292">
        <v>7.2</v>
      </c>
      <c r="I18" s="1604">
        <f t="shared" si="1"/>
        <v>1296</v>
      </c>
    </row>
    <row r="19" spans="2:9" ht="18">
      <c r="B19" s="1513">
        <v>2.2000000000000002</v>
      </c>
      <c r="C19" s="1313" t="s">
        <v>1474</v>
      </c>
      <c r="D19" s="1292" t="s">
        <v>3201</v>
      </c>
      <c r="E19" s="1292">
        <v>14</v>
      </c>
      <c r="F19" s="1603">
        <v>350</v>
      </c>
      <c r="G19" s="1292">
        <f t="shared" si="0"/>
        <v>4900</v>
      </c>
      <c r="H19" s="1292">
        <v>12.6</v>
      </c>
      <c r="I19" s="1604">
        <f t="shared" si="1"/>
        <v>4410</v>
      </c>
    </row>
    <row r="20" spans="2:9" ht="18">
      <c r="B20" s="1513">
        <v>2.2999999999999998</v>
      </c>
      <c r="C20" s="1313" t="s">
        <v>1526</v>
      </c>
      <c r="D20" s="1292" t="s">
        <v>3200</v>
      </c>
      <c r="E20" s="1292">
        <v>2</v>
      </c>
      <c r="F20" s="1603">
        <v>2400</v>
      </c>
      <c r="G20" s="1292">
        <f t="shared" si="0"/>
        <v>4800</v>
      </c>
      <c r="H20" s="1292">
        <v>2.04</v>
      </c>
      <c r="I20" s="1604">
        <f t="shared" si="1"/>
        <v>4896</v>
      </c>
    </row>
    <row r="21" spans="2:9">
      <c r="B21" s="1513"/>
      <c r="C21" s="1313" t="s">
        <v>1625</v>
      </c>
      <c r="D21" s="1292"/>
      <c r="E21" s="1292"/>
      <c r="F21" s="1603"/>
      <c r="G21" s="1292"/>
      <c r="H21" s="1292"/>
      <c r="I21" s="1604"/>
    </row>
    <row r="22" spans="2:9">
      <c r="B22" s="1513"/>
      <c r="C22" s="1313" t="s">
        <v>1666</v>
      </c>
      <c r="D22" s="1292"/>
      <c r="E22" s="1292"/>
      <c r="F22" s="1603"/>
      <c r="G22" s="1292"/>
      <c r="H22" s="1292"/>
      <c r="I22" s="1604"/>
    </row>
    <row r="23" spans="2:9" ht="18">
      <c r="B23" s="1513">
        <v>2.4</v>
      </c>
      <c r="C23" s="1313" t="s">
        <v>1</v>
      </c>
      <c r="D23" s="1292" t="s">
        <v>3201</v>
      </c>
      <c r="E23" s="1292">
        <v>15</v>
      </c>
      <c r="F23" s="1603">
        <v>150</v>
      </c>
      <c r="G23" s="1292">
        <f t="shared" si="0"/>
        <v>2250</v>
      </c>
      <c r="H23" s="1292">
        <v>12.32</v>
      </c>
      <c r="I23" s="1604">
        <f t="shared" si="1"/>
        <v>1848</v>
      </c>
    </row>
    <row r="24" spans="2:9" ht="18">
      <c r="B24" s="1513">
        <v>2.5</v>
      </c>
      <c r="C24" s="1313" t="s">
        <v>1528</v>
      </c>
      <c r="D24" s="1292" t="s">
        <v>3201</v>
      </c>
      <c r="E24" s="1292">
        <v>2</v>
      </c>
      <c r="F24" s="1603">
        <v>150</v>
      </c>
      <c r="G24" s="1292">
        <f t="shared" si="0"/>
        <v>300</v>
      </c>
      <c r="H24" s="1292">
        <v>2.7</v>
      </c>
      <c r="I24" s="1604">
        <f t="shared" si="1"/>
        <v>405</v>
      </c>
    </row>
    <row r="25" spans="2:9">
      <c r="B25" s="1513"/>
      <c r="C25" s="1313" t="s">
        <v>1454</v>
      </c>
      <c r="D25" s="1292"/>
      <c r="E25" s="1292"/>
      <c r="F25" s="1603"/>
      <c r="G25" s="1292"/>
      <c r="H25" s="1292"/>
      <c r="I25" s="1604"/>
    </row>
    <row r="26" spans="2:9">
      <c r="B26" s="1513"/>
      <c r="C26" s="1313" t="s">
        <v>1469</v>
      </c>
      <c r="D26" s="1292"/>
      <c r="E26" s="1292"/>
      <c r="F26" s="1603"/>
      <c r="G26" s="1292"/>
      <c r="H26" s="1292"/>
      <c r="I26" s="1604"/>
    </row>
    <row r="27" spans="2:9">
      <c r="B27" s="1513"/>
      <c r="C27" s="1313" t="s">
        <v>1498</v>
      </c>
      <c r="D27" s="1292"/>
      <c r="E27" s="1292"/>
      <c r="F27" s="1603"/>
      <c r="G27" s="1292"/>
      <c r="H27" s="1292"/>
      <c r="I27" s="1604"/>
    </row>
    <row r="28" spans="2:9">
      <c r="B28" s="1513">
        <v>2.6</v>
      </c>
      <c r="C28" s="1313" t="s">
        <v>1682</v>
      </c>
      <c r="D28" s="1292" t="s">
        <v>1450</v>
      </c>
      <c r="E28" s="1292">
        <v>122</v>
      </c>
      <c r="F28" s="1603">
        <v>32</v>
      </c>
      <c r="G28" s="1292">
        <f t="shared" si="0"/>
        <v>3904</v>
      </c>
      <c r="H28" s="1292"/>
      <c r="I28" s="1604">
        <f t="shared" si="1"/>
        <v>0</v>
      </c>
    </row>
    <row r="29" spans="2:9">
      <c r="B29" s="1293">
        <v>2.6</v>
      </c>
      <c r="C29" s="1294" t="s">
        <v>1467</v>
      </c>
      <c r="D29" s="1291" t="s">
        <v>1450</v>
      </c>
      <c r="E29" s="1292"/>
      <c r="F29" s="1603"/>
      <c r="G29" s="1292">
        <f t="shared" si="0"/>
        <v>0</v>
      </c>
      <c r="H29" s="1292">
        <v>105.49</v>
      </c>
      <c r="I29" s="1604">
        <f t="shared" si="1"/>
        <v>0</v>
      </c>
    </row>
    <row r="30" spans="2:9">
      <c r="B30" s="1513">
        <v>2.7</v>
      </c>
      <c r="C30" s="1313" t="s">
        <v>1451</v>
      </c>
      <c r="D30" s="1292" t="s">
        <v>1450</v>
      </c>
      <c r="E30" s="1292">
        <v>115</v>
      </c>
      <c r="F30" s="1603">
        <v>35</v>
      </c>
      <c r="G30" s="1292">
        <f t="shared" si="0"/>
        <v>4025</v>
      </c>
      <c r="H30" s="1292">
        <v>139.16</v>
      </c>
      <c r="I30" s="1604">
        <f t="shared" si="1"/>
        <v>4870.5999999999995</v>
      </c>
    </row>
    <row r="31" spans="2:9">
      <c r="B31" s="1513">
        <v>2.8</v>
      </c>
      <c r="C31" s="1313" t="s">
        <v>1529</v>
      </c>
      <c r="D31" s="1292" t="s">
        <v>1450</v>
      </c>
      <c r="E31" s="1292">
        <v>0</v>
      </c>
      <c r="F31" s="1603"/>
      <c r="G31" s="1292">
        <f t="shared" si="0"/>
        <v>0</v>
      </c>
      <c r="H31" s="1292"/>
      <c r="I31" s="1604">
        <f t="shared" si="1"/>
        <v>0</v>
      </c>
    </row>
    <row r="32" spans="2:9">
      <c r="B32" s="1513">
        <v>2.9</v>
      </c>
      <c r="C32" s="1313" t="s">
        <v>1466</v>
      </c>
      <c r="D32" s="1292" t="s">
        <v>1406</v>
      </c>
      <c r="E32" s="1292">
        <v>22</v>
      </c>
      <c r="F32" s="1603">
        <v>40</v>
      </c>
      <c r="G32" s="1292">
        <f t="shared" si="0"/>
        <v>880</v>
      </c>
      <c r="H32" s="1292">
        <v>14.4</v>
      </c>
      <c r="I32" s="1604">
        <f t="shared" si="1"/>
        <v>576</v>
      </c>
    </row>
    <row r="33" spans="2:9" ht="16.5" thickBot="1">
      <c r="B33" s="1381"/>
      <c r="C33" s="1382" t="s">
        <v>1330</v>
      </c>
      <c r="D33" s="1322"/>
      <c r="E33" s="1322"/>
      <c r="F33" s="1383"/>
      <c r="G33" s="1322">
        <f>SUM(G18:G32)</f>
        <v>22499</v>
      </c>
      <c r="H33" s="1322"/>
      <c r="I33" s="1384">
        <f>SUM(I18:I32)</f>
        <v>18301.599999999999</v>
      </c>
    </row>
    <row r="34" spans="2:9" ht="16.5" thickTop="1">
      <c r="B34" s="1514"/>
      <c r="C34" s="1612" t="s">
        <v>1465</v>
      </c>
      <c r="D34" s="1292"/>
      <c r="E34" s="1292"/>
      <c r="F34" s="1603"/>
      <c r="G34" s="1292"/>
      <c r="H34" s="1292"/>
      <c r="I34" s="1604"/>
    </row>
    <row r="35" spans="2:9" ht="18">
      <c r="B35" s="1513">
        <v>3.1</v>
      </c>
      <c r="C35" s="1313" t="s">
        <v>1464</v>
      </c>
      <c r="D35" s="1292" t="s">
        <v>3200</v>
      </c>
      <c r="E35" s="1292">
        <v>8</v>
      </c>
      <c r="F35" s="1603">
        <v>1000</v>
      </c>
      <c r="G35" s="1292">
        <f t="shared" si="0"/>
        <v>8000</v>
      </c>
      <c r="H35" s="1292">
        <v>3.9</v>
      </c>
      <c r="I35" s="1604">
        <f t="shared" si="1"/>
        <v>3900</v>
      </c>
    </row>
    <row r="36" spans="2:9" ht="15.75" customHeight="1">
      <c r="B36" s="1513">
        <v>3.2</v>
      </c>
      <c r="C36" s="1314" t="s">
        <v>1683</v>
      </c>
      <c r="D36" s="1292" t="s">
        <v>3200</v>
      </c>
      <c r="E36" s="1292">
        <v>3</v>
      </c>
      <c r="F36" s="1603">
        <v>1500</v>
      </c>
      <c r="G36" s="1292">
        <f t="shared" si="0"/>
        <v>4500</v>
      </c>
      <c r="H36" s="1292">
        <v>1.74</v>
      </c>
      <c r="I36" s="1604">
        <f t="shared" si="1"/>
        <v>2610</v>
      </c>
    </row>
    <row r="37" spans="2:9" ht="16.5" thickBot="1">
      <c r="B37" s="1381"/>
      <c r="C37" s="1382" t="s">
        <v>1330</v>
      </c>
      <c r="D37" s="1322"/>
      <c r="E37" s="1322"/>
      <c r="F37" s="1383"/>
      <c r="G37" s="1322">
        <f>SUM(G35:G36)</f>
        <v>12500</v>
      </c>
      <c r="H37" s="1322"/>
      <c r="I37" s="1384">
        <f>SUM(I35:I36)</f>
        <v>6510</v>
      </c>
    </row>
    <row r="38" spans="2:9" ht="16.5" thickTop="1">
      <c r="B38" s="1514"/>
      <c r="C38" s="1612" t="s">
        <v>1462</v>
      </c>
      <c r="D38" s="1292"/>
      <c r="E38" s="1292"/>
      <c r="F38" s="1603"/>
      <c r="G38" s="1292"/>
      <c r="H38" s="1292"/>
      <c r="I38" s="1604"/>
    </row>
    <row r="39" spans="2:9">
      <c r="B39" s="1514"/>
      <c r="C39" s="1612" t="s">
        <v>1461</v>
      </c>
      <c r="D39" s="1292"/>
      <c r="E39" s="1292"/>
      <c r="F39" s="1603"/>
      <c r="G39" s="1292"/>
      <c r="H39" s="1292"/>
      <c r="I39" s="1604"/>
    </row>
    <row r="40" spans="2:9">
      <c r="B40" s="1514"/>
      <c r="C40" s="1313" t="s">
        <v>1460</v>
      </c>
      <c r="D40" s="1292"/>
      <c r="E40" s="1292"/>
      <c r="F40" s="1603"/>
      <c r="G40" s="1292"/>
      <c r="H40" s="1292"/>
      <c r="I40" s="1604"/>
    </row>
    <row r="41" spans="2:9" ht="18">
      <c r="B41" s="1513">
        <v>1.1000000000000001</v>
      </c>
      <c r="C41" s="1313" t="s">
        <v>1459</v>
      </c>
      <c r="D41" s="1292" t="s">
        <v>3200</v>
      </c>
      <c r="E41" s="1292">
        <v>0.54</v>
      </c>
      <c r="F41" s="1603">
        <v>2400</v>
      </c>
      <c r="G41" s="1292">
        <f t="shared" si="0"/>
        <v>1296</v>
      </c>
      <c r="H41" s="1292">
        <f>'Gua. Super TOS'!D13</f>
        <v>0.43680000000000008</v>
      </c>
      <c r="I41" s="1604">
        <f t="shared" si="1"/>
        <v>1048.3200000000002</v>
      </c>
    </row>
    <row r="42" spans="2:9" ht="18">
      <c r="B42" s="1513">
        <v>1.2</v>
      </c>
      <c r="C42" s="1313" t="s">
        <v>1531</v>
      </c>
      <c r="D42" s="1292" t="s">
        <v>3200</v>
      </c>
      <c r="E42" s="1292">
        <v>1</v>
      </c>
      <c r="F42" s="1603">
        <v>2400</v>
      </c>
      <c r="G42" s="1292">
        <f t="shared" si="0"/>
        <v>2400</v>
      </c>
      <c r="H42" s="1292">
        <f>'Gua. Super TOS'!D24</f>
        <v>1.0680000000000001</v>
      </c>
      <c r="I42" s="1604">
        <f t="shared" si="1"/>
        <v>2563.2000000000003</v>
      </c>
    </row>
    <row r="43" spans="2:9">
      <c r="B43" s="1513"/>
      <c r="C43" s="1313" t="s">
        <v>1568</v>
      </c>
      <c r="D43" s="1292"/>
      <c r="E43" s="1292"/>
      <c r="F43" s="1603"/>
      <c r="G43" s="1292">
        <f t="shared" si="0"/>
        <v>0</v>
      </c>
      <c r="H43" s="1292"/>
      <c r="I43" s="1604">
        <f t="shared" si="1"/>
        <v>0</v>
      </c>
    </row>
    <row r="44" spans="2:9" ht="18">
      <c r="B44" s="1513">
        <v>1.3</v>
      </c>
      <c r="C44" s="1313" t="s">
        <v>1456</v>
      </c>
      <c r="D44" s="1292" t="s">
        <v>3201</v>
      </c>
      <c r="E44" s="1292">
        <v>8.7200000000000006</v>
      </c>
      <c r="F44" s="1603">
        <v>150</v>
      </c>
      <c r="G44" s="1292">
        <f t="shared" si="0"/>
        <v>1308</v>
      </c>
      <c r="H44" s="1292">
        <f>'Gua. Super TOS'!D30</f>
        <v>8.7360000000000007</v>
      </c>
      <c r="I44" s="1604">
        <f t="shared" si="1"/>
        <v>1310.4000000000001</v>
      </c>
    </row>
    <row r="45" spans="2:9" ht="18">
      <c r="B45" s="1513">
        <v>1.4</v>
      </c>
      <c r="C45" s="1313" t="s">
        <v>1455</v>
      </c>
      <c r="D45" s="1292" t="s">
        <v>3201</v>
      </c>
      <c r="E45" s="1292">
        <v>16</v>
      </c>
      <c r="F45" s="1603">
        <v>150</v>
      </c>
      <c r="G45" s="1292">
        <f t="shared" si="0"/>
        <v>2400</v>
      </c>
      <c r="H45" s="1292">
        <f>'Gua. Super TOS'!D42</f>
        <v>14.080000000000002</v>
      </c>
      <c r="I45" s="1604">
        <f t="shared" si="1"/>
        <v>2112.0000000000005</v>
      </c>
    </row>
    <row r="46" spans="2:9">
      <c r="B46" s="1513"/>
      <c r="C46" s="1313" t="s">
        <v>1454</v>
      </c>
      <c r="D46" s="1292"/>
      <c r="E46" s="1292"/>
      <c r="F46" s="1603"/>
      <c r="G46" s="1292"/>
      <c r="H46" s="1292"/>
      <c r="I46" s="1604"/>
    </row>
    <row r="47" spans="2:9">
      <c r="B47" s="1513"/>
      <c r="C47" s="1313" t="s">
        <v>1498</v>
      </c>
      <c r="D47" s="1292"/>
      <c r="E47" s="1292"/>
      <c r="F47" s="1603"/>
      <c r="G47" s="1292"/>
      <c r="H47" s="1292"/>
      <c r="I47" s="1604"/>
    </row>
    <row r="48" spans="2:9">
      <c r="B48" s="1513">
        <v>1.5</v>
      </c>
      <c r="C48" s="1313" t="s">
        <v>1453</v>
      </c>
      <c r="D48" s="1292" t="s">
        <v>1450</v>
      </c>
      <c r="E48" s="1292"/>
      <c r="F48" s="1603"/>
      <c r="G48" s="1292"/>
      <c r="H48" s="1292"/>
      <c r="I48" s="1604"/>
    </row>
    <row r="49" spans="2:9">
      <c r="B49" s="1513">
        <v>1.6</v>
      </c>
      <c r="C49" s="1313" t="s">
        <v>1452</v>
      </c>
      <c r="D49" s="1292" t="s">
        <v>1450</v>
      </c>
      <c r="E49" s="1292">
        <v>66</v>
      </c>
      <c r="F49" s="1603">
        <v>35</v>
      </c>
      <c r="G49" s="1292">
        <f t="shared" si="0"/>
        <v>2310</v>
      </c>
      <c r="H49" s="1292">
        <f>'Gua. Super TOS'!D45</f>
        <v>169.50144000000006</v>
      </c>
      <c r="I49" s="1604">
        <f t="shared" si="1"/>
        <v>5932.5504000000019</v>
      </c>
    </row>
    <row r="50" spans="2:9">
      <c r="B50" s="1513">
        <v>1.7</v>
      </c>
      <c r="C50" s="1313" t="s">
        <v>1532</v>
      </c>
      <c r="D50" s="1292" t="s">
        <v>1450</v>
      </c>
      <c r="E50" s="1292">
        <v>55</v>
      </c>
      <c r="F50" s="1603">
        <v>40</v>
      </c>
      <c r="G50" s="1292">
        <f t="shared" si="0"/>
        <v>2200</v>
      </c>
      <c r="H50" s="1292">
        <f>'Gua. Super TOS'!D48</f>
        <v>52.732500000000002</v>
      </c>
      <c r="I50" s="1604">
        <f t="shared" si="1"/>
        <v>2109.3000000000002</v>
      </c>
    </row>
    <row r="51" spans="2:9">
      <c r="B51" s="1513">
        <v>1.8</v>
      </c>
      <c r="C51" s="1313" t="s">
        <v>1529</v>
      </c>
      <c r="D51" s="1292" t="s">
        <v>1450</v>
      </c>
      <c r="E51" s="1292">
        <v>3</v>
      </c>
      <c r="F51" s="1603"/>
      <c r="G51" s="1292">
        <f t="shared" si="0"/>
        <v>0</v>
      </c>
      <c r="H51" s="1292"/>
      <c r="I51" s="1604">
        <f t="shared" si="1"/>
        <v>0</v>
      </c>
    </row>
    <row r="52" spans="2:9" ht="16.5" thickBot="1">
      <c r="B52" s="1381"/>
      <c r="C52" s="1382" t="s">
        <v>1330</v>
      </c>
      <c r="D52" s="1322"/>
      <c r="E52" s="1322"/>
      <c r="F52" s="1383"/>
      <c r="G52" s="1322">
        <f>SUM(G41:G51)</f>
        <v>11914</v>
      </c>
      <c r="H52" s="1322"/>
      <c r="I52" s="1384">
        <f>SUM(I41:I51)</f>
        <v>15075.770400000001</v>
      </c>
    </row>
    <row r="53" spans="2:9" ht="16.5" thickTop="1">
      <c r="B53" s="1514"/>
      <c r="C53" s="1613" t="s">
        <v>1449</v>
      </c>
      <c r="D53" s="1292"/>
      <c r="E53" s="1292"/>
      <c r="F53" s="1603"/>
      <c r="G53" s="1292"/>
      <c r="H53" s="1292"/>
      <c r="I53" s="1604"/>
    </row>
    <row r="54" spans="2:9" ht="18">
      <c r="B54" s="1513">
        <v>2.1</v>
      </c>
      <c r="C54" s="1313" t="s">
        <v>1447</v>
      </c>
      <c r="D54" s="1292" t="s">
        <v>3201</v>
      </c>
      <c r="E54" s="1292">
        <v>56</v>
      </c>
      <c r="F54" s="1603">
        <v>300</v>
      </c>
      <c r="G54" s="1292">
        <f t="shared" si="0"/>
        <v>16800</v>
      </c>
      <c r="H54" s="1292">
        <f>'Gua. Super TOS'!H19</f>
        <v>60.981999999999999</v>
      </c>
      <c r="I54" s="1604">
        <f t="shared" si="1"/>
        <v>18294.599999999999</v>
      </c>
    </row>
    <row r="55" spans="2:9" ht="18">
      <c r="B55" s="1513">
        <v>2.2000000000000002</v>
      </c>
      <c r="C55" s="1313" t="s">
        <v>1684</v>
      </c>
      <c r="D55" s="1292" t="s">
        <v>3201</v>
      </c>
      <c r="E55" s="1292">
        <v>16</v>
      </c>
      <c r="F55" s="1603">
        <v>300</v>
      </c>
      <c r="G55" s="1292">
        <f t="shared" si="0"/>
        <v>4800</v>
      </c>
      <c r="H55" s="1292"/>
      <c r="I55" s="1604">
        <f t="shared" si="1"/>
        <v>0</v>
      </c>
    </row>
    <row r="56" spans="2:9" ht="16.5" thickBot="1">
      <c r="B56" s="1381"/>
      <c r="C56" s="1382" t="s">
        <v>1330</v>
      </c>
      <c r="D56" s="1322"/>
      <c r="E56" s="1322"/>
      <c r="F56" s="1383"/>
      <c r="G56" s="1322">
        <f>SUM(G54:G55)</f>
        <v>21600</v>
      </c>
      <c r="H56" s="1322"/>
      <c r="I56" s="1384">
        <f>SUM(I54:I55)</f>
        <v>18294.599999999999</v>
      </c>
    </row>
    <row r="57" spans="2:9" ht="16.5" thickTop="1">
      <c r="B57" s="1514"/>
      <c r="C57" s="1612" t="s">
        <v>1443</v>
      </c>
      <c r="D57" s="1296"/>
      <c r="E57" s="1296"/>
      <c r="F57" s="1603"/>
      <c r="G57" s="1292"/>
      <c r="H57" s="1292"/>
      <c r="I57" s="1604"/>
    </row>
    <row r="58" spans="2:9" ht="18">
      <c r="B58" s="1513">
        <v>3.1</v>
      </c>
      <c r="C58" s="1313" t="s">
        <v>1685</v>
      </c>
      <c r="D58" s="1292" t="s">
        <v>3201</v>
      </c>
      <c r="E58" s="1292">
        <v>30</v>
      </c>
      <c r="F58" s="1603">
        <v>300</v>
      </c>
      <c r="G58" s="1292">
        <f t="shared" si="0"/>
        <v>9000</v>
      </c>
      <c r="H58" s="1292">
        <f>'Gua. Super TOS'!H25</f>
        <v>23.779999999999998</v>
      </c>
      <c r="I58" s="1604">
        <f t="shared" si="1"/>
        <v>7133.9999999999991</v>
      </c>
    </row>
    <row r="59" spans="2:9" ht="18">
      <c r="B59" s="1293">
        <v>3.2</v>
      </c>
      <c r="C59" s="1297" t="s">
        <v>1569</v>
      </c>
      <c r="D59" s="1291" t="s">
        <v>3201</v>
      </c>
      <c r="E59" s="1292">
        <v>20</v>
      </c>
      <c r="F59" s="1603">
        <v>320</v>
      </c>
      <c r="G59" s="1292">
        <f t="shared" si="0"/>
        <v>6400</v>
      </c>
      <c r="H59" s="1292">
        <f>'Gua. Super TOS'!H30</f>
        <v>2.9</v>
      </c>
      <c r="I59" s="1604">
        <f t="shared" si="1"/>
        <v>928</v>
      </c>
    </row>
    <row r="60" spans="2:9" ht="15.75" customHeight="1">
      <c r="B60" s="1293">
        <v>3.3</v>
      </c>
      <c r="C60" s="1298" t="s">
        <v>1439</v>
      </c>
      <c r="D60" s="1291" t="s">
        <v>1406</v>
      </c>
      <c r="E60" s="1292">
        <v>11</v>
      </c>
      <c r="F60" s="1603">
        <v>200</v>
      </c>
      <c r="G60" s="1292">
        <f t="shared" si="0"/>
        <v>2200</v>
      </c>
      <c r="H60" s="1292">
        <f>'Gua. Super TOS'!H34</f>
        <v>5.8</v>
      </c>
      <c r="I60" s="1604">
        <f t="shared" si="1"/>
        <v>1160</v>
      </c>
    </row>
    <row r="61" spans="2:9">
      <c r="B61" s="1513">
        <v>3.4</v>
      </c>
      <c r="C61" s="1313" t="s">
        <v>1536</v>
      </c>
      <c r="D61" s="1292" t="s">
        <v>1406</v>
      </c>
      <c r="E61" s="1292">
        <v>22</v>
      </c>
      <c r="F61" s="1603">
        <v>90</v>
      </c>
      <c r="G61" s="1292">
        <f t="shared" si="0"/>
        <v>1980</v>
      </c>
      <c r="H61" s="1292">
        <f>'Gua. Super TOS'!H43</f>
        <v>9.35</v>
      </c>
      <c r="I61" s="1604">
        <f t="shared" si="1"/>
        <v>841.5</v>
      </c>
    </row>
    <row r="62" spans="2:9" ht="16.5" thickBot="1">
      <c r="B62" s="1381"/>
      <c r="C62" s="1382" t="s">
        <v>1330</v>
      </c>
      <c r="D62" s="1322"/>
      <c r="E62" s="1322"/>
      <c r="F62" s="1383"/>
      <c r="G62" s="1322">
        <f>SUM(G58:G61)</f>
        <v>19580</v>
      </c>
      <c r="H62" s="1322"/>
      <c r="I62" s="1384">
        <f>SUM(I58:I61)</f>
        <v>10063.5</v>
      </c>
    </row>
    <row r="63" spans="2:9" ht="16.5" thickTop="1">
      <c r="B63" s="1514"/>
      <c r="C63" s="1612" t="s">
        <v>1438</v>
      </c>
      <c r="D63" s="1292"/>
      <c r="E63" s="1292"/>
      <c r="F63" s="1603"/>
      <c r="G63" s="1292"/>
      <c r="H63" s="1292"/>
      <c r="I63" s="1604"/>
    </row>
    <row r="64" spans="2:9">
      <c r="B64" s="1513">
        <v>4.0999999999999996</v>
      </c>
      <c r="C64" s="1313" t="s">
        <v>1501</v>
      </c>
      <c r="D64" s="1292" t="s">
        <v>1406</v>
      </c>
      <c r="E64" s="1292">
        <v>44</v>
      </c>
      <c r="F64" s="1603">
        <v>25</v>
      </c>
      <c r="G64" s="1292">
        <f t="shared" si="0"/>
        <v>1100</v>
      </c>
      <c r="H64" s="1292">
        <f>'Gua. Super TOS'!H49</f>
        <v>40</v>
      </c>
      <c r="I64" s="1604">
        <f t="shared" si="1"/>
        <v>1000</v>
      </c>
    </row>
    <row r="65" spans="2:9" ht="15.75" customHeight="1">
      <c r="B65" s="1513">
        <v>4.2</v>
      </c>
      <c r="C65" s="1314" t="s">
        <v>1537</v>
      </c>
      <c r="D65" s="1292" t="s">
        <v>1406</v>
      </c>
      <c r="E65" s="1292">
        <v>27</v>
      </c>
      <c r="F65" s="1603">
        <v>20</v>
      </c>
      <c r="G65" s="1292">
        <f t="shared" si="0"/>
        <v>540</v>
      </c>
      <c r="H65" s="1292">
        <f>'Gua. Super TOS'!H52</f>
        <v>31.200000000000003</v>
      </c>
      <c r="I65" s="1604">
        <f t="shared" si="1"/>
        <v>624</v>
      </c>
    </row>
    <row r="66" spans="2:9">
      <c r="B66" s="1513">
        <v>4.3</v>
      </c>
      <c r="C66" s="1313" t="s">
        <v>1435</v>
      </c>
      <c r="D66" s="1292" t="s">
        <v>1406</v>
      </c>
      <c r="E66" s="1292">
        <v>47</v>
      </c>
      <c r="F66" s="1603">
        <v>30</v>
      </c>
      <c r="G66" s="1292">
        <f t="shared" si="0"/>
        <v>1410</v>
      </c>
      <c r="H66" s="1292">
        <f>'Gua. Super TOS'!H56</f>
        <v>36</v>
      </c>
      <c r="I66" s="1604">
        <f t="shared" si="1"/>
        <v>1080</v>
      </c>
    </row>
    <row r="67" spans="2:9">
      <c r="B67" s="1513">
        <v>4.4000000000000004</v>
      </c>
      <c r="C67" s="1313" t="s">
        <v>1538</v>
      </c>
      <c r="D67" s="1292" t="s">
        <v>1406</v>
      </c>
      <c r="E67" s="1292">
        <v>11</v>
      </c>
      <c r="F67" s="1603">
        <v>70</v>
      </c>
      <c r="G67" s="1292">
        <f t="shared" si="0"/>
        <v>770</v>
      </c>
      <c r="H67" s="1292">
        <f>'Gua. Super TOS'!H64</f>
        <v>7</v>
      </c>
      <c r="I67" s="1604">
        <f t="shared" si="1"/>
        <v>490</v>
      </c>
    </row>
    <row r="68" spans="2:9" ht="16.5" thickBot="1">
      <c r="B68" s="1381"/>
      <c r="C68" s="1382" t="s">
        <v>1330</v>
      </c>
      <c r="D68" s="1322"/>
      <c r="E68" s="1322"/>
      <c r="F68" s="1383"/>
      <c r="G68" s="1322">
        <f>SUM(G64:G67)</f>
        <v>3820</v>
      </c>
      <c r="H68" s="1322"/>
      <c r="I68" s="1384">
        <f>SUM(I64:I67)</f>
        <v>3194</v>
      </c>
    </row>
    <row r="69" spans="2:9" ht="16.5" thickTop="1">
      <c r="B69" s="1514"/>
      <c r="C69" s="1612" t="s">
        <v>1428</v>
      </c>
      <c r="D69" s="1292"/>
      <c r="E69" s="1292"/>
      <c r="F69" s="1603"/>
      <c r="G69" s="1292"/>
      <c r="H69" s="1292"/>
      <c r="I69" s="1604"/>
    </row>
    <row r="70" spans="2:9">
      <c r="B70" s="1514"/>
      <c r="C70" s="1518" t="s">
        <v>1427</v>
      </c>
      <c r="D70" s="1292"/>
      <c r="E70" s="1292"/>
      <c r="F70" s="1603"/>
      <c r="G70" s="1292"/>
      <c r="H70" s="1292"/>
      <c r="I70" s="1604"/>
    </row>
    <row r="71" spans="2:9">
      <c r="B71" s="1513">
        <v>5.0999999999999996</v>
      </c>
      <c r="C71" s="1313" t="s">
        <v>1686</v>
      </c>
      <c r="D71" s="1292" t="s">
        <v>1416</v>
      </c>
      <c r="E71" s="1292">
        <v>3</v>
      </c>
      <c r="F71" s="1603">
        <v>1100</v>
      </c>
      <c r="G71" s="1292">
        <f t="shared" si="0"/>
        <v>3300</v>
      </c>
      <c r="H71" s="1292"/>
      <c r="I71" s="1604">
        <f t="shared" si="1"/>
        <v>0</v>
      </c>
    </row>
    <row r="72" spans="2:9">
      <c r="B72" s="1513"/>
      <c r="C72" s="1313" t="s">
        <v>1687</v>
      </c>
      <c r="D72" s="1292" t="s">
        <v>1416</v>
      </c>
      <c r="E72" s="1292">
        <v>2</v>
      </c>
      <c r="F72" s="1603">
        <v>2500</v>
      </c>
      <c r="G72" s="1292">
        <f t="shared" si="0"/>
        <v>5000</v>
      </c>
      <c r="H72" s="1292"/>
      <c r="I72" s="1604">
        <f t="shared" si="1"/>
        <v>0</v>
      </c>
    </row>
    <row r="73" spans="2:9">
      <c r="B73" s="1513"/>
      <c r="C73" s="1518" t="s">
        <v>1433</v>
      </c>
      <c r="D73" s="1292"/>
      <c r="E73" s="1292"/>
      <c r="F73" s="1603"/>
      <c r="G73" s="1292">
        <f t="shared" si="0"/>
        <v>0</v>
      </c>
      <c r="H73" s="1292"/>
      <c r="I73" s="1604">
        <f t="shared" si="1"/>
        <v>0</v>
      </c>
    </row>
    <row r="74" spans="2:9">
      <c r="B74" s="1513">
        <v>5.4</v>
      </c>
      <c r="C74" s="1313" t="s">
        <v>1688</v>
      </c>
      <c r="D74" s="1292" t="s">
        <v>1416</v>
      </c>
      <c r="E74" s="1292">
        <v>2</v>
      </c>
      <c r="F74" s="1603">
        <v>1500</v>
      </c>
      <c r="G74" s="1292">
        <f t="shared" si="0"/>
        <v>3000</v>
      </c>
      <c r="H74" s="1292"/>
      <c r="I74" s="1604">
        <f t="shared" si="1"/>
        <v>0</v>
      </c>
    </row>
    <row r="75" spans="2:9">
      <c r="B75" s="1513"/>
      <c r="C75" s="1313" t="s">
        <v>1689</v>
      </c>
      <c r="D75" s="1292" t="s">
        <v>1416</v>
      </c>
      <c r="E75" s="1292">
        <v>3</v>
      </c>
      <c r="F75" s="1603">
        <v>1400</v>
      </c>
      <c r="G75" s="1292">
        <f t="shared" ref="G75:G113" si="2">E75*F75</f>
        <v>4200</v>
      </c>
      <c r="H75" s="1292"/>
      <c r="I75" s="1604">
        <f t="shared" ref="I75:I113" si="3">F75*H75</f>
        <v>0</v>
      </c>
    </row>
    <row r="76" spans="2:9" ht="16.5" thickBot="1">
      <c r="B76" s="1381"/>
      <c r="C76" s="1382" t="s">
        <v>1330</v>
      </c>
      <c r="D76" s="1322"/>
      <c r="E76" s="1322"/>
      <c r="F76" s="1383"/>
      <c r="G76" s="1322">
        <f>SUM(G71:G75)</f>
        <v>15500</v>
      </c>
      <c r="H76" s="1322"/>
      <c r="I76" s="1384">
        <f>SUM(I71:I75)</f>
        <v>0</v>
      </c>
    </row>
    <row r="77" spans="2:9" ht="16.5" thickTop="1">
      <c r="B77" s="1514"/>
      <c r="C77" s="1612" t="s">
        <v>1415</v>
      </c>
      <c r="D77" s="1296"/>
      <c r="E77" s="1296"/>
      <c r="F77" s="1603"/>
      <c r="G77" s="1292"/>
      <c r="H77" s="1292"/>
      <c r="I77" s="1604"/>
    </row>
    <row r="78" spans="2:9" ht="18">
      <c r="B78" s="1293">
        <v>6.1</v>
      </c>
      <c r="C78" s="1300" t="s">
        <v>1690</v>
      </c>
      <c r="D78" s="1291" t="s">
        <v>3201</v>
      </c>
      <c r="E78" s="1292">
        <v>33</v>
      </c>
      <c r="F78" s="1603">
        <v>150</v>
      </c>
      <c r="G78" s="1292">
        <f t="shared" si="2"/>
        <v>4950</v>
      </c>
      <c r="H78" s="1292">
        <f>'Gua. Super TOS'!D86</f>
        <v>39.425999999999995</v>
      </c>
      <c r="I78" s="1604">
        <f t="shared" si="3"/>
        <v>5913.9</v>
      </c>
    </row>
    <row r="79" spans="2:9" ht="15" customHeight="1">
      <c r="B79" s="1293">
        <v>6.2</v>
      </c>
      <c r="C79" s="1614" t="s">
        <v>1691</v>
      </c>
      <c r="D79" s="1291" t="s">
        <v>3201</v>
      </c>
      <c r="E79" s="1292">
        <v>52</v>
      </c>
      <c r="F79" s="1603">
        <v>150</v>
      </c>
      <c r="G79" s="1292">
        <f t="shared" si="2"/>
        <v>7800</v>
      </c>
      <c r="H79" s="1292">
        <f>'Gua. Super TOS'!D120</f>
        <v>93.111999999999995</v>
      </c>
      <c r="I79" s="1604">
        <f t="shared" si="3"/>
        <v>13966.8</v>
      </c>
    </row>
    <row r="80" spans="2:9" ht="18">
      <c r="B80" s="1293">
        <v>6.4</v>
      </c>
      <c r="C80" s="1294" t="s">
        <v>1412</v>
      </c>
      <c r="D80" s="1291" t="s">
        <v>3201</v>
      </c>
      <c r="E80" s="1292">
        <v>14</v>
      </c>
      <c r="F80" s="1603">
        <v>200</v>
      </c>
      <c r="G80" s="1292">
        <f t="shared" si="2"/>
        <v>2800</v>
      </c>
      <c r="H80" s="1292">
        <f>'Gua. Super TOS'!H76</f>
        <v>16.299999999999997</v>
      </c>
      <c r="I80" s="1604">
        <f t="shared" si="3"/>
        <v>3259.9999999999995</v>
      </c>
    </row>
    <row r="81" spans="2:9" ht="13.5" customHeight="1">
      <c r="B81" s="1295">
        <v>6.1</v>
      </c>
      <c r="C81" s="1300" t="s">
        <v>1692</v>
      </c>
      <c r="D81" s="1291" t="s">
        <v>3201</v>
      </c>
      <c r="E81" s="1292">
        <v>14</v>
      </c>
      <c r="F81" s="1603">
        <v>280</v>
      </c>
      <c r="G81" s="1292">
        <f t="shared" si="2"/>
        <v>3920</v>
      </c>
      <c r="H81" s="1292"/>
      <c r="I81" s="1604">
        <f t="shared" si="3"/>
        <v>0</v>
      </c>
    </row>
    <row r="82" spans="2:9" ht="15.75" customHeight="1">
      <c r="B82" s="1514">
        <v>6.11</v>
      </c>
      <c r="C82" s="1314" t="s">
        <v>1630</v>
      </c>
      <c r="D82" s="1292" t="s">
        <v>1406</v>
      </c>
      <c r="E82" s="1292">
        <v>27</v>
      </c>
      <c r="F82" s="1603">
        <v>150</v>
      </c>
      <c r="G82" s="1292">
        <f t="shared" si="2"/>
        <v>4050</v>
      </c>
      <c r="H82" s="1292"/>
      <c r="I82" s="1604">
        <f t="shared" si="3"/>
        <v>0</v>
      </c>
    </row>
    <row r="83" spans="2:9" ht="15.75" customHeight="1">
      <c r="B83" s="1295">
        <v>6.16</v>
      </c>
      <c r="C83" s="1300" t="s">
        <v>1693</v>
      </c>
      <c r="D83" s="1292" t="s">
        <v>1406</v>
      </c>
      <c r="E83" s="1292">
        <v>4</v>
      </c>
      <c r="F83" s="1603">
        <v>150</v>
      </c>
      <c r="G83" s="1292">
        <f t="shared" si="2"/>
        <v>600</v>
      </c>
      <c r="H83" s="1292"/>
      <c r="I83" s="1604">
        <f t="shared" si="3"/>
        <v>0</v>
      </c>
    </row>
    <row r="84" spans="2:9" ht="15" customHeight="1">
      <c r="B84" s="1295">
        <v>6.21</v>
      </c>
      <c r="C84" s="1300" t="s">
        <v>1405</v>
      </c>
      <c r="D84" s="1292" t="s">
        <v>3201</v>
      </c>
      <c r="E84" s="1292">
        <v>42</v>
      </c>
      <c r="F84" s="1603">
        <v>360</v>
      </c>
      <c r="G84" s="1292">
        <f t="shared" si="2"/>
        <v>15120</v>
      </c>
      <c r="H84" s="1292">
        <f>'Gua. Super TOS'!H88</f>
        <v>29.05</v>
      </c>
      <c r="I84" s="1604">
        <f t="shared" si="3"/>
        <v>10458</v>
      </c>
    </row>
    <row r="85" spans="2:9" ht="15.75" customHeight="1" thickBot="1">
      <c r="B85" s="1381"/>
      <c r="C85" s="1382" t="s">
        <v>1330</v>
      </c>
      <c r="D85" s="1322"/>
      <c r="E85" s="1322"/>
      <c r="F85" s="1383"/>
      <c r="G85" s="1322">
        <f>SUM(G78:G84)</f>
        <v>39240</v>
      </c>
      <c r="H85" s="1322"/>
      <c r="I85" s="1384">
        <f>SUM(I78:I84)</f>
        <v>33598.699999999997</v>
      </c>
    </row>
    <row r="86" spans="2:9" ht="16.5" thickTop="1">
      <c r="B86" s="1514"/>
      <c r="C86" s="1612" t="s">
        <v>1401</v>
      </c>
      <c r="D86" s="1292"/>
      <c r="E86" s="1292"/>
      <c r="F86" s="1603"/>
      <c r="G86" s="1292"/>
      <c r="H86" s="1292"/>
      <c r="I86" s="1604"/>
    </row>
    <row r="87" spans="2:9" ht="18">
      <c r="B87" s="1513">
        <v>7.1</v>
      </c>
      <c r="C87" s="1294" t="s">
        <v>1398</v>
      </c>
      <c r="D87" s="1292" t="s">
        <v>3201</v>
      </c>
      <c r="E87" s="1292">
        <v>33</v>
      </c>
      <c r="F87" s="1603">
        <v>30</v>
      </c>
      <c r="G87" s="1292">
        <f t="shared" si="2"/>
        <v>990</v>
      </c>
      <c r="H87" s="1292">
        <f>'Gua. Super TOS'!H93</f>
        <v>39.425999999999995</v>
      </c>
      <c r="I87" s="1604">
        <f t="shared" si="3"/>
        <v>1182.7799999999997</v>
      </c>
    </row>
    <row r="88" spans="2:9" ht="18">
      <c r="B88" s="1293">
        <v>7.1</v>
      </c>
      <c r="C88" s="1294" t="s">
        <v>1400</v>
      </c>
      <c r="D88" s="1292" t="s">
        <v>3201</v>
      </c>
      <c r="E88" s="1292">
        <v>47</v>
      </c>
      <c r="F88" s="1603">
        <v>25</v>
      </c>
      <c r="G88" s="1292">
        <f t="shared" si="2"/>
        <v>1175</v>
      </c>
      <c r="H88" s="1292">
        <f>'Gua. Super TOS'!H97</f>
        <v>93.111999999999995</v>
      </c>
      <c r="I88" s="1604">
        <f t="shared" si="3"/>
        <v>2327.7999999999997</v>
      </c>
    </row>
    <row r="89" spans="2:9" ht="18">
      <c r="B89" s="1513">
        <v>7.3</v>
      </c>
      <c r="C89" s="1294" t="s">
        <v>1399</v>
      </c>
      <c r="D89" s="1292" t="s">
        <v>3201</v>
      </c>
      <c r="E89" s="1292">
        <v>14</v>
      </c>
      <c r="F89" s="1603">
        <v>27</v>
      </c>
      <c r="G89" s="1292">
        <f t="shared" si="2"/>
        <v>378</v>
      </c>
      <c r="H89" s="1292">
        <f>'Gua. Super TOS'!H101</f>
        <v>16.299999999999997</v>
      </c>
      <c r="I89" s="1604">
        <f t="shared" si="3"/>
        <v>440.09999999999991</v>
      </c>
    </row>
    <row r="90" spans="2:9" ht="16.5" thickBot="1">
      <c r="B90" s="1381"/>
      <c r="C90" s="1382" t="s">
        <v>1330</v>
      </c>
      <c r="D90" s="1322"/>
      <c r="E90" s="1322"/>
      <c r="F90" s="1383"/>
      <c r="G90" s="1322">
        <f>SUM(G87:G89)</f>
        <v>2543</v>
      </c>
      <c r="H90" s="1322"/>
      <c r="I90" s="1384">
        <f>SUM(I87:I89)</f>
        <v>3950.6799999999994</v>
      </c>
    </row>
    <row r="91" spans="2:9" ht="16.5" thickTop="1">
      <c r="B91" s="1615"/>
      <c r="C91" s="1612" t="s">
        <v>1397</v>
      </c>
      <c r="D91" s="1292"/>
      <c r="E91" s="1292"/>
      <c r="F91" s="1603"/>
      <c r="G91" s="1292"/>
      <c r="H91" s="1292"/>
      <c r="I91" s="1604"/>
    </row>
    <row r="92" spans="2:9" ht="18">
      <c r="B92" s="1293">
        <v>8.1999999999999993</v>
      </c>
      <c r="C92" s="1294" t="s">
        <v>1396</v>
      </c>
      <c r="D92" s="1292" t="s">
        <v>3201</v>
      </c>
      <c r="E92" s="1292">
        <v>20</v>
      </c>
      <c r="F92" s="1603">
        <v>280</v>
      </c>
      <c r="G92" s="1292">
        <f t="shared" si="2"/>
        <v>5600</v>
      </c>
      <c r="H92" s="1292"/>
      <c r="I92" s="1604">
        <f t="shared" si="3"/>
        <v>0</v>
      </c>
    </row>
    <row r="93" spans="2:9" ht="16.5" thickBot="1">
      <c r="B93" s="1381"/>
      <c r="C93" s="1382" t="s">
        <v>1330</v>
      </c>
      <c r="D93" s="1322"/>
      <c r="E93" s="1322"/>
      <c r="F93" s="1383"/>
      <c r="G93" s="1322">
        <f>SUM(G92)</f>
        <v>5600</v>
      </c>
      <c r="H93" s="1322"/>
      <c r="I93" s="1384">
        <f>SUM(I92)</f>
        <v>0</v>
      </c>
    </row>
    <row r="94" spans="2:9" ht="16.5" thickTop="1">
      <c r="B94" s="1616">
        <v>8</v>
      </c>
      <c r="C94" s="1518" t="s">
        <v>1632</v>
      </c>
      <c r="D94" s="1305"/>
      <c r="E94" s="1305"/>
      <c r="F94" s="1603"/>
      <c r="G94" s="1292"/>
      <c r="H94" s="1292"/>
      <c r="I94" s="1604"/>
    </row>
    <row r="95" spans="2:9" ht="18">
      <c r="B95" s="1616">
        <v>8.1</v>
      </c>
      <c r="C95" s="1314" t="s">
        <v>1633</v>
      </c>
      <c r="D95" s="1305" t="s">
        <v>3403</v>
      </c>
      <c r="E95" s="1305">
        <v>1</v>
      </c>
      <c r="F95" s="1603">
        <v>1300</v>
      </c>
      <c r="G95" s="1292">
        <f t="shared" si="2"/>
        <v>1300</v>
      </c>
      <c r="H95" s="1292"/>
      <c r="I95" s="1604">
        <f t="shared" si="3"/>
        <v>0</v>
      </c>
    </row>
    <row r="96" spans="2:9">
      <c r="B96" s="1617">
        <v>8.1999999999999993</v>
      </c>
      <c r="C96" s="1518" t="s">
        <v>1634</v>
      </c>
      <c r="D96" s="1305"/>
      <c r="E96" s="1305"/>
      <c r="F96" s="1603"/>
      <c r="G96" s="1292">
        <f t="shared" si="2"/>
        <v>0</v>
      </c>
      <c r="H96" s="1292"/>
      <c r="I96" s="1604">
        <f t="shared" si="3"/>
        <v>0</v>
      </c>
    </row>
    <row r="97" spans="2:9" ht="18">
      <c r="B97" s="1617" t="s">
        <v>1635</v>
      </c>
      <c r="C97" s="1314" t="s">
        <v>1694</v>
      </c>
      <c r="D97" s="1618" t="s">
        <v>3403</v>
      </c>
      <c r="E97" s="1305">
        <v>6</v>
      </c>
      <c r="F97" s="1603">
        <v>250</v>
      </c>
      <c r="G97" s="1292">
        <f t="shared" si="2"/>
        <v>1500</v>
      </c>
      <c r="H97" s="1292">
        <f>'Gua. Super TOS'!H107</f>
        <v>6</v>
      </c>
      <c r="I97" s="1604">
        <f t="shared" si="3"/>
        <v>1500</v>
      </c>
    </row>
    <row r="98" spans="2:9">
      <c r="B98" s="1617" t="s">
        <v>1637</v>
      </c>
      <c r="C98" s="1314" t="s">
        <v>1695</v>
      </c>
      <c r="D98" s="1305"/>
      <c r="E98" s="1305"/>
      <c r="F98" s="1603"/>
      <c r="G98" s="1292">
        <f t="shared" si="2"/>
        <v>0</v>
      </c>
      <c r="H98" s="1292"/>
      <c r="I98" s="1604">
        <f t="shared" si="3"/>
        <v>0</v>
      </c>
    </row>
    <row r="99" spans="2:9" ht="18">
      <c r="B99" s="1617"/>
      <c r="C99" s="1313" t="s">
        <v>1639</v>
      </c>
      <c r="D99" s="1305" t="s">
        <v>3403</v>
      </c>
      <c r="E99" s="1305">
        <v>2</v>
      </c>
      <c r="F99" s="1603">
        <v>40</v>
      </c>
      <c r="G99" s="1292">
        <f t="shared" si="2"/>
        <v>80</v>
      </c>
      <c r="H99" s="1292"/>
      <c r="I99" s="1604">
        <f t="shared" si="3"/>
        <v>0</v>
      </c>
    </row>
    <row r="100" spans="2:9" ht="18">
      <c r="B100" s="1617"/>
      <c r="C100" s="1313" t="s">
        <v>1696</v>
      </c>
      <c r="D100" s="1305" t="s">
        <v>3403</v>
      </c>
      <c r="E100" s="1305">
        <v>1</v>
      </c>
      <c r="F100" s="1603">
        <v>40</v>
      </c>
      <c r="G100" s="1292">
        <f t="shared" si="2"/>
        <v>40</v>
      </c>
      <c r="H100" s="1292"/>
      <c r="I100" s="1604">
        <f t="shared" si="3"/>
        <v>0</v>
      </c>
    </row>
    <row r="101" spans="2:9" ht="18">
      <c r="B101" s="1617"/>
      <c r="C101" s="1313" t="s">
        <v>1697</v>
      </c>
      <c r="D101" s="1305" t="s">
        <v>3403</v>
      </c>
      <c r="E101" s="1305">
        <v>2</v>
      </c>
      <c r="F101" s="1603">
        <v>40</v>
      </c>
      <c r="G101" s="1292">
        <f t="shared" si="2"/>
        <v>80</v>
      </c>
      <c r="H101" s="1292"/>
      <c r="I101" s="1604">
        <f t="shared" si="3"/>
        <v>0</v>
      </c>
    </row>
    <row r="102" spans="2:9">
      <c r="B102" s="1617">
        <v>8.3000000000000007</v>
      </c>
      <c r="C102" s="1518" t="s">
        <v>1640</v>
      </c>
      <c r="D102" s="1305"/>
      <c r="E102" s="1305"/>
      <c r="F102" s="1603"/>
      <c r="G102" s="1292">
        <f t="shared" si="2"/>
        <v>0</v>
      </c>
      <c r="H102" s="1292"/>
      <c r="I102" s="1604">
        <f t="shared" si="3"/>
        <v>0</v>
      </c>
    </row>
    <row r="103" spans="2:9" ht="18">
      <c r="B103" s="1617" t="s">
        <v>1641</v>
      </c>
      <c r="C103" s="1619" t="s">
        <v>1698</v>
      </c>
      <c r="D103" s="1305" t="s">
        <v>3403</v>
      </c>
      <c r="E103" s="1305">
        <v>3</v>
      </c>
      <c r="F103" s="1603">
        <v>300</v>
      </c>
      <c r="G103" s="1292">
        <f t="shared" si="2"/>
        <v>900</v>
      </c>
      <c r="H103" s="1292">
        <f>'Gua. Super TOS'!H112</f>
        <v>1</v>
      </c>
      <c r="I103" s="1604">
        <f t="shared" si="3"/>
        <v>300</v>
      </c>
    </row>
    <row r="104" spans="2:9">
      <c r="B104" s="1617"/>
      <c r="C104" s="1518" t="s">
        <v>1699</v>
      </c>
      <c r="D104" s="1305"/>
      <c r="E104" s="1305"/>
      <c r="F104" s="1603"/>
      <c r="G104" s="1292">
        <f t="shared" si="2"/>
        <v>0</v>
      </c>
      <c r="H104" s="1292"/>
      <c r="I104" s="1604">
        <f t="shared" si="3"/>
        <v>0</v>
      </c>
    </row>
    <row r="105" spans="2:9" ht="31.5">
      <c r="B105" s="1617"/>
      <c r="C105" s="1314" t="s">
        <v>1700</v>
      </c>
      <c r="D105" s="1618" t="s">
        <v>3403</v>
      </c>
      <c r="E105" s="1305">
        <v>1</v>
      </c>
      <c r="F105" s="1603">
        <v>600</v>
      </c>
      <c r="G105" s="1292">
        <f t="shared" si="2"/>
        <v>600</v>
      </c>
      <c r="H105" s="1292"/>
      <c r="I105" s="1604">
        <f t="shared" si="3"/>
        <v>0</v>
      </c>
    </row>
    <row r="106" spans="2:9" ht="18">
      <c r="B106" s="1617"/>
      <c r="C106" s="1314" t="s">
        <v>1701</v>
      </c>
      <c r="D106" s="1618" t="s">
        <v>3403</v>
      </c>
      <c r="E106" s="1305">
        <v>1</v>
      </c>
      <c r="F106" s="1603">
        <v>200</v>
      </c>
      <c r="G106" s="1292">
        <f t="shared" si="2"/>
        <v>200</v>
      </c>
      <c r="H106" s="1292"/>
      <c r="I106" s="1604">
        <f t="shared" si="3"/>
        <v>0</v>
      </c>
    </row>
    <row r="107" spans="2:9">
      <c r="B107" s="1617">
        <v>8.4</v>
      </c>
      <c r="C107" s="1620" t="s">
        <v>1642</v>
      </c>
      <c r="D107" s="1305"/>
      <c r="E107" s="1305"/>
      <c r="F107" s="1603"/>
      <c r="G107" s="1292">
        <f t="shared" si="2"/>
        <v>0</v>
      </c>
      <c r="H107" s="1292"/>
      <c r="I107" s="1604">
        <f t="shared" si="3"/>
        <v>0</v>
      </c>
    </row>
    <row r="108" spans="2:9" ht="18">
      <c r="B108" s="1616"/>
      <c r="C108" s="1313" t="s">
        <v>1702</v>
      </c>
      <c r="D108" s="1305" t="s">
        <v>3403</v>
      </c>
      <c r="E108" s="1305">
        <v>1</v>
      </c>
      <c r="F108" s="1603">
        <v>400</v>
      </c>
      <c r="G108" s="1292">
        <f t="shared" si="2"/>
        <v>400</v>
      </c>
      <c r="H108" s="1292"/>
      <c r="I108" s="1604">
        <f t="shared" si="3"/>
        <v>0</v>
      </c>
    </row>
    <row r="109" spans="2:9" ht="18">
      <c r="B109" s="1616"/>
      <c r="C109" s="1313" t="s">
        <v>1703</v>
      </c>
      <c r="D109" s="1305" t="s">
        <v>3403</v>
      </c>
      <c r="E109" s="1305">
        <v>4</v>
      </c>
      <c r="F109" s="1603">
        <v>400</v>
      </c>
      <c r="G109" s="1292">
        <f t="shared" si="2"/>
        <v>1600</v>
      </c>
      <c r="H109" s="1292"/>
      <c r="I109" s="1604">
        <f t="shared" si="3"/>
        <v>0</v>
      </c>
    </row>
    <row r="110" spans="2:9" ht="18">
      <c r="B110" s="1616"/>
      <c r="C110" s="1313" t="s">
        <v>1704</v>
      </c>
      <c r="D110" s="1305" t="s">
        <v>3403</v>
      </c>
      <c r="E110" s="1305">
        <v>1</v>
      </c>
      <c r="F110" s="1603">
        <v>300</v>
      </c>
      <c r="G110" s="1292">
        <f t="shared" si="2"/>
        <v>300</v>
      </c>
      <c r="H110" s="1292"/>
      <c r="I110" s="1604">
        <f t="shared" si="3"/>
        <v>0</v>
      </c>
    </row>
    <row r="111" spans="2:9">
      <c r="B111" s="1616"/>
      <c r="C111" s="1306" t="s">
        <v>1705</v>
      </c>
      <c r="D111" s="1305"/>
      <c r="E111" s="1305"/>
      <c r="F111" s="1603"/>
      <c r="G111" s="1292">
        <f t="shared" si="2"/>
        <v>0</v>
      </c>
      <c r="H111" s="1292"/>
      <c r="I111" s="1604">
        <f t="shared" si="3"/>
        <v>0</v>
      </c>
    </row>
    <row r="112" spans="2:9" ht="18">
      <c r="B112" s="1616"/>
      <c r="C112" s="1621" t="s">
        <v>1706</v>
      </c>
      <c r="D112" s="1305" t="s">
        <v>3403</v>
      </c>
      <c r="E112" s="1305">
        <v>2</v>
      </c>
      <c r="F112" s="1603">
        <v>2000</v>
      </c>
      <c r="G112" s="1292">
        <f t="shared" si="2"/>
        <v>4000</v>
      </c>
      <c r="H112" s="1292"/>
      <c r="I112" s="1604">
        <f t="shared" si="3"/>
        <v>0</v>
      </c>
    </row>
    <row r="113" spans="2:9">
      <c r="B113" s="1616"/>
      <c r="C113" s="1304" t="s">
        <v>1707</v>
      </c>
      <c r="D113" s="1305" t="s">
        <v>1402</v>
      </c>
      <c r="E113" s="1305">
        <v>8</v>
      </c>
      <c r="F113" s="1603">
        <v>300</v>
      </c>
      <c r="G113" s="1292">
        <f t="shared" si="2"/>
        <v>2400</v>
      </c>
      <c r="H113" s="1292"/>
      <c r="I113" s="1604">
        <f t="shared" si="3"/>
        <v>0</v>
      </c>
    </row>
    <row r="114" spans="2:9" ht="16.5" thickBot="1">
      <c r="B114" s="1381"/>
      <c r="C114" s="1382" t="s">
        <v>1708</v>
      </c>
      <c r="D114" s="1322"/>
      <c r="E114" s="1322"/>
      <c r="F114" s="1383"/>
      <c r="G114" s="1322">
        <f>SUM(G95:G113)</f>
        <v>13400</v>
      </c>
      <c r="H114" s="1322"/>
      <c r="I114" s="1384">
        <f>SUM(I95:I113)</f>
        <v>1800</v>
      </c>
    </row>
    <row r="115" spans="2:9" ht="16.5" thickTop="1">
      <c r="B115" s="1622"/>
      <c r="C115" s="1622"/>
      <c r="D115" s="1623"/>
      <c r="E115" s="1623"/>
      <c r="F115" s="1623"/>
      <c r="G115" s="1623"/>
      <c r="H115" s="1623"/>
      <c r="I115" s="1624"/>
    </row>
    <row r="116" spans="2:9">
      <c r="B116" s="1622"/>
      <c r="C116" s="1622"/>
      <c r="D116" s="1623"/>
      <c r="E116" s="1623"/>
      <c r="F116" s="1623"/>
      <c r="G116" s="1623"/>
      <c r="H116" s="1623"/>
      <c r="I116" s="1624"/>
    </row>
    <row r="117" spans="2:9">
      <c r="B117" s="1622"/>
      <c r="C117" s="1622"/>
      <c r="D117" s="1623"/>
      <c r="E117" s="1623"/>
      <c r="F117" s="1623"/>
      <c r="G117" s="1623"/>
      <c r="H117" s="1623"/>
      <c r="I117" s="1624"/>
    </row>
    <row r="118" spans="2:9">
      <c r="B118" s="1622"/>
      <c r="C118" s="1622"/>
      <c r="D118" s="1623"/>
      <c r="E118" s="1623"/>
      <c r="F118" s="1623"/>
      <c r="G118" s="1623"/>
      <c r="H118" s="1623"/>
      <c r="I118" s="1624"/>
    </row>
    <row r="119" spans="2:9">
      <c r="B119" s="1622"/>
      <c r="C119" s="1622"/>
      <c r="D119" s="1623"/>
      <c r="E119" s="1623"/>
      <c r="F119" s="1623"/>
      <c r="G119" s="1623"/>
      <c r="H119" s="1623"/>
      <c r="I119" s="1624"/>
    </row>
    <row r="120" spans="2:9">
      <c r="B120" s="1622"/>
      <c r="C120" s="1622"/>
      <c r="D120" s="1623"/>
      <c r="E120" s="1623"/>
      <c r="F120" s="1623"/>
      <c r="G120" s="1623"/>
      <c r="H120" s="1623"/>
      <c r="I120" s="1624"/>
    </row>
    <row r="121" spans="2:9">
      <c r="B121" s="1622"/>
      <c r="C121" s="1622"/>
      <c r="D121" s="1623"/>
      <c r="E121" s="1623"/>
      <c r="F121" s="1623"/>
      <c r="G121" s="1623"/>
      <c r="H121" s="1623"/>
      <c r="I121" s="1624"/>
    </row>
    <row r="122" spans="2:9">
      <c r="B122" s="1622"/>
      <c r="C122" s="1622"/>
      <c r="D122" s="1623"/>
      <c r="E122" s="1623"/>
      <c r="F122" s="1623"/>
      <c r="G122" s="1623"/>
      <c r="H122" s="1623"/>
      <c r="I122" s="1624"/>
    </row>
    <row r="123" spans="2:9">
      <c r="B123" s="1622"/>
      <c r="C123" s="1622"/>
      <c r="D123" s="1623"/>
      <c r="E123" s="1623"/>
      <c r="F123" s="1623"/>
      <c r="G123" s="1623"/>
      <c r="H123" s="1623"/>
      <c r="I123" s="1624"/>
    </row>
    <row r="124" spans="2:9">
      <c r="B124" s="1622"/>
      <c r="C124" s="1622"/>
      <c r="D124" s="1623"/>
      <c r="E124" s="1623"/>
      <c r="F124" s="1623"/>
      <c r="G124" s="1623"/>
      <c r="H124" s="1623"/>
      <c r="I124" s="1624"/>
    </row>
    <row r="125" spans="2:9">
      <c r="B125" s="1622"/>
      <c r="C125" s="1622"/>
      <c r="D125" s="1623"/>
      <c r="E125" s="1623"/>
      <c r="F125" s="1623"/>
      <c r="G125" s="1623"/>
      <c r="H125" s="1623"/>
      <c r="I125" s="1624"/>
    </row>
    <row r="126" spans="2:9">
      <c r="B126" s="1622"/>
      <c r="C126" s="1622"/>
      <c r="D126" s="1623"/>
      <c r="E126" s="1623"/>
      <c r="F126" s="1623"/>
      <c r="G126" s="1623"/>
      <c r="H126" s="1623"/>
      <c r="I126" s="1624"/>
    </row>
    <row r="127" spans="2:9">
      <c r="B127" s="1622"/>
      <c r="C127" s="1622"/>
      <c r="D127" s="1623"/>
      <c r="E127" s="1623"/>
      <c r="F127" s="1623"/>
      <c r="G127" s="1623"/>
      <c r="H127" s="1623"/>
      <c r="I127" s="1624"/>
    </row>
    <row r="128" spans="2:9">
      <c r="B128" s="1622"/>
      <c r="C128" s="1622"/>
      <c r="D128" s="1623"/>
      <c r="E128" s="1623"/>
      <c r="F128" s="1623"/>
      <c r="G128" s="1623"/>
      <c r="H128" s="1623"/>
      <c r="I128" s="1624"/>
    </row>
    <row r="129" spans="2:9">
      <c r="B129" s="1622"/>
      <c r="C129" s="1622"/>
      <c r="D129" s="1623"/>
      <c r="E129" s="1623"/>
      <c r="F129" s="1623"/>
      <c r="G129" s="1623"/>
      <c r="H129" s="1623"/>
      <c r="I129" s="1624"/>
    </row>
    <row r="130" spans="2:9">
      <c r="B130" s="1622"/>
      <c r="C130" s="1622"/>
      <c r="D130" s="1623"/>
      <c r="E130" s="1623"/>
      <c r="F130" s="1623"/>
      <c r="G130" s="1623"/>
      <c r="H130" s="1623"/>
      <c r="I130" s="1624"/>
    </row>
    <row r="131" spans="2:9">
      <c r="B131" s="1622"/>
      <c r="C131" s="1622"/>
      <c r="D131" s="1623"/>
      <c r="E131" s="1623"/>
      <c r="F131" s="1623"/>
      <c r="G131" s="1623"/>
      <c r="H131" s="1623"/>
      <c r="I131" s="1624"/>
    </row>
    <row r="132" spans="2:9">
      <c r="B132" s="1622"/>
      <c r="C132" s="1622"/>
      <c r="D132" s="1623"/>
      <c r="E132" s="1623"/>
      <c r="F132" s="1623"/>
      <c r="G132" s="1623"/>
      <c r="H132" s="1623"/>
      <c r="I132" s="1624"/>
    </row>
    <row r="133" spans="2:9">
      <c r="B133" s="1622"/>
      <c r="C133" s="1622"/>
      <c r="D133" s="1623"/>
      <c r="E133" s="1623"/>
      <c r="F133" s="1623"/>
      <c r="G133" s="1623"/>
      <c r="H133" s="1623"/>
      <c r="I133" s="1624"/>
    </row>
    <row r="134" spans="2:9">
      <c r="B134" s="1622"/>
      <c r="C134" s="1622"/>
      <c r="D134" s="1623"/>
      <c r="E134" s="1623"/>
      <c r="F134" s="1623"/>
      <c r="G134" s="1623"/>
      <c r="H134" s="1623"/>
      <c r="I134" s="1624"/>
    </row>
    <row r="135" spans="2:9">
      <c r="B135" s="1622"/>
      <c r="C135" s="1622"/>
      <c r="D135" s="1623"/>
      <c r="E135" s="1623"/>
      <c r="F135" s="1623"/>
      <c r="G135" s="1623"/>
      <c r="H135" s="1623"/>
      <c r="I135" s="1624"/>
    </row>
    <row r="136" spans="2:9">
      <c r="B136" s="1622"/>
      <c r="C136" s="1622"/>
      <c r="D136" s="1623"/>
      <c r="E136" s="1623"/>
      <c r="F136" s="1623"/>
      <c r="G136" s="1623"/>
      <c r="H136" s="1623"/>
      <c r="I136" s="1624"/>
    </row>
    <row r="137" spans="2:9">
      <c r="B137" s="1622"/>
      <c r="C137" s="1622"/>
      <c r="D137" s="1623"/>
      <c r="E137" s="1623"/>
      <c r="F137" s="1623"/>
      <c r="G137" s="1623"/>
      <c r="H137" s="1623"/>
      <c r="I137" s="1624"/>
    </row>
    <row r="138" spans="2:9">
      <c r="B138" s="1622"/>
      <c r="C138" s="1622"/>
      <c r="D138" s="1623"/>
      <c r="E138" s="1623"/>
      <c r="F138" s="1623"/>
      <c r="G138" s="1623"/>
      <c r="H138" s="1623"/>
      <c r="I138" s="1624"/>
    </row>
    <row r="139" spans="2:9">
      <c r="B139" s="1622"/>
      <c r="C139" s="1622"/>
      <c r="D139" s="1623"/>
      <c r="E139" s="1623"/>
      <c r="F139" s="1623"/>
      <c r="G139" s="1623"/>
      <c r="H139" s="1623"/>
      <c r="I139" s="1624"/>
    </row>
    <row r="140" spans="2:9">
      <c r="B140" s="1622"/>
      <c r="C140" s="1622"/>
      <c r="D140" s="1623"/>
      <c r="E140" s="1623"/>
      <c r="F140" s="1623"/>
      <c r="G140" s="1623"/>
      <c r="H140" s="1623"/>
      <c r="I140" s="1624"/>
    </row>
    <row r="141" spans="2:9">
      <c r="B141" s="1622"/>
      <c r="C141" s="1622"/>
      <c r="D141" s="1623"/>
      <c r="E141" s="1623"/>
      <c r="F141" s="1623"/>
      <c r="G141" s="1623"/>
      <c r="H141" s="1623"/>
      <c r="I141" s="1624"/>
    </row>
    <row r="142" spans="2:9">
      <c r="B142" s="1622"/>
      <c r="C142" s="1622"/>
      <c r="D142" s="1623"/>
      <c r="E142" s="1623"/>
      <c r="F142" s="1623"/>
      <c r="G142" s="1623"/>
      <c r="H142" s="1623"/>
      <c r="I142" s="1624"/>
    </row>
    <row r="143" spans="2:9">
      <c r="B143" s="1622"/>
      <c r="C143" s="1622"/>
      <c r="D143" s="1623"/>
      <c r="E143" s="1623"/>
      <c r="F143" s="1623"/>
      <c r="G143" s="1623"/>
      <c r="H143" s="1623"/>
      <c r="I143" s="1624"/>
    </row>
    <row r="144" spans="2:9">
      <c r="B144" s="1622"/>
      <c r="C144" s="1622"/>
      <c r="D144" s="1623"/>
      <c r="E144" s="1623"/>
      <c r="F144" s="1623"/>
      <c r="G144" s="1623"/>
      <c r="H144" s="1623"/>
      <c r="I144" s="1624"/>
    </row>
    <row r="145" spans="2:9">
      <c r="B145" s="1622"/>
      <c r="C145" s="1622"/>
      <c r="D145" s="1623"/>
      <c r="E145" s="1623"/>
      <c r="F145" s="1623"/>
      <c r="G145" s="1623"/>
      <c r="H145" s="1623"/>
      <c r="I145" s="1624"/>
    </row>
    <row r="146" spans="2:9">
      <c r="B146" s="1622"/>
      <c r="C146" s="1622"/>
      <c r="D146" s="1623"/>
      <c r="E146" s="1623"/>
      <c r="F146" s="1623"/>
      <c r="G146" s="1623"/>
      <c r="H146" s="1623"/>
      <c r="I146" s="1624"/>
    </row>
    <row r="147" spans="2:9">
      <c r="B147" s="1622"/>
      <c r="C147" s="1622"/>
      <c r="D147" s="1623"/>
      <c r="E147" s="1623"/>
      <c r="F147" s="1623"/>
      <c r="G147" s="1623"/>
      <c r="H147" s="1623"/>
      <c r="I147" s="1624"/>
    </row>
    <row r="148" spans="2:9">
      <c r="B148" s="1622"/>
      <c r="C148" s="1622"/>
      <c r="D148" s="1623"/>
      <c r="E148" s="1623"/>
      <c r="F148" s="1623"/>
      <c r="G148" s="1623"/>
      <c r="H148" s="1623"/>
      <c r="I148" s="1624"/>
    </row>
    <row r="149" spans="2:9">
      <c r="B149" s="1622"/>
      <c r="C149" s="1622"/>
      <c r="D149" s="1623"/>
      <c r="E149" s="1623"/>
      <c r="F149" s="1623"/>
      <c r="G149" s="1623"/>
      <c r="H149" s="1623"/>
      <c r="I149" s="1624"/>
    </row>
    <row r="150" spans="2:9">
      <c r="B150" s="1622"/>
      <c r="C150" s="1622"/>
      <c r="D150" s="1623"/>
      <c r="E150" s="1623"/>
      <c r="F150" s="1623"/>
      <c r="G150" s="1623"/>
      <c r="H150" s="1623"/>
      <c r="I150" s="1624"/>
    </row>
    <row r="151" spans="2:9">
      <c r="B151" s="1622"/>
      <c r="C151" s="1622"/>
      <c r="D151" s="1623"/>
      <c r="E151" s="1623"/>
      <c r="F151" s="1623"/>
      <c r="G151" s="1623"/>
      <c r="H151" s="1623"/>
      <c r="I151" s="1624"/>
    </row>
    <row r="152" spans="2:9">
      <c r="B152" s="1622"/>
      <c r="C152" s="1622"/>
      <c r="D152" s="1623"/>
      <c r="E152" s="1623"/>
      <c r="F152" s="1623"/>
      <c r="G152" s="1623"/>
      <c r="H152" s="1623"/>
      <c r="I152" s="1624"/>
    </row>
    <row r="153" spans="2:9">
      <c r="B153" s="1622"/>
      <c r="C153" s="1622"/>
      <c r="D153" s="1623"/>
      <c r="E153" s="1623"/>
      <c r="F153" s="1623"/>
      <c r="G153" s="1623"/>
      <c r="H153" s="1623"/>
      <c r="I153" s="1624"/>
    </row>
    <row r="154" spans="2:9">
      <c r="B154" s="1622"/>
      <c r="C154" s="1622"/>
      <c r="D154" s="1623"/>
      <c r="E154" s="1623"/>
      <c r="F154" s="1623"/>
      <c r="G154" s="1623"/>
      <c r="H154" s="1623"/>
      <c r="I154" s="1624"/>
    </row>
    <row r="155" spans="2:9">
      <c r="B155" s="1622"/>
      <c r="C155" s="1622"/>
      <c r="D155" s="1623"/>
      <c r="E155" s="1623"/>
      <c r="F155" s="1623"/>
      <c r="G155" s="1623"/>
      <c r="H155" s="1623"/>
      <c r="I155" s="1624"/>
    </row>
    <row r="156" spans="2:9">
      <c r="B156" s="1622"/>
      <c r="C156" s="1622"/>
      <c r="D156" s="1623"/>
      <c r="E156" s="1623"/>
      <c r="F156" s="1623"/>
      <c r="G156" s="1623"/>
      <c r="H156" s="1623"/>
      <c r="I156" s="1624"/>
    </row>
    <row r="157" spans="2:9">
      <c r="B157" s="1622"/>
      <c r="C157" s="1622"/>
      <c r="D157" s="1623"/>
      <c r="E157" s="1623"/>
      <c r="F157" s="1623"/>
      <c r="G157" s="1623"/>
      <c r="H157" s="1623"/>
      <c r="I157" s="1624"/>
    </row>
    <row r="158" spans="2:9">
      <c r="B158" s="1622"/>
      <c r="C158" s="1622"/>
      <c r="D158" s="1623"/>
      <c r="E158" s="1623"/>
      <c r="F158" s="1623"/>
      <c r="G158" s="1623"/>
      <c r="H158" s="1623"/>
      <c r="I158" s="1624"/>
    </row>
    <row r="159" spans="2:9">
      <c r="B159" s="1622"/>
      <c r="C159" s="1622"/>
      <c r="D159" s="1623"/>
      <c r="E159" s="1623"/>
      <c r="F159" s="1623"/>
      <c r="G159" s="1623"/>
      <c r="H159" s="1623"/>
      <c r="I159" s="1624"/>
    </row>
    <row r="160" spans="2:9">
      <c r="B160" s="1622"/>
      <c r="C160" s="1622"/>
      <c r="D160" s="1623"/>
      <c r="E160" s="1623"/>
      <c r="F160" s="1623"/>
      <c r="G160" s="1623"/>
      <c r="H160" s="1623"/>
      <c r="I160" s="1624"/>
    </row>
    <row r="161" spans="2:9">
      <c r="B161" s="1622"/>
      <c r="C161" s="1622"/>
      <c r="D161" s="1623"/>
      <c r="E161" s="1623"/>
      <c r="F161" s="1623"/>
      <c r="G161" s="1623"/>
      <c r="H161" s="1623"/>
      <c r="I161" s="1624"/>
    </row>
    <row r="162" spans="2:9">
      <c r="B162" s="1622"/>
      <c r="C162" s="1622"/>
      <c r="D162" s="1623"/>
      <c r="E162" s="1623"/>
      <c r="F162" s="1623"/>
      <c r="G162" s="1623"/>
      <c r="H162" s="1623"/>
      <c r="I162" s="1624"/>
    </row>
    <row r="163" spans="2:9">
      <c r="B163" s="1622"/>
      <c r="C163" s="1622"/>
      <c r="D163" s="1623"/>
      <c r="E163" s="1623"/>
      <c r="F163" s="1623"/>
      <c r="G163" s="1623"/>
      <c r="H163" s="1623"/>
      <c r="I163" s="1624"/>
    </row>
    <row r="164" spans="2:9">
      <c r="B164" s="1622"/>
      <c r="C164" s="1622"/>
      <c r="D164" s="1623"/>
      <c r="E164" s="1623"/>
      <c r="F164" s="1623"/>
      <c r="G164" s="1623"/>
      <c r="H164" s="1623"/>
      <c r="I164" s="1624"/>
    </row>
    <row r="165" spans="2:9">
      <c r="B165" s="1622"/>
      <c r="C165" s="1622"/>
      <c r="D165" s="1623"/>
      <c r="E165" s="1623"/>
      <c r="F165" s="1623"/>
      <c r="G165" s="1623"/>
      <c r="H165" s="1623"/>
      <c r="I165" s="1624"/>
    </row>
    <row r="166" spans="2:9">
      <c r="B166" s="1622"/>
      <c r="C166" s="1622"/>
      <c r="D166" s="1623"/>
      <c r="E166" s="1623"/>
      <c r="F166" s="1623"/>
      <c r="G166" s="1623"/>
      <c r="H166" s="1623"/>
      <c r="I166" s="1624"/>
    </row>
    <row r="167" spans="2:9">
      <c r="B167" s="1622"/>
      <c r="C167" s="1622"/>
      <c r="D167" s="1623"/>
      <c r="E167" s="1623"/>
      <c r="F167" s="1623"/>
      <c r="G167" s="1623"/>
      <c r="H167" s="1623"/>
      <c r="I167" s="1624"/>
    </row>
    <row r="168" spans="2:9">
      <c r="B168" s="1622"/>
      <c r="C168" s="1622"/>
      <c r="D168" s="1623"/>
      <c r="E168" s="1623"/>
      <c r="F168" s="1623"/>
      <c r="G168" s="1623"/>
      <c r="H168" s="1623"/>
      <c r="I168" s="1624"/>
    </row>
    <row r="169" spans="2:9">
      <c r="B169" s="1622"/>
      <c r="C169" s="1622"/>
      <c r="D169" s="1623"/>
      <c r="E169" s="1623"/>
      <c r="F169" s="1623"/>
      <c r="G169" s="1623"/>
      <c r="H169" s="1623"/>
      <c r="I169" s="1624"/>
    </row>
    <row r="170" spans="2:9">
      <c r="B170" s="1622"/>
      <c r="C170" s="1622"/>
      <c r="D170" s="1623"/>
      <c r="E170" s="1623"/>
      <c r="F170" s="1623"/>
      <c r="G170" s="1623"/>
      <c r="H170" s="1623"/>
      <c r="I170" s="1624"/>
    </row>
    <row r="171" spans="2:9">
      <c r="B171" s="1622"/>
      <c r="C171" s="1622"/>
      <c r="D171" s="1623"/>
      <c r="E171" s="1623"/>
      <c r="F171" s="1623"/>
      <c r="G171" s="1623"/>
      <c r="H171" s="1623"/>
      <c r="I171" s="1624"/>
    </row>
    <row r="172" spans="2:9">
      <c r="B172" s="1622"/>
      <c r="C172" s="1622"/>
      <c r="D172" s="1623"/>
      <c r="E172" s="1623"/>
      <c r="F172" s="1623"/>
      <c r="G172" s="1623"/>
      <c r="H172" s="1623"/>
      <c r="I172" s="1624"/>
    </row>
    <row r="173" spans="2:9">
      <c r="B173" s="1622"/>
      <c r="C173" s="1622"/>
      <c r="D173" s="1623"/>
      <c r="E173" s="1623"/>
      <c r="F173" s="1623"/>
      <c r="G173" s="1623"/>
      <c r="H173" s="1623"/>
      <c r="I173" s="1624"/>
    </row>
    <row r="174" spans="2:9">
      <c r="B174" s="1622"/>
      <c r="C174" s="1622"/>
      <c r="D174" s="1623"/>
      <c r="E174" s="1623"/>
      <c r="F174" s="1623"/>
      <c r="G174" s="1623"/>
      <c r="H174" s="1623"/>
      <c r="I174" s="1624"/>
    </row>
    <row r="175" spans="2:9">
      <c r="B175" s="1622"/>
      <c r="C175" s="1622"/>
      <c r="D175" s="1623"/>
      <c r="E175" s="1623"/>
      <c r="F175" s="1623"/>
      <c r="G175" s="1623"/>
      <c r="H175" s="1623"/>
      <c r="I175" s="1624"/>
    </row>
    <row r="176" spans="2:9">
      <c r="B176" s="1622"/>
      <c r="C176" s="1622"/>
      <c r="D176" s="1623"/>
      <c r="E176" s="1623"/>
      <c r="F176" s="1623"/>
      <c r="G176" s="1623"/>
      <c r="H176" s="1623"/>
      <c r="I176" s="1624"/>
    </row>
    <row r="177" spans="2:9">
      <c r="B177" s="1622"/>
      <c r="C177" s="1622"/>
      <c r="D177" s="1623"/>
      <c r="E177" s="1623"/>
      <c r="F177" s="1623"/>
      <c r="G177" s="1623"/>
      <c r="H177" s="1623"/>
      <c r="I177" s="1624"/>
    </row>
    <row r="178" spans="2:9">
      <c r="B178" s="1622"/>
      <c r="C178" s="1622"/>
      <c r="D178" s="1623"/>
      <c r="E178" s="1623"/>
      <c r="F178" s="1623"/>
      <c r="G178" s="1623"/>
      <c r="H178" s="1623"/>
      <c r="I178" s="1624"/>
    </row>
    <row r="179" spans="2:9">
      <c r="B179" s="1622"/>
      <c r="C179" s="1622"/>
      <c r="D179" s="1623"/>
      <c r="E179" s="1623"/>
      <c r="F179" s="1623"/>
      <c r="G179" s="1623"/>
      <c r="H179" s="1623"/>
      <c r="I179" s="1624"/>
    </row>
    <row r="180" spans="2:9">
      <c r="B180" s="1622"/>
      <c r="C180" s="1622"/>
      <c r="D180" s="1623"/>
      <c r="E180" s="1623"/>
      <c r="F180" s="1623"/>
      <c r="G180" s="1623"/>
      <c r="H180" s="1623"/>
      <c r="I180" s="1624"/>
    </row>
    <row r="181" spans="2:9">
      <c r="B181" s="1622"/>
      <c r="C181" s="1622"/>
      <c r="D181" s="1623"/>
      <c r="E181" s="1623"/>
      <c r="F181" s="1623"/>
      <c r="G181" s="1623"/>
      <c r="H181" s="1623"/>
      <c r="I181" s="1624"/>
    </row>
  </sheetData>
  <mergeCells count="5">
    <mergeCell ref="B6:B7"/>
    <mergeCell ref="C6:C7"/>
    <mergeCell ref="D6:D7"/>
    <mergeCell ref="E6:G6"/>
    <mergeCell ref="H6:I6"/>
  </mergeCells>
  <pageMargins left="0.34" right="0.16" top="1" bottom="0.75" header="0.35" footer="0.09"/>
  <pageSetup scale="87" orientation="landscape" horizontalDpi="300" verticalDpi="300" r:id="rId1"/>
  <headerFooter alignWithMargins="0">
    <oddFooter>&amp;LContractor_________________&amp;CSupervisor_________________&amp;RConsultant_________________</oddFooter>
  </headerFooter>
  <rowBreaks count="4" manualBreakCount="4">
    <brk id="33" max="9" man="1"/>
    <brk id="56" max="9" man="1"/>
    <brk id="85" max="9" man="1"/>
    <brk id="93" max="9"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S91"/>
  <sheetViews>
    <sheetView view="pageBreakPreview" zoomScale="67" zoomScaleSheetLayoutView="67" zoomScalePageLayoutView="50" workbookViewId="0">
      <pane ySplit="1560" topLeftCell="A55" activePane="bottomLeft"/>
      <selection pane="bottomLeft" activeCell="C65" sqref="C65"/>
    </sheetView>
  </sheetViews>
  <sheetFormatPr defaultRowHeight="21"/>
  <cols>
    <col min="1" max="1" width="2.7109375" style="527" customWidth="1"/>
    <col min="2" max="2" width="9.28515625" style="1258" customWidth="1"/>
    <col min="3" max="3" width="89.85546875" style="527" customWidth="1"/>
    <col min="4" max="5" width="9.28515625" style="1084" customWidth="1"/>
    <col min="6" max="6" width="11.85546875" style="1261" customWidth="1"/>
    <col min="7" max="7" width="16.85546875" style="527" customWidth="1"/>
    <col min="8" max="8" width="17.28515625" style="527" customWidth="1"/>
    <col min="9" max="9" width="22.7109375" style="1277" customWidth="1"/>
    <col min="10" max="10" width="15.28515625" style="527" customWidth="1"/>
    <col min="11" max="11" width="17.7109375" style="527" customWidth="1"/>
    <col min="12" max="12" width="24.140625" style="527" customWidth="1"/>
    <col min="13" max="13" width="9.140625" style="527"/>
    <col min="14" max="14" width="24.42578125" style="527" customWidth="1"/>
    <col min="15" max="16384" width="9.140625" style="527"/>
  </cols>
  <sheetData>
    <row r="1" spans="2:19" s="457" customFormat="1" ht="17.25">
      <c r="B1" s="458" t="s">
        <v>1257</v>
      </c>
      <c r="D1" s="458"/>
      <c r="E1" s="458"/>
      <c r="F1" s="458"/>
      <c r="G1" s="458"/>
      <c r="H1" s="458"/>
      <c r="I1" s="1262"/>
      <c r="J1" s="1156"/>
      <c r="K1" s="1156"/>
      <c r="Q1" s="459"/>
      <c r="R1" s="459"/>
    </row>
    <row r="2" spans="2:19" s="457" customFormat="1" ht="17.25">
      <c r="B2" s="458" t="s">
        <v>1208</v>
      </c>
      <c r="D2" s="458"/>
      <c r="E2" s="458"/>
      <c r="F2" s="458"/>
      <c r="G2" s="458"/>
      <c r="H2" s="1157" t="s">
        <v>1265</v>
      </c>
      <c r="I2" s="1263"/>
      <c r="Q2" s="459"/>
      <c r="R2" s="459"/>
    </row>
    <row r="3" spans="2:19" s="457" customFormat="1" ht="17.25">
      <c r="B3" s="458" t="s">
        <v>1258</v>
      </c>
      <c r="D3" s="458"/>
      <c r="E3" s="458"/>
      <c r="F3" s="458"/>
      <c r="G3" s="458"/>
      <c r="H3" s="1157" t="s">
        <v>1796</v>
      </c>
      <c r="I3" s="1263"/>
      <c r="J3" s="1157"/>
      <c r="Q3" s="460"/>
      <c r="R3" s="460"/>
    </row>
    <row r="4" spans="2:19" s="457" customFormat="1" ht="18" thickBot="1">
      <c r="B4" s="458" t="s">
        <v>1209</v>
      </c>
      <c r="D4" s="458"/>
      <c r="E4" s="458"/>
      <c r="F4" s="458"/>
      <c r="G4" s="458"/>
      <c r="H4" s="458"/>
      <c r="I4" s="1262"/>
      <c r="J4" s="458"/>
      <c r="K4" s="458"/>
      <c r="Q4" s="459"/>
      <c r="R4" s="459"/>
      <c r="S4" s="459"/>
    </row>
    <row r="5" spans="2:19" s="1206" customFormat="1" ht="16.5" thickTop="1">
      <c r="B5" s="2357" t="s">
        <v>1492</v>
      </c>
      <c r="C5" s="2359" t="s">
        <v>0</v>
      </c>
      <c r="D5" s="2359" t="s">
        <v>1491</v>
      </c>
      <c r="E5" s="1207"/>
      <c r="F5" s="2347" t="s">
        <v>1307</v>
      </c>
      <c r="G5" s="2348"/>
      <c r="H5" s="2349"/>
      <c r="I5" s="2347" t="s">
        <v>1624</v>
      </c>
      <c r="J5" s="2350"/>
    </row>
    <row r="6" spans="2:19" s="1206" customFormat="1" ht="16.5" thickBot="1">
      <c r="B6" s="2358"/>
      <c r="C6" s="2360"/>
      <c r="D6" s="2360"/>
      <c r="E6" s="1208"/>
      <c r="F6" s="1209" t="s">
        <v>1487</v>
      </c>
      <c r="G6" s="1209" t="s">
        <v>1488</v>
      </c>
      <c r="H6" s="1209" t="s">
        <v>1495</v>
      </c>
      <c r="I6" s="1016" t="s">
        <v>1487</v>
      </c>
      <c r="J6" s="1210" t="s">
        <v>1495</v>
      </c>
    </row>
    <row r="7" spans="2:19" ht="21.75" thickTop="1">
      <c r="B7" s="555"/>
      <c r="C7" s="529" t="s">
        <v>1829</v>
      </c>
      <c r="D7" s="530"/>
      <c r="E7" s="527"/>
      <c r="F7" s="529"/>
      <c r="G7" s="531"/>
      <c r="H7" s="529"/>
      <c r="I7" s="1264"/>
      <c r="J7" s="530"/>
      <c r="K7" s="530"/>
      <c r="L7" s="532"/>
      <c r="M7" s="556"/>
      <c r="N7" s="556"/>
    </row>
    <row r="8" spans="2:19">
      <c r="B8" s="1211"/>
      <c r="C8" s="1212" t="s">
        <v>1853</v>
      </c>
      <c r="D8" s="547"/>
      <c r="E8" s="527"/>
      <c r="F8" s="1213"/>
      <c r="G8" s="1214"/>
      <c r="H8" s="1213"/>
      <c r="I8" s="1265"/>
      <c r="J8" s="562"/>
      <c r="K8" s="1213"/>
      <c r="L8" s="1215"/>
    </row>
    <row r="9" spans="2:19" ht="23.25">
      <c r="B9" s="1211">
        <v>1.1000000000000001</v>
      </c>
      <c r="C9" s="534" t="s">
        <v>1830</v>
      </c>
      <c r="D9" s="533" t="s">
        <v>1831</v>
      </c>
      <c r="E9" s="527"/>
      <c r="F9" s="539">
        <v>39</v>
      </c>
      <c r="G9" s="538">
        <v>8</v>
      </c>
      <c r="H9" s="539">
        <f>F9*G9</f>
        <v>312</v>
      </c>
      <c r="I9" s="1266"/>
      <c r="J9" s="562"/>
      <c r="K9" s="1213"/>
      <c r="L9" s="1215"/>
      <c r="N9" s="527">
        <f t="shared" ref="N9:N40" si="0">J9*G9</f>
        <v>0</v>
      </c>
    </row>
    <row r="10" spans="2:19" ht="45" customHeight="1">
      <c r="B10" s="1211">
        <v>1.2</v>
      </c>
      <c r="C10" s="1216" t="s">
        <v>1871</v>
      </c>
      <c r="D10" s="533" t="s">
        <v>1832</v>
      </c>
      <c r="E10" s="527"/>
      <c r="F10" s="541">
        <v>58.5</v>
      </c>
      <c r="G10" s="540">
        <v>70</v>
      </c>
      <c r="H10" s="539">
        <f>F10*G10</f>
        <v>4095</v>
      </c>
      <c r="I10" s="1267"/>
      <c r="J10" s="562"/>
      <c r="K10" s="1213"/>
      <c r="L10" s="1215"/>
      <c r="N10" s="527">
        <f t="shared" si="0"/>
        <v>0</v>
      </c>
    </row>
    <row r="11" spans="2:19" ht="23.25">
      <c r="B11" s="1211">
        <v>1.3</v>
      </c>
      <c r="C11" s="534" t="s">
        <v>1833</v>
      </c>
      <c r="D11" s="533" t="s">
        <v>1832</v>
      </c>
      <c r="E11" s="527"/>
      <c r="F11" s="541">
        <v>19.5</v>
      </c>
      <c r="G11" s="540">
        <v>70</v>
      </c>
      <c r="H11" s="539">
        <f t="shared" ref="H11:H14" si="1">F11*G11</f>
        <v>1365</v>
      </c>
      <c r="I11" s="1267"/>
      <c r="J11" s="562"/>
      <c r="K11" s="1213"/>
      <c r="L11" s="1215"/>
      <c r="N11" s="527">
        <f t="shared" si="0"/>
        <v>0</v>
      </c>
    </row>
    <row r="12" spans="2:19" ht="23.25">
      <c r="B12" s="1211">
        <v>1.4</v>
      </c>
      <c r="C12" s="1216" t="s">
        <v>1872</v>
      </c>
      <c r="D12" s="533" t="s">
        <v>1832</v>
      </c>
      <c r="E12" s="527"/>
      <c r="F12" s="541">
        <v>78</v>
      </c>
      <c r="G12" s="540">
        <v>150</v>
      </c>
      <c r="H12" s="539">
        <f t="shared" si="1"/>
        <v>11700</v>
      </c>
      <c r="I12" s="1267"/>
      <c r="J12" s="562"/>
      <c r="K12" s="1213"/>
      <c r="L12" s="1215"/>
      <c r="N12" s="527">
        <f t="shared" si="0"/>
        <v>0</v>
      </c>
    </row>
    <row r="13" spans="2:19" ht="23.25">
      <c r="B13" s="1211">
        <v>1.5</v>
      </c>
      <c r="C13" s="534" t="s">
        <v>1834</v>
      </c>
      <c r="D13" s="533" t="s">
        <v>1832</v>
      </c>
      <c r="E13" s="527"/>
      <c r="F13" s="541">
        <v>78</v>
      </c>
      <c r="G13" s="540">
        <v>70</v>
      </c>
      <c r="H13" s="539">
        <f t="shared" si="1"/>
        <v>5460</v>
      </c>
      <c r="I13" s="1267"/>
      <c r="J13" s="562"/>
      <c r="K13" s="1213"/>
      <c r="L13" s="1215"/>
      <c r="N13" s="527">
        <f t="shared" si="0"/>
        <v>0</v>
      </c>
    </row>
    <row r="14" spans="2:19" ht="42.75" thickBot="1">
      <c r="B14" s="1217">
        <v>1.6</v>
      </c>
      <c r="C14" s="1218" t="s">
        <v>1873</v>
      </c>
      <c r="D14" s="535" t="s">
        <v>1831</v>
      </c>
      <c r="E14" s="527"/>
      <c r="F14" s="543">
        <v>14</v>
      </c>
      <c r="G14" s="542">
        <v>200</v>
      </c>
      <c r="H14" s="539">
        <f t="shared" si="1"/>
        <v>2800</v>
      </c>
      <c r="I14" s="1268"/>
      <c r="J14" s="1219"/>
      <c r="K14" s="1220"/>
      <c r="L14" s="1221"/>
      <c r="N14" s="527">
        <f t="shared" si="0"/>
        <v>0</v>
      </c>
    </row>
    <row r="15" spans="2:19" s="557" customFormat="1" ht="27.75" thickTop="1" thickBot="1">
      <c r="B15" s="2354" t="s">
        <v>1854</v>
      </c>
      <c r="C15" s="2355"/>
      <c r="D15" s="2356"/>
      <c r="F15" s="1222"/>
      <c r="G15" s="1223"/>
      <c r="H15" s="1222">
        <f>SUM(H9:H14)</f>
        <v>25732</v>
      </c>
      <c r="I15" s="550"/>
      <c r="J15" s="1224"/>
      <c r="K15" s="1225"/>
      <c r="L15" s="1226"/>
      <c r="N15" s="527">
        <f t="shared" si="0"/>
        <v>0</v>
      </c>
    </row>
    <row r="16" spans="2:19" ht="21.75" thickTop="1">
      <c r="B16" s="555"/>
      <c r="C16" s="1227" t="s">
        <v>1835</v>
      </c>
      <c r="D16" s="530"/>
      <c r="E16" s="527"/>
      <c r="F16" s="1228"/>
      <c r="G16" s="1229"/>
      <c r="H16" s="1228"/>
      <c r="I16" s="1269"/>
      <c r="J16" s="1230"/>
      <c r="K16" s="1228"/>
      <c r="L16" s="1231"/>
      <c r="N16" s="527">
        <f t="shared" si="0"/>
        <v>0</v>
      </c>
    </row>
    <row r="17" spans="2:14" ht="42">
      <c r="B17" s="1211">
        <v>2.1</v>
      </c>
      <c r="C17" s="534" t="s">
        <v>1836</v>
      </c>
      <c r="D17" s="533" t="s">
        <v>1831</v>
      </c>
      <c r="E17" s="527"/>
      <c r="F17" s="541">
        <v>8</v>
      </c>
      <c r="G17" s="540">
        <v>150</v>
      </c>
      <c r="H17" s="541">
        <f>F17*G17</f>
        <v>1200</v>
      </c>
      <c r="I17" s="1270"/>
      <c r="J17" s="544"/>
      <c r="K17" s="1213"/>
      <c r="L17" s="1215"/>
      <c r="N17" s="527">
        <f t="shared" si="0"/>
        <v>0</v>
      </c>
    </row>
    <row r="18" spans="2:14" ht="63">
      <c r="B18" s="1211">
        <v>2.2000000000000002</v>
      </c>
      <c r="C18" s="534" t="s">
        <v>1837</v>
      </c>
      <c r="D18" s="533" t="s">
        <v>1831</v>
      </c>
      <c r="E18" s="527"/>
      <c r="F18" s="541">
        <v>14</v>
      </c>
      <c r="G18" s="540">
        <v>400</v>
      </c>
      <c r="H18" s="541">
        <f>F18*G18</f>
        <v>5600</v>
      </c>
      <c r="I18" s="1270"/>
      <c r="J18" s="544"/>
      <c r="K18" s="1213"/>
      <c r="L18" s="1215"/>
      <c r="M18" s="545"/>
      <c r="N18" s="527">
        <f t="shared" si="0"/>
        <v>0</v>
      </c>
    </row>
    <row r="19" spans="2:14" ht="63">
      <c r="B19" s="1211"/>
      <c r="C19" s="534" t="s">
        <v>1874</v>
      </c>
      <c r="D19" s="533"/>
      <c r="E19" s="527"/>
      <c r="F19" s="541"/>
      <c r="G19" s="540"/>
      <c r="H19" s="541"/>
      <c r="I19" s="1270"/>
      <c r="J19" s="544"/>
      <c r="K19" s="1213"/>
      <c r="L19" s="1215"/>
      <c r="N19" s="527">
        <f t="shared" si="0"/>
        <v>0</v>
      </c>
    </row>
    <row r="20" spans="2:14" ht="23.25">
      <c r="B20" s="1211">
        <v>2.2999999999999998</v>
      </c>
      <c r="C20" s="1232" t="s">
        <v>1838</v>
      </c>
      <c r="D20" s="533" t="s">
        <v>1832</v>
      </c>
      <c r="E20" s="527"/>
      <c r="F20" s="541">
        <v>2</v>
      </c>
      <c r="G20" s="540">
        <v>3200</v>
      </c>
      <c r="H20" s="541">
        <f>F20*G20</f>
        <v>6400</v>
      </c>
      <c r="I20" s="1270"/>
      <c r="J20" s="544"/>
      <c r="K20" s="1213"/>
      <c r="L20" s="1215"/>
      <c r="N20" s="527">
        <f t="shared" si="0"/>
        <v>0</v>
      </c>
    </row>
    <row r="21" spans="2:14" ht="42">
      <c r="B21" s="1211"/>
      <c r="C21" s="534" t="s">
        <v>1839</v>
      </c>
      <c r="D21" s="533"/>
      <c r="E21" s="527"/>
      <c r="F21" s="541"/>
      <c r="G21" s="540"/>
      <c r="H21" s="541"/>
      <c r="I21" s="1270"/>
      <c r="J21" s="544"/>
      <c r="K21" s="1213"/>
      <c r="L21" s="1215"/>
      <c r="N21" s="527">
        <f t="shared" si="0"/>
        <v>0</v>
      </c>
    </row>
    <row r="22" spans="2:14" ht="23.25">
      <c r="B22" s="1211">
        <v>2.4</v>
      </c>
      <c r="C22" s="1232" t="s">
        <v>1855</v>
      </c>
      <c r="D22" s="533" t="s">
        <v>1831</v>
      </c>
      <c r="E22" s="527"/>
      <c r="F22" s="541">
        <v>2</v>
      </c>
      <c r="G22" s="540">
        <v>150</v>
      </c>
      <c r="H22" s="541">
        <f>F22*G22</f>
        <v>300</v>
      </c>
      <c r="I22" s="1270"/>
      <c r="J22" s="544"/>
      <c r="K22" s="1213"/>
      <c r="L22" s="1215"/>
      <c r="N22" s="527">
        <f t="shared" si="0"/>
        <v>0</v>
      </c>
    </row>
    <row r="23" spans="2:14" ht="23.25">
      <c r="B23" s="1211">
        <v>2.5</v>
      </c>
      <c r="C23" s="1232" t="s">
        <v>1856</v>
      </c>
      <c r="D23" s="533" t="s">
        <v>1831</v>
      </c>
      <c r="E23" s="527"/>
      <c r="F23" s="541"/>
      <c r="G23" s="540"/>
      <c r="H23" s="541"/>
      <c r="I23" s="1270"/>
      <c r="J23" s="544"/>
      <c r="K23" s="1213"/>
      <c r="L23" s="1215"/>
      <c r="N23" s="527">
        <f t="shared" si="0"/>
        <v>0</v>
      </c>
    </row>
    <row r="24" spans="2:14" ht="42">
      <c r="B24" s="1211"/>
      <c r="C24" s="534" t="s">
        <v>1840</v>
      </c>
      <c r="D24" s="533"/>
      <c r="E24" s="527"/>
      <c r="F24" s="1233"/>
      <c r="G24" s="1234"/>
      <c r="H24" s="1235"/>
      <c r="I24" s="1271"/>
      <c r="J24" s="544"/>
      <c r="K24" s="1213"/>
      <c r="L24" s="1215"/>
      <c r="N24" s="527">
        <f t="shared" si="0"/>
        <v>0</v>
      </c>
    </row>
    <row r="25" spans="2:14">
      <c r="B25" s="1211">
        <v>2.6</v>
      </c>
      <c r="C25" s="1232" t="s">
        <v>1857</v>
      </c>
      <c r="D25" s="533" t="s">
        <v>1779</v>
      </c>
      <c r="E25" s="527"/>
      <c r="F25" s="541">
        <v>122</v>
      </c>
      <c r="G25" s="540">
        <v>36</v>
      </c>
      <c r="H25" s="541">
        <f>F25*G25</f>
        <v>4392</v>
      </c>
      <c r="I25" s="1270"/>
      <c r="J25" s="544"/>
      <c r="K25" s="1213"/>
      <c r="L25" s="1215"/>
      <c r="N25" s="527">
        <f t="shared" si="0"/>
        <v>0</v>
      </c>
    </row>
    <row r="26" spans="2:14">
      <c r="B26" s="1211">
        <v>2.7</v>
      </c>
      <c r="C26" s="1232" t="s">
        <v>1467</v>
      </c>
      <c r="D26" s="533" t="s">
        <v>1779</v>
      </c>
      <c r="E26" s="527"/>
      <c r="F26" s="541">
        <v>0</v>
      </c>
      <c r="G26" s="540">
        <v>0</v>
      </c>
      <c r="H26" s="541">
        <f>F26*G26</f>
        <v>0</v>
      </c>
      <c r="I26" s="1270"/>
      <c r="J26" s="544"/>
      <c r="K26" s="1213"/>
      <c r="L26" s="1215"/>
      <c r="N26" s="527">
        <f t="shared" si="0"/>
        <v>0</v>
      </c>
    </row>
    <row r="27" spans="2:14">
      <c r="B27" s="1211">
        <v>2.8</v>
      </c>
      <c r="C27" s="1232" t="s">
        <v>1858</v>
      </c>
      <c r="D27" s="533" t="s">
        <v>1779</v>
      </c>
      <c r="E27" s="527"/>
      <c r="F27" s="547">
        <v>115</v>
      </c>
      <c r="G27" s="546">
        <v>36</v>
      </c>
      <c r="H27" s="547">
        <f>F27*G27</f>
        <v>4140</v>
      </c>
      <c r="I27" s="1272"/>
      <c r="J27" s="548"/>
      <c r="K27" s="1213"/>
      <c r="L27" s="1215"/>
      <c r="N27" s="527">
        <f t="shared" si="0"/>
        <v>0</v>
      </c>
    </row>
    <row r="28" spans="2:14" ht="42.75" thickBot="1">
      <c r="B28" s="1217">
        <v>2.9</v>
      </c>
      <c r="C28" s="1218" t="s">
        <v>1842</v>
      </c>
      <c r="D28" s="535" t="s">
        <v>1406</v>
      </c>
      <c r="E28" s="527"/>
      <c r="F28" s="543">
        <v>22</v>
      </c>
      <c r="G28" s="542">
        <v>30</v>
      </c>
      <c r="H28" s="543">
        <f>F28*G28</f>
        <v>660</v>
      </c>
      <c r="I28" s="1273"/>
      <c r="J28" s="549"/>
      <c r="K28" s="1220"/>
      <c r="L28" s="1221"/>
      <c r="N28" s="527">
        <f t="shared" si="0"/>
        <v>0</v>
      </c>
    </row>
    <row r="29" spans="2:14" s="557" customFormat="1" ht="27.75" thickTop="1" thickBot="1">
      <c r="B29" s="2354" t="s">
        <v>1854</v>
      </c>
      <c r="C29" s="2355"/>
      <c r="D29" s="2356"/>
      <c r="F29" s="1236"/>
      <c r="G29" s="1237"/>
      <c r="H29" s="1236">
        <f>SUM(H16:H28)</f>
        <v>22692</v>
      </c>
      <c r="I29" s="558"/>
      <c r="J29" s="1238"/>
      <c r="K29" s="1225"/>
      <c r="L29" s="1226"/>
      <c r="N29" s="527">
        <f t="shared" si="0"/>
        <v>0</v>
      </c>
    </row>
    <row r="30" spans="2:14" ht="21.75" thickTop="1">
      <c r="B30" s="555"/>
      <c r="C30" s="1227" t="s">
        <v>1843</v>
      </c>
      <c r="D30" s="530"/>
      <c r="E30" s="527"/>
      <c r="F30" s="1228"/>
      <c r="G30" s="1229"/>
      <c r="H30" s="1228"/>
      <c r="I30" s="1269"/>
      <c r="J30" s="1230"/>
      <c r="K30" s="1228"/>
      <c r="L30" s="1231"/>
      <c r="N30" s="527">
        <f t="shared" si="0"/>
        <v>0</v>
      </c>
    </row>
    <row r="31" spans="2:14" ht="42">
      <c r="B31" s="1211">
        <v>3.1</v>
      </c>
      <c r="C31" s="534" t="s">
        <v>1859</v>
      </c>
      <c r="D31" s="533" t="s">
        <v>1832</v>
      </c>
      <c r="E31" s="527"/>
      <c r="F31" s="1213">
        <v>8</v>
      </c>
      <c r="G31" s="1214">
        <v>1000</v>
      </c>
      <c r="H31" s="1213">
        <f>G31*F31</f>
        <v>8000</v>
      </c>
      <c r="I31" s="1265"/>
      <c r="J31" s="562"/>
      <c r="K31" s="1213"/>
      <c r="L31" s="1215"/>
      <c r="N31" s="527">
        <f t="shared" si="0"/>
        <v>0</v>
      </c>
    </row>
    <row r="32" spans="2:14" ht="24" thickBot="1">
      <c r="B32" s="1217">
        <v>3.2</v>
      </c>
      <c r="C32" s="1239" t="s">
        <v>1844</v>
      </c>
      <c r="D32" s="535" t="s">
        <v>1832</v>
      </c>
      <c r="E32" s="527"/>
      <c r="F32" s="1220">
        <v>3</v>
      </c>
      <c r="G32" s="1240">
        <v>1100</v>
      </c>
      <c r="H32" s="1220">
        <f>G32*F32</f>
        <v>3300</v>
      </c>
      <c r="I32" s="1274"/>
      <c r="J32" s="1219"/>
      <c r="K32" s="1220"/>
      <c r="L32" s="1221"/>
      <c r="N32" s="527">
        <f t="shared" si="0"/>
        <v>0</v>
      </c>
    </row>
    <row r="33" spans="2:14" s="557" customFormat="1" ht="27.75" thickTop="1" thickBot="1">
      <c r="B33" s="2354" t="s">
        <v>1854</v>
      </c>
      <c r="C33" s="2355"/>
      <c r="D33" s="2356"/>
      <c r="F33" s="1222"/>
      <c r="G33" s="1223"/>
      <c r="H33" s="1222">
        <f>SUM(H31:H32)</f>
        <v>11300</v>
      </c>
      <c r="I33" s="550"/>
      <c r="J33" s="1224"/>
      <c r="K33" s="1225"/>
      <c r="L33" s="1226"/>
      <c r="N33" s="527">
        <f t="shared" si="0"/>
        <v>0</v>
      </c>
    </row>
    <row r="34" spans="2:14" ht="21.75" thickTop="1">
      <c r="B34" s="555"/>
      <c r="C34" s="1227" t="s">
        <v>1780</v>
      </c>
      <c r="D34" s="530"/>
      <c r="E34" s="527"/>
      <c r="F34" s="1228"/>
      <c r="G34" s="1229"/>
      <c r="H34" s="1228"/>
      <c r="I34" s="1269"/>
      <c r="J34" s="1230"/>
      <c r="K34" s="1228"/>
      <c r="L34" s="1231"/>
      <c r="N34" s="527">
        <f t="shared" si="0"/>
        <v>0</v>
      </c>
    </row>
    <row r="35" spans="2:14">
      <c r="B35" s="1211"/>
      <c r="C35" s="564" t="s">
        <v>1845</v>
      </c>
      <c r="D35" s="533"/>
      <c r="E35" s="527"/>
      <c r="F35" s="1213"/>
      <c r="G35" s="1214"/>
      <c r="H35" s="1213"/>
      <c r="I35" s="1265"/>
      <c r="J35" s="562"/>
      <c r="K35" s="1213"/>
      <c r="L35" s="1215"/>
      <c r="N35" s="527">
        <f t="shared" si="0"/>
        <v>0</v>
      </c>
    </row>
    <row r="36" spans="2:14" ht="63">
      <c r="B36" s="1211"/>
      <c r="C36" s="534" t="s">
        <v>1846</v>
      </c>
      <c r="D36" s="533"/>
      <c r="E36" s="527"/>
      <c r="F36" s="1213"/>
      <c r="G36" s="1214"/>
      <c r="H36" s="1213"/>
      <c r="I36" s="1265"/>
      <c r="J36" s="562"/>
      <c r="K36" s="1213"/>
      <c r="L36" s="1215"/>
      <c r="N36" s="527">
        <f t="shared" si="0"/>
        <v>0</v>
      </c>
    </row>
    <row r="37" spans="2:14" ht="23.25">
      <c r="B37" s="1211">
        <v>1.1000000000000001</v>
      </c>
      <c r="C37" s="1232" t="s">
        <v>1847</v>
      </c>
      <c r="D37" s="533" t="s">
        <v>1832</v>
      </c>
      <c r="E37" s="527"/>
      <c r="F37" s="541">
        <v>0.5</v>
      </c>
      <c r="G37" s="540">
        <v>3200</v>
      </c>
      <c r="H37" s="541">
        <f>F37*G37</f>
        <v>1600</v>
      </c>
      <c r="I37" s="1270">
        <f>'Gua. Super TOS'!D13</f>
        <v>0.43680000000000008</v>
      </c>
      <c r="J37" s="562"/>
      <c r="K37" s="1213"/>
      <c r="L37" s="1215"/>
      <c r="N37" s="527">
        <f t="shared" si="0"/>
        <v>0</v>
      </c>
    </row>
    <row r="38" spans="2:14" ht="23.25">
      <c r="B38" s="1211">
        <v>1.2</v>
      </c>
      <c r="C38" s="1232" t="s">
        <v>1861</v>
      </c>
      <c r="D38" s="533" t="s">
        <v>1832</v>
      </c>
      <c r="E38" s="527"/>
      <c r="F38" s="541">
        <v>1</v>
      </c>
      <c r="G38" s="540">
        <v>3200</v>
      </c>
      <c r="H38" s="541">
        <f>F38*G38</f>
        <v>3200</v>
      </c>
      <c r="I38" s="1270">
        <f>'Gua. Super TOS'!D24</f>
        <v>1.0680000000000001</v>
      </c>
      <c r="J38" s="562"/>
      <c r="K38" s="1213"/>
      <c r="L38" s="1215"/>
      <c r="N38" s="527">
        <f t="shared" si="0"/>
        <v>0</v>
      </c>
    </row>
    <row r="39" spans="2:14" ht="42">
      <c r="B39" s="1211"/>
      <c r="C39" s="534" t="s">
        <v>1848</v>
      </c>
      <c r="D39" s="533"/>
      <c r="E39" s="527"/>
      <c r="F39" s="541"/>
      <c r="G39" s="540"/>
      <c r="H39" s="541"/>
      <c r="I39" s="1270"/>
      <c r="J39" s="562"/>
      <c r="K39" s="1213"/>
      <c r="L39" s="1215"/>
      <c r="N39" s="527">
        <f t="shared" si="0"/>
        <v>0</v>
      </c>
    </row>
    <row r="40" spans="2:14" ht="23.25">
      <c r="B40" s="1211">
        <v>1.3</v>
      </c>
      <c r="C40" s="1232" t="s">
        <v>1847</v>
      </c>
      <c r="D40" s="533" t="s">
        <v>1831</v>
      </c>
      <c r="E40" s="527"/>
      <c r="F40" s="541">
        <v>8</v>
      </c>
      <c r="G40" s="540">
        <v>130</v>
      </c>
      <c r="H40" s="541">
        <f>F40*G40</f>
        <v>1040</v>
      </c>
      <c r="I40" s="1270">
        <f>'Gua. Super TOS'!D30</f>
        <v>8.7360000000000007</v>
      </c>
      <c r="J40" s="562"/>
      <c r="K40" s="1213"/>
      <c r="L40" s="1215"/>
      <c r="N40" s="527">
        <f t="shared" si="0"/>
        <v>0</v>
      </c>
    </row>
    <row r="41" spans="2:14" ht="23.25">
      <c r="B41" s="1211">
        <v>1.4</v>
      </c>
      <c r="C41" s="1232" t="s">
        <v>1862</v>
      </c>
      <c r="D41" s="533" t="s">
        <v>1831</v>
      </c>
      <c r="E41" s="527"/>
      <c r="F41" s="541">
        <v>16</v>
      </c>
      <c r="G41" s="540">
        <v>130</v>
      </c>
      <c r="H41" s="541">
        <f>F41*G41</f>
        <v>2080</v>
      </c>
      <c r="I41" s="1270">
        <f>'Gua. Super TOS'!D42</f>
        <v>14.080000000000002</v>
      </c>
      <c r="J41" s="562"/>
      <c r="K41" s="1213"/>
      <c r="L41" s="1215"/>
      <c r="N41" s="527">
        <f t="shared" ref="N41:N71" si="2">J41*G41</f>
        <v>0</v>
      </c>
    </row>
    <row r="42" spans="2:14" ht="42">
      <c r="B42" s="1211"/>
      <c r="C42" s="534" t="s">
        <v>1849</v>
      </c>
      <c r="D42" s="533"/>
      <c r="E42" s="527"/>
      <c r="F42" s="544"/>
      <c r="G42" s="521"/>
      <c r="H42" s="541">
        <f>F42*G42</f>
        <v>0</v>
      </c>
      <c r="I42" s="1270"/>
      <c r="J42" s="1241"/>
      <c r="K42" s="1213"/>
      <c r="L42" s="1215"/>
      <c r="N42" s="527">
        <f t="shared" si="2"/>
        <v>0</v>
      </c>
    </row>
    <row r="43" spans="2:14">
      <c r="B43" s="1211">
        <v>1.5</v>
      </c>
      <c r="C43" s="1242" t="s">
        <v>1857</v>
      </c>
      <c r="D43" s="533" t="s">
        <v>1779</v>
      </c>
      <c r="E43" s="527"/>
      <c r="F43" s="544">
        <v>66</v>
      </c>
      <c r="G43" s="521">
        <v>36</v>
      </c>
      <c r="H43" s="541">
        <v>2376</v>
      </c>
      <c r="I43" s="1270"/>
      <c r="J43" s="1241"/>
      <c r="K43" s="1213"/>
      <c r="L43" s="1215"/>
      <c r="N43" s="527">
        <f t="shared" si="2"/>
        <v>0</v>
      </c>
    </row>
    <row r="44" spans="2:14">
      <c r="B44" s="1211">
        <v>1.6</v>
      </c>
      <c r="C44" s="1242" t="s">
        <v>1841</v>
      </c>
      <c r="D44" s="533" t="s">
        <v>1779</v>
      </c>
      <c r="E44" s="527"/>
      <c r="F44" s="544">
        <v>55</v>
      </c>
      <c r="G44" s="521">
        <v>36</v>
      </c>
      <c r="H44" s="541">
        <f>F44*G44</f>
        <v>1980</v>
      </c>
      <c r="I44" s="1270">
        <f>'Gua. Super TOS'!D45</f>
        <v>169.50144000000006</v>
      </c>
      <c r="J44" s="1241"/>
      <c r="K44" s="1213"/>
      <c r="L44" s="1215"/>
      <c r="N44" s="527">
        <f t="shared" si="2"/>
        <v>0</v>
      </c>
    </row>
    <row r="45" spans="2:14" ht="21.75" thickBot="1">
      <c r="B45" s="1217">
        <v>1.7</v>
      </c>
      <c r="C45" s="1239" t="s">
        <v>1858</v>
      </c>
      <c r="D45" s="535" t="s">
        <v>1779</v>
      </c>
      <c r="E45" s="527"/>
      <c r="F45" s="549">
        <v>3</v>
      </c>
      <c r="G45" s="559">
        <v>36</v>
      </c>
      <c r="H45" s="543">
        <f>F45*G45</f>
        <v>108</v>
      </c>
      <c r="I45" s="1273">
        <f>'Gua. Super TOS'!D48</f>
        <v>52.732500000000002</v>
      </c>
      <c r="J45" s="1219"/>
      <c r="K45" s="1220"/>
      <c r="L45" s="1221"/>
      <c r="N45" s="527">
        <f t="shared" si="2"/>
        <v>0</v>
      </c>
    </row>
    <row r="46" spans="2:14" s="557" customFormat="1" ht="27.75" thickTop="1" thickBot="1">
      <c r="B46" s="2354" t="s">
        <v>1854</v>
      </c>
      <c r="C46" s="2355"/>
      <c r="D46" s="2356"/>
      <c r="F46" s="1222"/>
      <c r="G46" s="1223"/>
      <c r="H46" s="1222">
        <f>SUM(H37:H45)</f>
        <v>12384</v>
      </c>
      <c r="I46" s="550"/>
      <c r="J46" s="1224"/>
      <c r="K46" s="1225"/>
      <c r="L46" s="1226"/>
      <c r="N46" s="527">
        <f t="shared" si="2"/>
        <v>0</v>
      </c>
    </row>
    <row r="47" spans="2:14" s="524" customFormat="1" ht="21.75" thickTop="1">
      <c r="B47" s="560"/>
      <c r="C47" s="1243" t="s">
        <v>1778</v>
      </c>
      <c r="D47" s="552"/>
      <c r="F47" s="1244"/>
      <c r="G47" s="1245"/>
      <c r="H47" s="1244"/>
      <c r="I47" s="1275"/>
      <c r="J47" s="1246"/>
      <c r="K47" s="1228"/>
      <c r="L47" s="1247"/>
      <c r="N47" s="527">
        <f t="shared" si="2"/>
        <v>0</v>
      </c>
    </row>
    <row r="48" spans="2:14" ht="23.25">
      <c r="B48" s="561">
        <v>2.1</v>
      </c>
      <c r="C48" s="562" t="s">
        <v>1863</v>
      </c>
      <c r="D48" s="533" t="s">
        <v>1831</v>
      </c>
      <c r="E48" s="527"/>
      <c r="F48" s="1213">
        <v>51</v>
      </c>
      <c r="G48" s="1214">
        <v>350</v>
      </c>
      <c r="H48" s="1213">
        <f>F48*G48</f>
        <v>17850</v>
      </c>
      <c r="I48" s="1265">
        <f>'Gua. Super TOS'!H19</f>
        <v>60.981999999999999</v>
      </c>
      <c r="J48" s="562"/>
      <c r="K48" s="1213"/>
      <c r="L48" s="1215"/>
      <c r="N48" s="527">
        <f t="shared" si="2"/>
        <v>0</v>
      </c>
    </row>
    <row r="49" spans="2:14" ht="23.25">
      <c r="B49" s="561">
        <v>2.2000000000000002</v>
      </c>
      <c r="C49" s="562" t="s">
        <v>1667</v>
      </c>
      <c r="D49" s="533" t="s">
        <v>1831</v>
      </c>
      <c r="E49" s="527"/>
      <c r="F49" s="1213">
        <v>14</v>
      </c>
      <c r="G49" s="1214">
        <v>320</v>
      </c>
      <c r="H49" s="1213">
        <f>F49*G49</f>
        <v>4480</v>
      </c>
      <c r="I49" s="1265"/>
      <c r="J49" s="562"/>
      <c r="K49" s="1213"/>
      <c r="L49" s="1215"/>
      <c r="N49" s="527">
        <f t="shared" si="2"/>
        <v>0</v>
      </c>
    </row>
    <row r="50" spans="2:14" s="557" customFormat="1" ht="26.25">
      <c r="B50" s="2351" t="s">
        <v>1854</v>
      </c>
      <c r="C50" s="2352"/>
      <c r="D50" s="2353"/>
      <c r="F50" s="1248"/>
      <c r="G50" s="1249"/>
      <c r="H50" s="1248">
        <f>H49+H48</f>
        <v>22330</v>
      </c>
      <c r="I50" s="563"/>
      <c r="J50" s="1250"/>
      <c r="K50" s="1251"/>
      <c r="L50" s="1252"/>
      <c r="N50" s="527">
        <f t="shared" si="2"/>
        <v>0</v>
      </c>
    </row>
    <row r="51" spans="2:14">
      <c r="B51" s="561"/>
      <c r="C51" s="564" t="s">
        <v>1864</v>
      </c>
      <c r="D51" s="541"/>
      <c r="E51" s="527"/>
      <c r="F51" s="1213"/>
      <c r="G51" s="1214"/>
      <c r="H51" s="1213"/>
      <c r="I51" s="1265"/>
      <c r="J51" s="562"/>
      <c r="K51" s="1213"/>
      <c r="L51" s="1215"/>
      <c r="N51" s="527">
        <f t="shared" si="2"/>
        <v>0</v>
      </c>
    </row>
    <row r="52" spans="2:14" ht="42">
      <c r="B52" s="561">
        <v>3.1</v>
      </c>
      <c r="C52" s="553" t="s">
        <v>1875</v>
      </c>
      <c r="D52" s="533" t="s">
        <v>1831</v>
      </c>
      <c r="E52" s="527"/>
      <c r="F52" s="544">
        <v>30</v>
      </c>
      <c r="G52" s="521">
        <v>360</v>
      </c>
      <c r="H52" s="544">
        <f>F52*G52</f>
        <v>10800</v>
      </c>
      <c r="I52" s="1270">
        <f>'Gua. Super TOS'!H25</f>
        <v>23.779999999999998</v>
      </c>
      <c r="J52" s="562"/>
      <c r="K52" s="1213"/>
      <c r="L52" s="1215"/>
      <c r="N52" s="527">
        <f t="shared" si="2"/>
        <v>0</v>
      </c>
    </row>
    <row r="53" spans="2:14" ht="23.25">
      <c r="B53" s="1211">
        <v>3.2</v>
      </c>
      <c r="C53" s="1232" t="s">
        <v>1876</v>
      </c>
      <c r="D53" s="533" t="s">
        <v>1831</v>
      </c>
      <c r="E53" s="527"/>
      <c r="F53" s="1213">
        <v>20</v>
      </c>
      <c r="G53" s="1214">
        <v>160</v>
      </c>
      <c r="H53" s="1213">
        <f>G53*F53</f>
        <v>3200</v>
      </c>
      <c r="I53" s="1265">
        <f>'Gua. Super TOS'!H30</f>
        <v>2.9</v>
      </c>
      <c r="J53" s="562"/>
      <c r="K53" s="1213"/>
      <c r="L53" s="1215"/>
      <c r="N53" s="527">
        <f t="shared" si="2"/>
        <v>0</v>
      </c>
    </row>
    <row r="54" spans="2:14" ht="42">
      <c r="B54" s="1211">
        <v>3.3</v>
      </c>
      <c r="C54" s="1216" t="s">
        <v>1877</v>
      </c>
      <c r="D54" s="533" t="s">
        <v>1406</v>
      </c>
      <c r="E54" s="527"/>
      <c r="F54" s="1213">
        <v>11</v>
      </c>
      <c r="G54" s="1214">
        <v>110</v>
      </c>
      <c r="H54" s="1213">
        <f>G54*F54</f>
        <v>1210</v>
      </c>
      <c r="I54" s="1265">
        <f>'Gua. Super TOS'!H34</f>
        <v>5.8</v>
      </c>
      <c r="J54" s="562"/>
      <c r="K54" s="1213"/>
      <c r="L54" s="1215"/>
      <c r="N54" s="527">
        <f t="shared" si="2"/>
        <v>0</v>
      </c>
    </row>
    <row r="55" spans="2:14" ht="21.75" thickBot="1">
      <c r="B55" s="1217">
        <v>3.4</v>
      </c>
      <c r="C55" s="1253" t="s">
        <v>1850</v>
      </c>
      <c r="D55" s="535" t="s">
        <v>1406</v>
      </c>
      <c r="E55" s="527"/>
      <c r="F55" s="1220">
        <v>22</v>
      </c>
      <c r="G55" s="1240">
        <v>120</v>
      </c>
      <c r="H55" s="1220">
        <f>G55*F55</f>
        <v>2640</v>
      </c>
      <c r="I55" s="1274">
        <f>'Gua. Super TOS'!H43</f>
        <v>9.35</v>
      </c>
      <c r="J55" s="1219"/>
      <c r="K55" s="1220"/>
      <c r="L55" s="1221"/>
      <c r="N55" s="527">
        <f t="shared" si="2"/>
        <v>0</v>
      </c>
    </row>
    <row r="56" spans="2:14" s="557" customFormat="1" ht="27.75" thickTop="1" thickBot="1">
      <c r="B56" s="2354" t="s">
        <v>1854</v>
      </c>
      <c r="C56" s="2355"/>
      <c r="D56" s="2356"/>
      <c r="F56" s="1222"/>
      <c r="G56" s="1223"/>
      <c r="H56" s="1222">
        <f>SUM(H52:H55)</f>
        <v>17850</v>
      </c>
      <c r="I56" s="550"/>
      <c r="J56" s="1224"/>
      <c r="K56" s="1225"/>
      <c r="L56" s="1226"/>
      <c r="N56" s="527">
        <f t="shared" si="2"/>
        <v>0</v>
      </c>
    </row>
    <row r="57" spans="2:14" s="524" customFormat="1" ht="21.75" thickTop="1">
      <c r="B57" s="560"/>
      <c r="C57" s="1243" t="s">
        <v>1865</v>
      </c>
      <c r="D57" s="552"/>
      <c r="F57" s="1244"/>
      <c r="G57" s="1245"/>
      <c r="H57" s="1244"/>
      <c r="I57" s="1275"/>
      <c r="J57" s="1246"/>
      <c r="K57" s="1228"/>
      <c r="L57" s="1247"/>
      <c r="N57" s="527">
        <f t="shared" si="2"/>
        <v>0</v>
      </c>
    </row>
    <row r="58" spans="2:14">
      <c r="B58" s="561">
        <v>4.0999999999999996</v>
      </c>
      <c r="C58" s="1076" t="s">
        <v>1866</v>
      </c>
      <c r="D58" s="541" t="s">
        <v>1406</v>
      </c>
      <c r="E58" s="527"/>
      <c r="F58" s="1213">
        <v>44</v>
      </c>
      <c r="G58" s="1214">
        <v>23</v>
      </c>
      <c r="H58" s="1213">
        <f>G58*F58</f>
        <v>1012</v>
      </c>
      <c r="I58" s="1270">
        <f>'Gua. Super TOS'!H49</f>
        <v>40</v>
      </c>
      <c r="J58" s="562"/>
      <c r="K58" s="1213"/>
      <c r="L58" s="1215"/>
      <c r="N58" s="527">
        <f t="shared" si="2"/>
        <v>0</v>
      </c>
    </row>
    <row r="59" spans="2:14">
      <c r="B59" s="561">
        <v>4.2</v>
      </c>
      <c r="C59" s="1076" t="s">
        <v>1867</v>
      </c>
      <c r="D59" s="541" t="s">
        <v>1406</v>
      </c>
      <c r="E59" s="527"/>
      <c r="F59" s="1213">
        <v>27</v>
      </c>
      <c r="G59" s="1214">
        <v>16</v>
      </c>
      <c r="H59" s="1213">
        <f>G59*F59</f>
        <v>432</v>
      </c>
      <c r="I59" s="1270">
        <f>'Gua. Super TOS'!H52</f>
        <v>31.200000000000003</v>
      </c>
      <c r="J59" s="562"/>
      <c r="K59" s="1213"/>
      <c r="L59" s="1215"/>
      <c r="N59" s="527">
        <f t="shared" si="2"/>
        <v>0</v>
      </c>
    </row>
    <row r="60" spans="2:14">
      <c r="B60" s="561">
        <v>4.3</v>
      </c>
      <c r="C60" s="562" t="s">
        <v>1868</v>
      </c>
      <c r="D60" s="541" t="s">
        <v>1406</v>
      </c>
      <c r="E60" s="527"/>
      <c r="F60" s="1213">
        <v>47</v>
      </c>
      <c r="G60" s="1214">
        <v>33</v>
      </c>
      <c r="H60" s="1213">
        <f>G60*F60</f>
        <v>1551</v>
      </c>
      <c r="I60" s="1270">
        <f>'Gua. Super TOS'!H56</f>
        <v>36</v>
      </c>
      <c r="J60" s="562"/>
      <c r="K60" s="1213"/>
      <c r="L60" s="1215"/>
      <c r="N60" s="527">
        <f t="shared" si="2"/>
        <v>0</v>
      </c>
    </row>
    <row r="61" spans="2:14" ht="42.75" thickBot="1">
      <c r="B61" s="565">
        <v>4.4000000000000004</v>
      </c>
      <c r="C61" s="1078" t="s">
        <v>1878</v>
      </c>
      <c r="D61" s="543" t="s">
        <v>1406</v>
      </c>
      <c r="E61" s="527"/>
      <c r="F61" s="1220">
        <v>11</v>
      </c>
      <c r="G61" s="1240">
        <v>71</v>
      </c>
      <c r="H61" s="1220">
        <f>G61*F61</f>
        <v>781</v>
      </c>
      <c r="I61" s="1274">
        <f>'Gua. Super TOS'!H64</f>
        <v>7</v>
      </c>
      <c r="J61" s="1219"/>
      <c r="K61" s="1220"/>
      <c r="L61" s="1221"/>
      <c r="N61" s="527">
        <f t="shared" si="2"/>
        <v>0</v>
      </c>
    </row>
    <row r="62" spans="2:14" s="557" customFormat="1" ht="27.75" thickTop="1" thickBot="1">
      <c r="B62" s="2354" t="s">
        <v>1854</v>
      </c>
      <c r="C62" s="2355"/>
      <c r="D62" s="2356"/>
      <c r="F62" s="1222"/>
      <c r="G62" s="1223"/>
      <c r="H62" s="1222">
        <f>SUM(H58:H61)</f>
        <v>3776</v>
      </c>
      <c r="I62" s="550"/>
      <c r="J62" s="1224"/>
      <c r="K62" s="1225"/>
      <c r="L62" s="1226"/>
      <c r="N62" s="527">
        <f t="shared" si="2"/>
        <v>0</v>
      </c>
    </row>
    <row r="63" spans="2:14" ht="21.75" thickTop="1">
      <c r="B63" s="566"/>
      <c r="C63" s="1227" t="s">
        <v>1879</v>
      </c>
      <c r="D63" s="551"/>
      <c r="E63" s="527"/>
      <c r="F63" s="1228"/>
      <c r="G63" s="1229"/>
      <c r="H63" s="1228"/>
      <c r="I63" s="1269"/>
      <c r="J63" s="1230"/>
      <c r="K63" s="1228"/>
      <c r="L63" s="1231"/>
      <c r="N63" s="527">
        <f t="shared" si="2"/>
        <v>0</v>
      </c>
    </row>
    <row r="64" spans="2:14" ht="42">
      <c r="B64" s="1211">
        <v>6.1</v>
      </c>
      <c r="C64" s="1216" t="s">
        <v>1851</v>
      </c>
      <c r="D64" s="533" t="s">
        <v>1831</v>
      </c>
      <c r="E64" s="527"/>
      <c r="F64" s="1213">
        <v>30</v>
      </c>
      <c r="G64" s="1214">
        <v>140</v>
      </c>
      <c r="H64" s="1213">
        <f t="shared" ref="H64:H70" si="3">G64*F64</f>
        <v>4200</v>
      </c>
      <c r="I64" s="1265">
        <f>'Gua. Super TOS'!D86</f>
        <v>39.425999999999995</v>
      </c>
      <c r="J64" s="562"/>
      <c r="K64" s="1213"/>
      <c r="L64" s="1215"/>
      <c r="M64" s="554"/>
      <c r="N64" s="527">
        <f t="shared" si="2"/>
        <v>0</v>
      </c>
    </row>
    <row r="65" spans="2:14" ht="42">
      <c r="B65" s="1211">
        <v>6.2</v>
      </c>
      <c r="C65" s="1216" t="s">
        <v>1852</v>
      </c>
      <c r="D65" s="533" t="s">
        <v>1831</v>
      </c>
      <c r="E65" s="527"/>
      <c r="F65" s="1213">
        <v>47</v>
      </c>
      <c r="G65" s="1214">
        <v>150</v>
      </c>
      <c r="H65" s="1213">
        <f t="shared" si="3"/>
        <v>7050</v>
      </c>
      <c r="I65" s="1265">
        <f>'Gua. Super TOS'!D120</f>
        <v>93.111999999999995</v>
      </c>
      <c r="J65" s="562"/>
      <c r="K65" s="1213"/>
      <c r="L65" s="1215"/>
      <c r="M65" s="554"/>
      <c r="N65" s="527">
        <f t="shared" si="2"/>
        <v>0</v>
      </c>
    </row>
    <row r="66" spans="2:14" ht="42">
      <c r="B66" s="1211">
        <v>6.3</v>
      </c>
      <c r="C66" s="1216" t="s">
        <v>1880</v>
      </c>
      <c r="D66" s="533" t="s">
        <v>1831</v>
      </c>
      <c r="E66" s="527"/>
      <c r="F66" s="1213">
        <v>14</v>
      </c>
      <c r="G66" s="1214">
        <v>310</v>
      </c>
      <c r="H66" s="1213">
        <f t="shared" si="3"/>
        <v>4340</v>
      </c>
      <c r="I66" s="1265">
        <f>'Gua. Super TOS'!H76</f>
        <v>16.299999999999997</v>
      </c>
      <c r="J66" s="562"/>
      <c r="K66" s="1213"/>
      <c r="L66" s="1215"/>
      <c r="M66" s="554"/>
      <c r="N66" s="527">
        <f t="shared" si="2"/>
        <v>0</v>
      </c>
    </row>
    <row r="67" spans="2:14" s="526" customFormat="1" ht="42">
      <c r="B67" s="1211">
        <v>6.5</v>
      </c>
      <c r="C67" s="1216" t="s">
        <v>1881</v>
      </c>
      <c r="D67" s="533" t="s">
        <v>1831</v>
      </c>
      <c r="F67" s="1213">
        <v>14</v>
      </c>
      <c r="G67" s="1214">
        <v>370</v>
      </c>
      <c r="H67" s="1213">
        <f t="shared" si="3"/>
        <v>5180</v>
      </c>
      <c r="I67" s="1265"/>
      <c r="J67" s="562"/>
      <c r="K67" s="1213"/>
      <c r="L67" s="1215"/>
      <c r="N67" s="527">
        <f t="shared" si="2"/>
        <v>0</v>
      </c>
    </row>
    <row r="68" spans="2:14" s="526" customFormat="1" ht="42">
      <c r="B68" s="1211">
        <v>6.5</v>
      </c>
      <c r="C68" s="1216" t="s">
        <v>1882</v>
      </c>
      <c r="D68" s="533" t="s">
        <v>1406</v>
      </c>
      <c r="F68" s="1213">
        <v>27</v>
      </c>
      <c r="G68" s="1214">
        <v>35</v>
      </c>
      <c r="H68" s="1213">
        <f t="shared" si="3"/>
        <v>945</v>
      </c>
      <c r="I68" s="1265"/>
      <c r="J68" s="562"/>
      <c r="K68" s="1213"/>
      <c r="L68" s="1215"/>
      <c r="N68" s="527">
        <f t="shared" si="2"/>
        <v>0</v>
      </c>
    </row>
    <row r="69" spans="2:14" s="526" customFormat="1" ht="42">
      <c r="B69" s="1254">
        <v>6.16</v>
      </c>
      <c r="C69" s="1216" t="s">
        <v>1883</v>
      </c>
      <c r="D69" s="533" t="s">
        <v>1402</v>
      </c>
      <c r="F69" s="1213">
        <v>4</v>
      </c>
      <c r="G69" s="1214">
        <v>150</v>
      </c>
      <c r="H69" s="1213">
        <f t="shared" si="3"/>
        <v>600</v>
      </c>
      <c r="I69" s="1265"/>
      <c r="J69" s="562"/>
      <c r="K69" s="1213"/>
      <c r="L69" s="1215"/>
      <c r="N69" s="527">
        <f t="shared" si="2"/>
        <v>0</v>
      </c>
    </row>
    <row r="70" spans="2:14" s="526" customFormat="1" ht="42.75" thickBot="1">
      <c r="B70" s="1255">
        <v>6.21</v>
      </c>
      <c r="C70" s="1253" t="s">
        <v>1869</v>
      </c>
      <c r="D70" s="535" t="s">
        <v>1402</v>
      </c>
      <c r="F70" s="1220">
        <v>42</v>
      </c>
      <c r="G70" s="1240">
        <v>530</v>
      </c>
      <c r="H70" s="1220">
        <f t="shared" si="3"/>
        <v>22260</v>
      </c>
      <c r="I70" s="1274">
        <f>'Gua. Super TOS'!H88</f>
        <v>29.05</v>
      </c>
      <c r="J70" s="1219"/>
      <c r="K70" s="1220"/>
      <c r="L70" s="1221"/>
      <c r="N70" s="527">
        <f t="shared" si="2"/>
        <v>0</v>
      </c>
    </row>
    <row r="71" spans="2:14" s="557" customFormat="1" ht="27.75" thickTop="1" thickBot="1">
      <c r="B71" s="2354" t="s">
        <v>1854</v>
      </c>
      <c r="C71" s="2355"/>
      <c r="D71" s="2356"/>
      <c r="F71" s="1224"/>
      <c r="G71" s="1256"/>
      <c r="H71" s="1224">
        <f>SUM(H64:H70)</f>
        <v>44575</v>
      </c>
      <c r="I71" s="567"/>
      <c r="J71" s="1224"/>
      <c r="K71" s="1224"/>
      <c r="L71" s="1257"/>
      <c r="N71" s="527">
        <f t="shared" si="2"/>
        <v>0</v>
      </c>
    </row>
    <row r="72" spans="2:14" ht="27" thickTop="1">
      <c r="D72" s="568"/>
      <c r="E72" s="527"/>
      <c r="F72" s="571"/>
      <c r="I72" s="1276"/>
      <c r="N72" s="1259">
        <f>SUM(N9:N71)</f>
        <v>0</v>
      </c>
    </row>
    <row r="73" spans="2:14">
      <c r="B73" s="569"/>
      <c r="C73" s="556"/>
      <c r="D73" s="570"/>
      <c r="E73" s="570"/>
      <c r="F73" s="1260"/>
      <c r="G73" s="556"/>
      <c r="H73" s="556"/>
      <c r="I73" s="1276"/>
    </row>
    <row r="74" spans="2:14">
      <c r="D74" s="568"/>
      <c r="E74" s="568"/>
      <c r="F74" s="571"/>
      <c r="I74" s="1276"/>
    </row>
    <row r="75" spans="2:14">
      <c r="D75" s="568"/>
      <c r="E75" s="568"/>
      <c r="F75" s="571"/>
      <c r="I75" s="1276"/>
    </row>
    <row r="76" spans="2:14">
      <c r="D76" s="568"/>
      <c r="E76" s="568"/>
      <c r="F76" s="571"/>
    </row>
    <row r="77" spans="2:14">
      <c r="D77" s="568"/>
      <c r="E77" s="568"/>
      <c r="F77" s="571"/>
    </row>
    <row r="78" spans="2:14">
      <c r="D78" s="568"/>
      <c r="E78" s="568"/>
      <c r="F78" s="571"/>
    </row>
    <row r="79" spans="2:14">
      <c r="D79" s="568"/>
      <c r="E79" s="568"/>
      <c r="F79" s="571"/>
    </row>
    <row r="80" spans="2:14">
      <c r="D80" s="568"/>
      <c r="E80" s="568"/>
      <c r="F80" s="571"/>
    </row>
    <row r="81" spans="4:13">
      <c r="D81" s="568"/>
      <c r="E81" s="568"/>
      <c r="F81" s="571"/>
    </row>
    <row r="82" spans="4:13">
      <c r="D82" s="568"/>
      <c r="E82" s="568"/>
      <c r="F82" s="571"/>
    </row>
    <row r="83" spans="4:13">
      <c r="D83" s="568"/>
      <c r="E83" s="568"/>
      <c r="F83" s="571"/>
      <c r="M83" s="554"/>
    </row>
    <row r="84" spans="4:13">
      <c r="D84" s="568"/>
      <c r="E84" s="568"/>
      <c r="F84" s="571"/>
    </row>
    <row r="85" spans="4:13">
      <c r="D85" s="568"/>
      <c r="E85" s="568"/>
      <c r="F85" s="571"/>
    </row>
    <row r="86" spans="4:13">
      <c r="D86" s="568"/>
      <c r="E86" s="568"/>
      <c r="F86" s="571"/>
    </row>
    <row r="87" spans="4:13">
      <c r="D87" s="568"/>
      <c r="E87" s="568"/>
      <c r="F87" s="571"/>
    </row>
    <row r="88" spans="4:13">
      <c r="D88" s="568"/>
      <c r="E88" s="568"/>
      <c r="F88" s="571"/>
    </row>
    <row r="89" spans="4:13">
      <c r="D89" s="568"/>
      <c r="E89" s="568"/>
      <c r="F89" s="571"/>
    </row>
    <row r="90" spans="4:13">
      <c r="D90" s="568"/>
      <c r="E90" s="568"/>
      <c r="F90" s="571"/>
    </row>
    <row r="91" spans="4:13">
      <c r="D91" s="568"/>
      <c r="E91" s="568"/>
      <c r="F91" s="571"/>
    </row>
  </sheetData>
  <protectedRanges>
    <protectedRange password="CC12" sqref="F11:F14" name="Range1_1_1_1_1_2"/>
    <protectedRange password="CC12" sqref="F25:F26 F17:F23 H25:H27 H17:H23" name="Range1_1_1_1_1_4"/>
  </protectedRanges>
  <mergeCells count="13">
    <mergeCell ref="B71:D71"/>
    <mergeCell ref="B5:B6"/>
    <mergeCell ref="C5:C6"/>
    <mergeCell ref="D5:D6"/>
    <mergeCell ref="B15:D15"/>
    <mergeCell ref="B29:D29"/>
    <mergeCell ref="B33:D33"/>
    <mergeCell ref="B46:D46"/>
    <mergeCell ref="F5:H5"/>
    <mergeCell ref="I5:J5"/>
    <mergeCell ref="B50:D50"/>
    <mergeCell ref="B56:D56"/>
    <mergeCell ref="B62:D62"/>
  </mergeCells>
  <printOptions horizontalCentered="1"/>
  <pageMargins left="0.7" right="0.7" top="0.99750000000000005" bottom="0.75" header="0.3" footer="0.3"/>
  <pageSetup paperSize="9" scale="48" orientation="landscape" r:id="rId1"/>
  <headerFooter>
    <oddFooter>&amp;L&amp;16prepared by________&amp;R&amp;16Checked by&amp;11________</oddFooter>
  </headerFooter>
  <rowBreaks count="3" manualBreakCount="3">
    <brk id="23" max="16383" man="1"/>
    <brk id="50" max="16383" man="1"/>
    <brk id="72" max="16383" man="1"/>
  </rowBreaks>
  <colBreaks count="2" manualBreakCount="2">
    <brk id="10" max="71" man="1"/>
    <brk id="13" max="1048575" man="1"/>
  </col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view="pageBreakPreview" zoomScale="85" zoomScaleNormal="115" zoomScaleSheetLayoutView="85" zoomScalePageLayoutView="85" workbookViewId="0">
      <selection activeCell="B66" sqref="B66:I112"/>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331"/>
      <c r="H1" s="821" t="s">
        <v>1918</v>
      </c>
      <c r="I1" s="1332">
        <f ca="1">TODAY()</f>
        <v>42423</v>
      </c>
      <c r="J1" s="820"/>
    </row>
    <row r="2" spans="1:10">
      <c r="A2" s="834"/>
      <c r="B2" s="2059" t="s">
        <v>1917</v>
      </c>
      <c r="C2" s="2059"/>
      <c r="D2" s="2059"/>
      <c r="E2" s="2059"/>
      <c r="F2" s="819"/>
      <c r="G2" s="1331"/>
      <c r="J2" s="834"/>
    </row>
    <row r="3" spans="1:10">
      <c r="A3" s="834"/>
      <c r="B3" s="2059" t="s">
        <v>1920</v>
      </c>
      <c r="C3" s="2059"/>
      <c r="D3" s="2059"/>
      <c r="E3" s="2059"/>
      <c r="F3" s="2059"/>
      <c r="G3" s="1331"/>
      <c r="H3" s="2060" t="s">
        <v>3234</v>
      </c>
      <c r="I3" s="2060"/>
      <c r="J3" s="834"/>
    </row>
    <row r="4" spans="1:10">
      <c r="A4" s="834"/>
      <c r="B4" s="2059" t="s">
        <v>1921</v>
      </c>
      <c r="C4" s="2059"/>
      <c r="D4" s="2059"/>
      <c r="E4" s="2059"/>
      <c r="F4" s="819"/>
      <c r="G4" s="1331"/>
      <c r="H4" s="2061"/>
      <c r="I4" s="2061"/>
      <c r="J4" s="834"/>
    </row>
    <row r="5" spans="1:10">
      <c r="A5" s="834"/>
      <c r="B5" s="824"/>
      <c r="C5" s="1331"/>
      <c r="D5" s="1331"/>
      <c r="E5" s="825"/>
      <c r="F5" s="819"/>
      <c r="G5" s="1330"/>
      <c r="H5" s="827"/>
      <c r="I5" s="1330"/>
      <c r="J5" s="834"/>
    </row>
    <row r="6" spans="1:10">
      <c r="A6" s="1162"/>
      <c r="B6" s="909" t="s">
        <v>1884</v>
      </c>
      <c r="C6" s="911" t="s">
        <v>526</v>
      </c>
      <c r="D6" s="910" t="s">
        <v>1885</v>
      </c>
      <c r="E6" s="911" t="s">
        <v>1886</v>
      </c>
      <c r="F6" s="909" t="s">
        <v>1884</v>
      </c>
      <c r="G6" s="911" t="s">
        <v>526</v>
      </c>
      <c r="H6" s="910" t="s">
        <v>1885</v>
      </c>
      <c r="I6" s="911" t="s">
        <v>1886</v>
      </c>
      <c r="J6" s="1162"/>
    </row>
    <row r="7" spans="1:10">
      <c r="A7" s="834"/>
      <c r="B7" s="435"/>
      <c r="C7" s="829"/>
      <c r="D7" s="832"/>
      <c r="E7" s="844"/>
      <c r="F7" s="435"/>
      <c r="G7" s="829"/>
      <c r="H7" s="832"/>
      <c r="I7" s="844"/>
    </row>
    <row r="8" spans="1:10">
      <c r="A8" s="834"/>
      <c r="B8" s="435"/>
      <c r="C8" s="829"/>
      <c r="D8" s="832"/>
      <c r="E8" s="844"/>
      <c r="F8" s="435"/>
      <c r="G8" s="829"/>
      <c r="H8" s="832"/>
      <c r="I8" s="844"/>
    </row>
    <row r="9" spans="1:10">
      <c r="A9" s="834"/>
      <c r="B9" s="435"/>
      <c r="C9" s="829"/>
      <c r="D9" s="832"/>
      <c r="E9" s="844"/>
      <c r="F9" s="435"/>
      <c r="G9" s="829"/>
      <c r="H9" s="832"/>
      <c r="I9" s="844"/>
    </row>
    <row r="10" spans="1:10">
      <c r="A10" s="834"/>
      <c r="B10" s="435"/>
      <c r="C10" s="829"/>
      <c r="D10" s="832"/>
      <c r="E10" s="844"/>
      <c r="F10" s="435"/>
      <c r="G10" s="829"/>
      <c r="H10" s="832"/>
      <c r="I10" s="844"/>
    </row>
    <row r="11" spans="1:10">
      <c r="A11" s="834"/>
      <c r="B11" s="435"/>
      <c r="C11" s="829"/>
      <c r="D11" s="832"/>
      <c r="E11" s="844"/>
      <c r="F11" s="435"/>
      <c r="G11" s="829"/>
      <c r="H11" s="832"/>
      <c r="I11" s="844"/>
    </row>
    <row r="12" spans="1:10">
      <c r="A12" s="834"/>
      <c r="B12" s="435"/>
      <c r="C12" s="829"/>
      <c r="D12" s="832"/>
      <c r="E12" s="844"/>
      <c r="F12" s="435"/>
      <c r="G12" s="829"/>
      <c r="H12" s="832"/>
      <c r="I12" s="844"/>
    </row>
    <row r="13" spans="1:10">
      <c r="A13" s="834"/>
      <c r="B13" s="435"/>
      <c r="C13" s="1335"/>
      <c r="D13" s="1335"/>
      <c r="E13" s="435"/>
      <c r="F13" s="435"/>
      <c r="G13" s="829"/>
      <c r="H13" s="832"/>
      <c r="I13" s="844"/>
    </row>
    <row r="14" spans="1:10">
      <c r="A14" s="834"/>
      <c r="B14" s="435"/>
      <c r="C14" s="829"/>
      <c r="D14" s="832"/>
      <c r="E14" s="844"/>
      <c r="F14" s="435"/>
      <c r="G14" s="829"/>
      <c r="H14" s="832"/>
      <c r="I14" s="844"/>
    </row>
    <row r="15" spans="1:10">
      <c r="A15" s="834"/>
      <c r="B15" s="435"/>
      <c r="C15" s="829"/>
      <c r="D15" s="832"/>
      <c r="E15" s="844"/>
      <c r="F15" s="435"/>
      <c r="G15" s="829"/>
      <c r="H15" s="832"/>
      <c r="I15" s="844"/>
    </row>
    <row r="16" spans="1:10">
      <c r="A16" s="834"/>
      <c r="B16" s="435"/>
      <c r="C16" s="829"/>
      <c r="D16" s="832"/>
      <c r="E16" s="844"/>
      <c r="F16" s="435"/>
      <c r="G16" s="829"/>
      <c r="H16" s="832"/>
      <c r="I16" s="844"/>
    </row>
    <row r="17" spans="1:10">
      <c r="A17" s="834"/>
      <c r="B17" s="435"/>
      <c r="C17" s="829"/>
      <c r="D17" s="832"/>
      <c r="E17" s="844"/>
      <c r="F17" s="435"/>
      <c r="G17" s="829"/>
      <c r="H17" s="832"/>
      <c r="I17" s="844"/>
    </row>
    <row r="18" spans="1:10">
      <c r="A18" s="834"/>
      <c r="B18" s="435"/>
      <c r="C18" s="829"/>
      <c r="D18" s="832"/>
      <c r="E18" s="844"/>
      <c r="F18" s="435"/>
      <c r="G18" s="829"/>
      <c r="H18" s="832"/>
      <c r="I18" s="844"/>
    </row>
    <row r="19" spans="1:10">
      <c r="A19" s="834"/>
      <c r="B19" s="435"/>
      <c r="C19" s="829"/>
      <c r="D19" s="832"/>
      <c r="E19" s="844"/>
      <c r="F19" s="435"/>
      <c r="G19" s="829"/>
      <c r="H19" s="832"/>
      <c r="I19" s="844"/>
    </row>
    <row r="20" spans="1:10">
      <c r="A20" s="834"/>
      <c r="B20" s="435"/>
      <c r="C20" s="829"/>
      <c r="D20" s="832"/>
      <c r="E20" s="844"/>
      <c r="F20" s="435"/>
      <c r="G20" s="829"/>
      <c r="H20" s="832"/>
      <c r="I20" s="844"/>
    </row>
    <row r="21" spans="1:10">
      <c r="A21" s="834"/>
      <c r="B21" s="435"/>
      <c r="C21" s="829"/>
      <c r="D21" s="832"/>
      <c r="E21" s="844"/>
      <c r="F21" s="435"/>
      <c r="G21" s="829"/>
      <c r="H21" s="832"/>
      <c r="I21" s="844"/>
    </row>
    <row r="22" spans="1:10">
      <c r="A22" s="834"/>
      <c r="B22" s="435"/>
      <c r="C22" s="829"/>
      <c r="D22" s="832"/>
      <c r="E22" s="844"/>
      <c r="F22" s="1335"/>
      <c r="G22" s="848"/>
      <c r="H22" s="843"/>
      <c r="I22" s="435"/>
    </row>
    <row r="23" spans="1:10">
      <c r="A23" s="834"/>
      <c r="B23" s="435"/>
      <c r="C23" s="829"/>
      <c r="D23" s="832"/>
      <c r="E23" s="844"/>
      <c r="F23" s="435"/>
      <c r="G23" s="829"/>
      <c r="H23" s="832"/>
      <c r="I23" s="844"/>
      <c r="J23" s="834"/>
    </row>
    <row r="24" spans="1:10">
      <c r="A24" s="834"/>
      <c r="B24" s="435"/>
      <c r="C24" s="829"/>
      <c r="D24" s="832"/>
      <c r="E24" s="844"/>
      <c r="F24" s="435"/>
      <c r="G24" s="829"/>
      <c r="H24" s="832"/>
      <c r="I24" s="844"/>
      <c r="J24" s="834"/>
    </row>
    <row r="25" spans="1:10">
      <c r="A25" s="834"/>
      <c r="B25" s="435"/>
      <c r="C25" s="829"/>
      <c r="D25" s="832"/>
      <c r="E25" s="844"/>
      <c r="F25" s="435"/>
      <c r="G25" s="829"/>
      <c r="H25" s="832"/>
      <c r="I25" s="844"/>
      <c r="J25" s="834"/>
    </row>
    <row r="26" spans="1:10">
      <c r="A26" s="834"/>
      <c r="B26" s="435"/>
      <c r="C26" s="829"/>
      <c r="D26" s="832"/>
      <c r="E26" s="844"/>
      <c r="F26" s="435"/>
      <c r="G26" s="829"/>
      <c r="H26" s="832"/>
      <c r="I26" s="844"/>
      <c r="J26" s="834"/>
    </row>
    <row r="27" spans="1:10">
      <c r="A27" s="834"/>
      <c r="B27" s="435"/>
      <c r="C27" s="829"/>
      <c r="D27" s="832"/>
      <c r="E27" s="844"/>
      <c r="F27" s="435"/>
      <c r="G27" s="829"/>
      <c r="H27" s="832"/>
      <c r="I27" s="844"/>
      <c r="J27" s="834"/>
    </row>
    <row r="28" spans="1:10">
      <c r="A28" s="834"/>
      <c r="B28" s="435"/>
      <c r="C28" s="829"/>
      <c r="D28" s="832"/>
      <c r="E28" s="844"/>
      <c r="F28" s="435"/>
      <c r="G28" s="829"/>
      <c r="H28" s="832"/>
      <c r="I28" s="844"/>
      <c r="J28" s="834"/>
    </row>
    <row r="29" spans="1:10">
      <c r="A29" s="834"/>
      <c r="B29" s="435"/>
      <c r="C29" s="1335"/>
      <c r="D29" s="1335"/>
      <c r="E29" s="435"/>
      <c r="F29" s="435"/>
      <c r="G29" s="829"/>
      <c r="H29" s="832"/>
      <c r="I29" s="844"/>
      <c r="J29" s="834"/>
    </row>
    <row r="30" spans="1:10">
      <c r="A30" s="834"/>
      <c r="B30" s="435"/>
      <c r="C30" s="829"/>
      <c r="D30" s="832"/>
      <c r="E30" s="844"/>
      <c r="F30" s="435"/>
      <c r="G30" s="829"/>
      <c r="H30" s="832"/>
      <c r="I30" s="844"/>
      <c r="J30" s="834"/>
    </row>
    <row r="31" spans="1:10">
      <c r="A31" s="834"/>
      <c r="B31" s="435"/>
      <c r="C31" s="829"/>
      <c r="D31" s="832"/>
      <c r="E31" s="844"/>
      <c r="F31" s="435"/>
      <c r="G31" s="829"/>
      <c r="H31" s="832"/>
      <c r="I31" s="844"/>
      <c r="J31" s="834"/>
    </row>
    <row r="32" spans="1:10">
      <c r="A32" s="834"/>
      <c r="B32" s="435"/>
      <c r="C32" s="829"/>
      <c r="D32" s="832"/>
      <c r="E32" s="844"/>
      <c r="F32" s="435"/>
      <c r="G32" s="829"/>
      <c r="H32" s="832"/>
      <c r="I32" s="844"/>
      <c r="J32" s="834"/>
    </row>
    <row r="33" spans="1:10" ht="18.75" customHeight="1">
      <c r="A33" s="834"/>
      <c r="B33" s="435"/>
      <c r="C33" s="829"/>
      <c r="D33" s="832"/>
      <c r="E33" s="844"/>
      <c r="F33" s="435"/>
      <c r="G33" s="829"/>
      <c r="H33" s="832"/>
      <c r="I33" s="844"/>
      <c r="J33" s="834"/>
    </row>
    <row r="34" spans="1:10">
      <c r="A34" s="834"/>
      <c r="B34" s="435"/>
      <c r="C34" s="829"/>
      <c r="D34" s="832"/>
      <c r="E34" s="844"/>
      <c r="F34" s="435"/>
      <c r="G34" s="829"/>
      <c r="H34" s="832"/>
      <c r="I34" s="844"/>
      <c r="J34" s="834"/>
    </row>
    <row r="35" spans="1:10">
      <c r="A35" s="834"/>
      <c r="B35" s="435"/>
      <c r="C35" s="829"/>
      <c r="D35" s="832"/>
      <c r="E35" s="844"/>
      <c r="F35" s="435"/>
      <c r="G35" s="829"/>
      <c r="H35" s="832"/>
      <c r="I35" s="844"/>
      <c r="J35" s="834"/>
    </row>
    <row r="36" spans="1:10" ht="18.75" customHeight="1">
      <c r="A36" s="834"/>
      <c r="B36" s="435"/>
      <c r="C36" s="829"/>
      <c r="D36" s="832"/>
      <c r="E36" s="844"/>
      <c r="F36" s="435"/>
      <c r="G36" s="829"/>
      <c r="H36" s="832"/>
      <c r="I36" s="844"/>
      <c r="J36" s="834"/>
    </row>
    <row r="37" spans="1:10">
      <c r="A37" s="834"/>
      <c r="B37" s="435"/>
      <c r="C37" s="829"/>
      <c r="D37" s="832"/>
      <c r="E37" s="844"/>
      <c r="F37" s="435"/>
      <c r="G37" s="829"/>
      <c r="H37" s="832"/>
      <c r="I37" s="844"/>
      <c r="J37" s="834"/>
    </row>
    <row r="38" spans="1:10">
      <c r="A38" s="834"/>
      <c r="B38" s="435"/>
      <c r="C38" s="829"/>
      <c r="D38" s="832"/>
      <c r="E38" s="844"/>
      <c r="F38" s="435"/>
      <c r="G38" s="829"/>
      <c r="H38" s="832"/>
      <c r="I38" s="844"/>
      <c r="J38" s="834"/>
    </row>
    <row r="39" spans="1:10">
      <c r="A39" s="834"/>
      <c r="B39" s="435"/>
      <c r="C39" s="829"/>
      <c r="D39" s="832"/>
      <c r="E39" s="844"/>
      <c r="F39" s="435"/>
      <c r="G39" s="829"/>
      <c r="H39" s="832"/>
      <c r="I39" s="844"/>
      <c r="J39" s="834"/>
    </row>
    <row r="40" spans="1:10">
      <c r="A40" s="834"/>
      <c r="B40" s="435"/>
      <c r="C40" s="1335"/>
      <c r="D40" s="1335"/>
      <c r="E40" s="435"/>
      <c r="F40" s="435"/>
      <c r="G40" s="829"/>
      <c r="H40" s="832"/>
      <c r="I40" s="844"/>
      <c r="J40" s="834"/>
    </row>
    <row r="41" spans="1:10">
      <c r="A41" s="834"/>
      <c r="B41" s="435"/>
      <c r="C41" s="829"/>
      <c r="D41" s="832"/>
      <c r="E41" s="844"/>
      <c r="F41" s="435"/>
      <c r="G41" s="829"/>
      <c r="H41" s="832"/>
      <c r="I41" s="844"/>
      <c r="J41" s="834"/>
    </row>
    <row r="42" spans="1:10">
      <c r="A42" s="834"/>
      <c r="B42" s="435"/>
      <c r="C42" s="829"/>
      <c r="D42" s="832"/>
      <c r="E42" s="844"/>
      <c r="F42" s="435"/>
      <c r="G42" s="829"/>
      <c r="H42" s="832"/>
      <c r="I42" s="844"/>
      <c r="J42" s="834"/>
    </row>
    <row r="43" spans="1:10">
      <c r="A43" s="834"/>
      <c r="B43" s="435"/>
      <c r="C43" s="829"/>
      <c r="D43" s="832"/>
      <c r="E43" s="844"/>
      <c r="F43" s="435"/>
      <c r="G43" s="829"/>
      <c r="H43" s="832"/>
      <c r="I43" s="844"/>
      <c r="J43" s="834"/>
    </row>
    <row r="44" spans="1:10">
      <c r="A44" s="834"/>
      <c r="B44" s="435"/>
      <c r="C44" s="829"/>
      <c r="D44" s="832"/>
      <c r="E44" s="844"/>
      <c r="F44" s="435"/>
      <c r="G44" s="829"/>
      <c r="H44" s="832"/>
      <c r="I44" s="844"/>
      <c r="J44" s="834"/>
    </row>
    <row r="45" spans="1:10">
      <c r="A45" s="834"/>
      <c r="B45" s="435"/>
      <c r="C45" s="829"/>
      <c r="D45" s="832"/>
      <c r="E45" s="844"/>
      <c r="F45" s="435"/>
      <c r="G45" s="829"/>
      <c r="H45" s="832"/>
      <c r="I45" s="844"/>
      <c r="J45" s="834"/>
    </row>
    <row r="46" spans="1:10">
      <c r="A46" s="834"/>
      <c r="B46" s="435"/>
      <c r="C46" s="829"/>
      <c r="D46" s="832"/>
      <c r="E46" s="844"/>
      <c r="F46" s="435"/>
      <c r="G46" s="829"/>
      <c r="H46" s="832"/>
      <c r="I46" s="844"/>
      <c r="J46" s="834"/>
    </row>
    <row r="47" spans="1:10">
      <c r="A47" s="834"/>
      <c r="B47" s="435"/>
      <c r="C47" s="829"/>
      <c r="D47" s="832"/>
      <c r="E47" s="844"/>
      <c r="F47" s="435"/>
      <c r="G47" s="829"/>
      <c r="H47" s="832"/>
      <c r="I47" s="844"/>
      <c r="J47" s="834"/>
    </row>
    <row r="48" spans="1:10">
      <c r="A48" s="834"/>
      <c r="B48" s="435"/>
      <c r="C48" s="829"/>
      <c r="D48" s="832"/>
      <c r="E48" s="844"/>
      <c r="F48" s="435"/>
      <c r="G48" s="829"/>
      <c r="H48" s="832"/>
      <c r="I48" s="844"/>
      <c r="J48" s="834"/>
    </row>
    <row r="49" spans="1:10">
      <c r="A49" s="834"/>
      <c r="B49" s="435"/>
      <c r="C49" s="829"/>
      <c r="D49" s="832"/>
      <c r="E49" s="844"/>
      <c r="F49" s="435"/>
      <c r="G49" s="829"/>
      <c r="H49" s="832"/>
      <c r="I49" s="844"/>
      <c r="J49" s="834"/>
    </row>
    <row r="50" spans="1:10">
      <c r="A50" s="834"/>
      <c r="B50" s="435"/>
      <c r="C50" s="1335"/>
      <c r="D50" s="1335"/>
      <c r="E50" s="435"/>
      <c r="F50" s="435"/>
      <c r="G50" s="829"/>
      <c r="H50" s="832"/>
      <c r="I50" s="844"/>
      <c r="J50" s="834"/>
    </row>
    <row r="51" spans="1:10">
      <c r="A51" s="834"/>
      <c r="B51" s="435"/>
      <c r="C51" s="829"/>
      <c r="D51" s="832"/>
      <c r="E51" s="844"/>
      <c r="F51" s="435"/>
      <c r="G51" s="829"/>
      <c r="H51" s="832"/>
      <c r="I51" s="844"/>
      <c r="J51" s="834"/>
    </row>
    <row r="52" spans="1:10">
      <c r="A52" s="834"/>
      <c r="B52" s="435"/>
      <c r="C52" s="829"/>
      <c r="D52" s="832"/>
      <c r="E52" s="844"/>
      <c r="F52" s="435"/>
      <c r="G52" s="829"/>
      <c r="H52" s="832"/>
      <c r="I52" s="844"/>
      <c r="J52" s="834"/>
    </row>
    <row r="53" spans="1:10">
      <c r="A53" s="834"/>
      <c r="B53" s="435"/>
      <c r="C53" s="829"/>
      <c r="D53" s="832"/>
      <c r="E53" s="844"/>
      <c r="F53" s="435"/>
      <c r="G53" s="829"/>
      <c r="H53" s="832"/>
      <c r="I53" s="844"/>
      <c r="J53" s="834"/>
    </row>
    <row r="54" spans="1:10">
      <c r="A54" s="834"/>
      <c r="B54" s="435"/>
      <c r="C54" s="829"/>
      <c r="D54" s="832"/>
      <c r="E54" s="844"/>
      <c r="F54" s="435"/>
      <c r="G54" s="829"/>
      <c r="H54" s="832"/>
      <c r="I54" s="844"/>
      <c r="J54" s="834"/>
    </row>
    <row r="55" spans="1:10">
      <c r="A55" s="834"/>
      <c r="B55" s="435"/>
      <c r="C55" s="829"/>
      <c r="D55" s="832"/>
      <c r="E55" s="844"/>
      <c r="F55" s="435"/>
      <c r="G55" s="829"/>
      <c r="H55" s="832"/>
      <c r="I55" s="844"/>
      <c r="J55" s="834"/>
    </row>
    <row r="56" spans="1:10">
      <c r="A56" s="834"/>
      <c r="B56" s="435"/>
      <c r="C56" s="829"/>
      <c r="D56" s="832"/>
      <c r="E56" s="844"/>
      <c r="F56" s="435"/>
      <c r="G56" s="829"/>
      <c r="H56" s="832"/>
      <c r="I56" s="844"/>
      <c r="J56" s="834"/>
    </row>
    <row r="57" spans="1:10">
      <c r="A57" s="834"/>
      <c r="B57" s="435"/>
      <c r="C57" s="829"/>
      <c r="D57" s="832"/>
      <c r="E57" s="844"/>
      <c r="F57" s="435"/>
      <c r="G57" s="829"/>
      <c r="H57" s="832"/>
      <c r="I57" s="844"/>
      <c r="J57" s="834"/>
    </row>
    <row r="58" spans="1:10">
      <c r="A58" s="834"/>
      <c r="B58" s="435"/>
      <c r="C58" s="829"/>
      <c r="D58" s="832"/>
      <c r="E58" s="844"/>
      <c r="F58" s="435"/>
      <c r="G58" s="829"/>
      <c r="H58" s="832"/>
      <c r="I58" s="844"/>
      <c r="J58" s="834"/>
    </row>
    <row r="59" spans="1:10">
      <c r="A59" s="834"/>
      <c r="B59" s="435"/>
      <c r="C59" s="829"/>
      <c r="D59" s="832"/>
      <c r="E59" s="844"/>
      <c r="F59" s="435"/>
      <c r="G59" s="829"/>
      <c r="H59" s="832"/>
      <c r="I59" s="844"/>
      <c r="J59" s="834"/>
    </row>
    <row r="60" spans="1:10">
      <c r="A60" s="834"/>
      <c r="B60" s="435"/>
      <c r="C60" s="829"/>
      <c r="D60" s="832"/>
      <c r="E60" s="844"/>
      <c r="F60" s="435"/>
      <c r="G60" s="829"/>
      <c r="H60" s="832"/>
      <c r="I60" s="844"/>
      <c r="J60" s="834"/>
    </row>
    <row r="61" spans="1:10">
      <c r="A61" s="834"/>
      <c r="B61" s="435"/>
      <c r="C61" s="829"/>
      <c r="D61" s="832"/>
      <c r="E61" s="844"/>
      <c r="F61" s="435"/>
      <c r="G61" s="829"/>
      <c r="H61" s="832"/>
      <c r="I61" s="844"/>
      <c r="J61" s="834"/>
    </row>
    <row r="62" spans="1:10">
      <c r="A62" s="834"/>
      <c r="B62" s="435"/>
      <c r="C62" s="829"/>
      <c r="D62" s="832"/>
      <c r="E62" s="844"/>
      <c r="F62" s="435"/>
      <c r="G62" s="829"/>
      <c r="H62" s="832"/>
      <c r="I62" s="844"/>
      <c r="J62" s="834"/>
    </row>
    <row r="63" spans="1:10">
      <c r="A63" s="834"/>
      <c r="B63" s="435"/>
      <c r="C63" s="829"/>
      <c r="D63" s="832"/>
      <c r="E63" s="844"/>
      <c r="F63" s="435"/>
      <c r="G63" s="829"/>
      <c r="H63" s="832"/>
      <c r="I63" s="844"/>
      <c r="J63" s="834"/>
    </row>
    <row r="64" spans="1:10">
      <c r="A64" s="834"/>
      <c r="B64" s="109"/>
      <c r="C64" s="850"/>
      <c r="D64" s="851"/>
      <c r="E64" s="974"/>
      <c r="F64" s="109"/>
      <c r="G64" s="850"/>
      <c r="H64" s="851"/>
      <c r="I64" s="974"/>
      <c r="J64" s="834"/>
    </row>
    <row r="65" spans="1:10">
      <c r="A65" s="1162"/>
      <c r="B65" s="909" t="s">
        <v>1884</v>
      </c>
      <c r="C65" s="911" t="s">
        <v>526</v>
      </c>
      <c r="D65" s="910" t="s">
        <v>1885</v>
      </c>
      <c r="E65" s="911" t="s">
        <v>1886</v>
      </c>
      <c r="F65" s="909" t="s">
        <v>1884</v>
      </c>
      <c r="G65" s="911" t="s">
        <v>526</v>
      </c>
      <c r="H65" s="910" t="s">
        <v>1885</v>
      </c>
      <c r="I65" s="911" t="s">
        <v>1886</v>
      </c>
      <c r="J65" s="1162"/>
    </row>
    <row r="66" spans="1:10">
      <c r="A66" s="834"/>
      <c r="B66" s="435"/>
      <c r="C66" s="829"/>
      <c r="D66" s="832"/>
      <c r="E66" s="844"/>
      <c r="F66" s="435"/>
      <c r="G66" s="829"/>
      <c r="H66" s="832"/>
      <c r="I66" s="844"/>
    </row>
    <row r="67" spans="1:10">
      <c r="A67" s="834"/>
      <c r="B67" s="435"/>
      <c r="C67" s="829"/>
      <c r="D67" s="832"/>
      <c r="E67" s="844"/>
      <c r="F67" s="435"/>
      <c r="G67" s="829"/>
      <c r="H67" s="832"/>
      <c r="I67" s="844"/>
    </row>
    <row r="68" spans="1:10">
      <c r="A68" s="834"/>
      <c r="B68" s="435"/>
      <c r="C68" s="829"/>
      <c r="D68" s="832"/>
      <c r="E68" s="844"/>
      <c r="F68" s="435"/>
      <c r="G68" s="829"/>
      <c r="H68" s="832"/>
      <c r="I68" s="844"/>
    </row>
    <row r="69" spans="1:10">
      <c r="A69" s="834"/>
      <c r="B69" s="435"/>
      <c r="C69" s="829"/>
      <c r="D69" s="832"/>
      <c r="E69" s="844"/>
      <c r="F69" s="435"/>
      <c r="G69" s="829"/>
      <c r="H69" s="832"/>
      <c r="I69" s="844"/>
    </row>
    <row r="70" spans="1:10">
      <c r="A70" s="834"/>
      <c r="B70" s="435"/>
      <c r="C70" s="829"/>
      <c r="D70" s="832"/>
      <c r="E70" s="844"/>
      <c r="F70" s="435"/>
      <c r="G70" s="829"/>
      <c r="H70" s="832"/>
      <c r="I70" s="844"/>
    </row>
    <row r="71" spans="1:10">
      <c r="A71" s="834"/>
      <c r="B71" s="435"/>
      <c r="C71" s="829"/>
      <c r="D71" s="832"/>
      <c r="E71" s="844"/>
      <c r="F71" s="435"/>
      <c r="G71" s="829"/>
      <c r="H71" s="832"/>
      <c r="I71" s="844"/>
    </row>
    <row r="72" spans="1:10">
      <c r="A72" s="834"/>
      <c r="B72" s="435"/>
      <c r="C72" s="829"/>
      <c r="D72" s="832"/>
      <c r="E72" s="844"/>
      <c r="F72" s="435"/>
      <c r="G72" s="829"/>
      <c r="H72" s="832"/>
      <c r="I72" s="844"/>
    </row>
    <row r="73" spans="1:10">
      <c r="A73" s="834"/>
      <c r="B73" s="435"/>
      <c r="C73" s="829"/>
      <c r="D73" s="832"/>
      <c r="E73" s="844"/>
      <c r="F73" s="435"/>
      <c r="G73" s="829"/>
      <c r="H73" s="832"/>
      <c r="I73" s="844"/>
    </row>
    <row r="74" spans="1:10">
      <c r="A74" s="834"/>
      <c r="B74" s="435"/>
      <c r="C74" s="829"/>
      <c r="D74" s="832"/>
      <c r="E74" s="844"/>
      <c r="F74" s="435"/>
      <c r="G74" s="829"/>
      <c r="H74" s="832"/>
      <c r="I74" s="844"/>
    </row>
    <row r="75" spans="1:10">
      <c r="A75" s="834"/>
      <c r="B75" s="435"/>
      <c r="C75" s="829"/>
      <c r="D75" s="832"/>
      <c r="E75" s="844"/>
      <c r="F75" s="435"/>
      <c r="G75" s="829"/>
      <c r="H75" s="832"/>
      <c r="I75" s="844"/>
    </row>
    <row r="76" spans="1:10" ht="18.75" customHeight="1">
      <c r="A76" s="834"/>
      <c r="B76" s="435"/>
      <c r="C76" s="829"/>
      <c r="D76" s="832"/>
      <c r="E76" s="844"/>
      <c r="F76" s="435"/>
      <c r="G76" s="829"/>
      <c r="H76" s="832"/>
      <c r="I76" s="844"/>
    </row>
    <row r="77" spans="1:10">
      <c r="A77" s="834"/>
      <c r="B77" s="435"/>
      <c r="C77" s="829"/>
      <c r="D77" s="832"/>
      <c r="E77" s="844"/>
      <c r="F77" s="435"/>
      <c r="G77" s="829"/>
      <c r="H77" s="832"/>
      <c r="I77" s="844"/>
    </row>
    <row r="78" spans="1:10">
      <c r="A78" s="834"/>
      <c r="B78" s="435"/>
      <c r="C78" s="829"/>
      <c r="D78" s="832"/>
      <c r="E78" s="844"/>
      <c r="F78" s="435"/>
      <c r="G78" s="829"/>
      <c r="H78" s="832"/>
      <c r="I78" s="844"/>
    </row>
    <row r="79" spans="1:10">
      <c r="A79" s="834"/>
      <c r="B79" s="435"/>
      <c r="C79" s="829"/>
      <c r="D79" s="832"/>
      <c r="E79" s="844"/>
      <c r="F79" s="435"/>
      <c r="G79" s="829"/>
      <c r="H79" s="832"/>
      <c r="I79" s="844"/>
    </row>
    <row r="80" spans="1:10">
      <c r="A80" s="834"/>
      <c r="B80" s="435"/>
      <c r="C80" s="829"/>
      <c r="D80" s="832"/>
      <c r="E80" s="844"/>
      <c r="F80" s="435"/>
      <c r="G80" s="829"/>
      <c r="H80" s="832"/>
      <c r="I80" s="844"/>
    </row>
    <row r="81" spans="1:10">
      <c r="A81" s="834"/>
      <c r="B81" s="435"/>
      <c r="C81" s="829"/>
      <c r="D81" s="832"/>
      <c r="E81" s="844"/>
      <c r="F81" s="435"/>
      <c r="G81" s="829"/>
      <c r="H81" s="832"/>
      <c r="I81" s="844"/>
    </row>
    <row r="82" spans="1:10">
      <c r="A82" s="834"/>
      <c r="B82" s="435"/>
      <c r="C82" s="829"/>
      <c r="D82" s="832"/>
      <c r="E82" s="844"/>
      <c r="F82" s="435"/>
      <c r="G82" s="829"/>
      <c r="H82" s="832"/>
      <c r="I82" s="844"/>
      <c r="J82" s="834"/>
    </row>
    <row r="83" spans="1:10">
      <c r="A83" s="834"/>
      <c r="B83" s="435"/>
      <c r="C83" s="829"/>
      <c r="D83" s="832"/>
      <c r="E83" s="844"/>
      <c r="F83" s="435"/>
      <c r="G83" s="829"/>
      <c r="H83" s="832"/>
      <c r="I83" s="844"/>
      <c r="J83" s="834"/>
    </row>
    <row r="84" spans="1:10">
      <c r="A84" s="834"/>
      <c r="B84" s="435"/>
      <c r="C84" s="829"/>
      <c r="D84" s="832"/>
      <c r="E84" s="844"/>
      <c r="F84" s="435"/>
      <c r="G84" s="829"/>
      <c r="H84" s="832"/>
      <c r="I84" s="844"/>
      <c r="J84" s="834"/>
    </row>
    <row r="85" spans="1:10">
      <c r="A85" s="834"/>
      <c r="B85" s="435"/>
      <c r="C85" s="1335"/>
      <c r="D85" s="1335"/>
      <c r="E85" s="435"/>
      <c r="F85" s="435"/>
      <c r="G85" s="829"/>
      <c r="H85" s="832"/>
      <c r="I85" s="844"/>
      <c r="J85" s="834"/>
    </row>
    <row r="86" spans="1:10">
      <c r="A86" s="834"/>
      <c r="B86" s="435"/>
      <c r="C86" s="829"/>
      <c r="D86" s="832"/>
      <c r="E86" s="844"/>
      <c r="F86" s="435"/>
      <c r="G86" s="829"/>
      <c r="H86" s="832"/>
      <c r="I86" s="844"/>
      <c r="J86" s="834"/>
    </row>
    <row r="87" spans="1:10" ht="19.5" customHeight="1">
      <c r="A87" s="834"/>
      <c r="B87" s="435"/>
      <c r="C87" s="829"/>
      <c r="D87" s="832"/>
      <c r="E87" s="844"/>
      <c r="F87" s="435"/>
      <c r="G87" s="829"/>
      <c r="H87" s="832"/>
      <c r="I87" s="844"/>
      <c r="J87" s="834"/>
    </row>
    <row r="88" spans="1:10">
      <c r="A88" s="834"/>
      <c r="B88" s="435"/>
      <c r="C88" s="829"/>
      <c r="D88" s="832"/>
      <c r="E88" s="844"/>
      <c r="F88" s="435"/>
      <c r="G88" s="829"/>
      <c r="H88" s="832"/>
      <c r="I88" s="844"/>
      <c r="J88" s="834"/>
    </row>
    <row r="89" spans="1:10">
      <c r="A89" s="834"/>
      <c r="B89" s="435"/>
      <c r="C89" s="829"/>
      <c r="D89" s="832"/>
      <c r="E89" s="844"/>
      <c r="F89" s="435"/>
      <c r="G89" s="829"/>
      <c r="H89" s="832"/>
      <c r="I89" s="844"/>
      <c r="J89" s="834"/>
    </row>
    <row r="90" spans="1:10">
      <c r="A90" s="834"/>
      <c r="B90" s="435"/>
      <c r="C90" s="829"/>
      <c r="D90" s="832"/>
      <c r="E90" s="844"/>
      <c r="F90" s="435"/>
      <c r="G90" s="829"/>
      <c r="H90" s="832"/>
      <c r="I90" s="844"/>
      <c r="J90" s="834"/>
    </row>
    <row r="91" spans="1:10">
      <c r="A91" s="834"/>
      <c r="B91" s="435"/>
      <c r="C91" s="829"/>
      <c r="D91" s="832"/>
      <c r="E91" s="844"/>
      <c r="F91" s="435"/>
      <c r="G91" s="829"/>
      <c r="H91" s="832"/>
      <c r="I91" s="844"/>
      <c r="J91" s="834"/>
    </row>
    <row r="92" spans="1:10">
      <c r="A92" s="834"/>
      <c r="B92" s="435"/>
      <c r="C92" s="829"/>
      <c r="D92" s="832"/>
      <c r="E92" s="844"/>
      <c r="F92" s="435"/>
      <c r="G92" s="829"/>
      <c r="H92" s="832"/>
      <c r="I92" s="844"/>
      <c r="J92" s="834"/>
    </row>
    <row r="93" spans="1:10">
      <c r="A93" s="834"/>
      <c r="B93" s="435"/>
      <c r="C93" s="829"/>
      <c r="D93" s="832"/>
      <c r="E93" s="844"/>
      <c r="F93" s="435"/>
      <c r="G93" s="829"/>
      <c r="H93" s="832"/>
      <c r="I93" s="844"/>
      <c r="J93" s="834"/>
    </row>
    <row r="94" spans="1:10">
      <c r="A94" s="834"/>
      <c r="B94" s="435"/>
      <c r="C94" s="829"/>
      <c r="D94" s="832"/>
      <c r="E94" s="844"/>
      <c r="F94" s="435"/>
      <c r="G94" s="829"/>
      <c r="H94" s="832"/>
      <c r="I94" s="844"/>
      <c r="J94" s="834"/>
    </row>
    <row r="95" spans="1:10">
      <c r="A95" s="834"/>
      <c r="B95" s="435"/>
      <c r="C95" s="829"/>
      <c r="D95" s="832"/>
      <c r="E95" s="844"/>
      <c r="F95" s="435"/>
      <c r="G95" s="829"/>
      <c r="H95" s="832"/>
      <c r="I95" s="844"/>
      <c r="J95" s="834"/>
    </row>
    <row r="96" spans="1:10">
      <c r="A96" s="834"/>
      <c r="B96" s="435"/>
      <c r="C96" s="829"/>
      <c r="D96" s="832"/>
      <c r="E96" s="844"/>
      <c r="F96" s="435"/>
      <c r="G96" s="829"/>
      <c r="H96" s="832"/>
      <c r="I96" s="844"/>
      <c r="J96" s="834"/>
    </row>
    <row r="97" spans="1:10">
      <c r="A97" s="834"/>
      <c r="B97" s="435"/>
      <c r="C97" s="829"/>
      <c r="D97" s="832"/>
      <c r="E97" s="844"/>
      <c r="F97" s="435"/>
      <c r="G97" s="829"/>
      <c r="H97" s="832"/>
      <c r="I97" s="844"/>
      <c r="J97" s="834"/>
    </row>
    <row r="98" spans="1:10">
      <c r="A98" s="834"/>
      <c r="B98" s="435"/>
      <c r="C98" s="829"/>
      <c r="D98" s="832"/>
      <c r="E98" s="844"/>
      <c r="F98" s="1335"/>
      <c r="G98" s="848"/>
      <c r="H98" s="843"/>
      <c r="I98" s="435"/>
      <c r="J98" s="834"/>
    </row>
    <row r="99" spans="1:10">
      <c r="A99" s="834"/>
      <c r="B99" s="435"/>
      <c r="C99" s="829"/>
      <c r="D99" s="832"/>
      <c r="E99" s="844"/>
      <c r="F99" s="1343"/>
      <c r="G99" s="1341"/>
      <c r="H99" s="1342"/>
      <c r="I99" s="1344"/>
      <c r="J99" s="834"/>
    </row>
    <row r="100" spans="1:10">
      <c r="A100" s="834"/>
      <c r="B100" s="435"/>
      <c r="C100" s="829"/>
      <c r="D100" s="832"/>
      <c r="E100" s="844"/>
      <c r="F100" s="1335"/>
      <c r="G100" s="848"/>
      <c r="H100" s="843"/>
      <c r="I100" s="435"/>
      <c r="J100" s="834"/>
    </row>
    <row r="101" spans="1:10">
      <c r="A101" s="834"/>
      <c r="B101" s="435"/>
      <c r="C101" s="829"/>
      <c r="D101" s="832"/>
      <c r="E101" s="844"/>
      <c r="F101" s="1335"/>
      <c r="G101" s="848"/>
      <c r="H101" s="843"/>
      <c r="I101" s="435"/>
      <c r="J101" s="834"/>
    </row>
    <row r="102" spans="1:10">
      <c r="A102" s="834"/>
      <c r="B102" s="435"/>
      <c r="C102" s="829"/>
      <c r="D102" s="832"/>
      <c r="E102" s="844"/>
      <c r="F102" s="1335"/>
      <c r="G102" s="848"/>
      <c r="H102" s="843"/>
      <c r="I102" s="435"/>
      <c r="J102" s="834"/>
    </row>
    <row r="103" spans="1:10">
      <c r="A103" s="834"/>
      <c r="B103" s="435"/>
      <c r="C103" s="829"/>
      <c r="D103" s="832"/>
      <c r="E103" s="844"/>
      <c r="F103" s="1335"/>
      <c r="G103" s="848"/>
      <c r="H103" s="843"/>
      <c r="I103" s="435"/>
      <c r="J103" s="834"/>
    </row>
    <row r="104" spans="1:10">
      <c r="A104" s="834"/>
      <c r="B104" s="435"/>
      <c r="C104" s="1335"/>
      <c r="D104" s="1335"/>
      <c r="E104" s="435"/>
      <c r="F104" s="1335"/>
      <c r="G104" s="848"/>
      <c r="H104" s="843"/>
      <c r="I104" s="435"/>
      <c r="J104" s="834"/>
    </row>
    <row r="105" spans="1:10">
      <c r="A105" s="834"/>
      <c r="B105" s="435"/>
      <c r="C105" s="829"/>
      <c r="D105" s="832"/>
      <c r="E105" s="844"/>
      <c r="F105" s="1335"/>
      <c r="G105" s="848"/>
      <c r="H105" s="843"/>
      <c r="I105" s="435"/>
      <c r="J105" s="834"/>
    </row>
    <row r="106" spans="1:10">
      <c r="A106" s="834"/>
      <c r="B106" s="435"/>
      <c r="C106" s="829"/>
      <c r="D106" s="832"/>
      <c r="E106" s="844"/>
      <c r="F106" s="1335"/>
      <c r="G106" s="848"/>
      <c r="H106" s="843"/>
      <c r="I106" s="435"/>
      <c r="J106" s="834" t="e">
        <f>#REF!*#REF!</f>
        <v>#REF!</v>
      </c>
    </row>
    <row r="107" spans="1:10">
      <c r="A107" s="834"/>
      <c r="B107" s="435"/>
      <c r="C107" s="829"/>
      <c r="D107" s="832"/>
      <c r="E107" s="844"/>
      <c r="F107" s="1335"/>
      <c r="G107" s="848"/>
      <c r="H107" s="843"/>
      <c r="I107" s="435"/>
      <c r="J107" s="834"/>
    </row>
    <row r="108" spans="1:10">
      <c r="A108" s="834"/>
      <c r="B108" s="435"/>
      <c r="C108" s="829"/>
      <c r="D108" s="832"/>
      <c r="E108" s="844"/>
      <c r="F108" s="1335"/>
      <c r="G108" s="848"/>
      <c r="H108" s="843"/>
      <c r="I108" s="435"/>
      <c r="J108" s="834"/>
    </row>
    <row r="109" spans="1:10">
      <c r="A109" s="834"/>
      <c r="B109" s="435"/>
      <c r="C109" s="829"/>
      <c r="D109" s="832"/>
      <c r="E109" s="844"/>
      <c r="F109" s="1335"/>
      <c r="G109" s="848"/>
      <c r="H109" s="843"/>
      <c r="I109" s="435"/>
      <c r="J109" s="834"/>
    </row>
    <row r="110" spans="1:10">
      <c r="A110" s="834"/>
      <c r="B110" s="435"/>
      <c r="C110" s="829"/>
      <c r="D110" s="832"/>
      <c r="E110" s="844"/>
      <c r="F110" s="1335"/>
      <c r="G110" s="848"/>
      <c r="H110" s="843"/>
      <c r="I110" s="435"/>
      <c r="J110" s="834"/>
    </row>
    <row r="111" spans="1:10">
      <c r="A111" s="834"/>
      <c r="B111" s="435"/>
      <c r="C111" s="1335"/>
      <c r="D111" s="1335"/>
      <c r="E111" s="435"/>
      <c r="F111" s="1335"/>
      <c r="G111" s="848"/>
      <c r="H111" s="843"/>
      <c r="I111" s="435"/>
      <c r="J111" s="834"/>
    </row>
    <row r="112" spans="1:10">
      <c r="A112" s="834"/>
      <c r="B112" s="435"/>
      <c r="C112" s="1335"/>
      <c r="D112" s="1335"/>
      <c r="E112" s="435"/>
      <c r="F112" s="1335"/>
      <c r="G112" s="848"/>
      <c r="H112" s="843"/>
      <c r="I112" s="435"/>
      <c r="J112" s="834"/>
    </row>
    <row r="113" spans="1:11">
      <c r="A113" s="834"/>
      <c r="B113" s="435"/>
      <c r="C113" s="1335"/>
      <c r="D113" s="1335"/>
      <c r="E113" s="435"/>
      <c r="F113" s="1335"/>
      <c r="G113" s="848"/>
      <c r="H113" s="843"/>
      <c r="I113" s="435"/>
      <c r="J113" s="834"/>
    </row>
    <row r="114" spans="1:11">
      <c r="A114" s="834"/>
      <c r="B114" s="435"/>
      <c r="C114" s="1335"/>
      <c r="D114" s="1335"/>
      <c r="E114" s="435"/>
      <c r="F114" s="1335"/>
      <c r="G114" s="848"/>
      <c r="H114" s="843"/>
      <c r="I114" s="435"/>
      <c r="J114" s="834"/>
    </row>
    <row r="115" spans="1:11">
      <c r="A115" s="834"/>
      <c r="B115" s="435"/>
      <c r="C115" s="1335"/>
      <c r="D115" s="1335"/>
      <c r="E115" s="435"/>
      <c r="F115" s="1335"/>
      <c r="G115" s="848"/>
      <c r="H115" s="843"/>
      <c r="I115" s="435"/>
      <c r="J115" s="834"/>
    </row>
    <row r="116" spans="1:11">
      <c r="A116" s="834"/>
      <c r="B116" s="109"/>
      <c r="C116" s="860"/>
      <c r="D116" s="860"/>
      <c r="E116" s="109"/>
      <c r="F116" s="860"/>
      <c r="G116" s="927"/>
      <c r="H116" s="928"/>
      <c r="I116" s="109"/>
      <c r="J116" s="834"/>
    </row>
    <row r="117" spans="1:11">
      <c r="A117" s="834"/>
      <c r="J117" s="834"/>
      <c r="K117" s="834"/>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4" max="9"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4"/>
  <sheetViews>
    <sheetView view="pageBreakPreview" topLeftCell="A79" zoomScaleNormal="115" zoomScaleSheetLayoutView="100" zoomScalePageLayoutView="85" workbookViewId="0">
      <selection activeCell="H95" sqref="H95"/>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41"/>
      <c r="H1" s="941" t="s">
        <v>1918</v>
      </c>
      <c r="I1" s="942">
        <f ca="1">TODAY()</f>
        <v>42423</v>
      </c>
      <c r="J1" s="820"/>
    </row>
    <row r="2" spans="1:10">
      <c r="A2" s="818"/>
      <c r="B2" s="2059" t="s">
        <v>1917</v>
      </c>
      <c r="C2" s="2059"/>
      <c r="D2" s="2059"/>
      <c r="E2" s="2059"/>
      <c r="F2" s="819"/>
      <c r="G2" s="941"/>
      <c r="J2" s="818"/>
    </row>
    <row r="3" spans="1:10">
      <c r="A3" s="818"/>
      <c r="B3" s="2059" t="s">
        <v>1920</v>
      </c>
      <c r="C3" s="2059"/>
      <c r="D3" s="2059"/>
      <c r="E3" s="2059"/>
      <c r="F3" s="2059"/>
      <c r="G3" s="941"/>
      <c r="H3" s="2060" t="s">
        <v>2502</v>
      </c>
      <c r="I3" s="2060"/>
      <c r="J3" s="818"/>
    </row>
    <row r="4" spans="1:10">
      <c r="A4" s="818"/>
      <c r="B4" s="2059" t="s">
        <v>1921</v>
      </c>
      <c r="C4" s="2059"/>
      <c r="D4" s="2059"/>
      <c r="E4" s="2059"/>
      <c r="F4" s="819"/>
      <c r="G4" s="941"/>
      <c r="H4" s="2089"/>
      <c r="I4" s="2089"/>
      <c r="J4" s="818"/>
    </row>
    <row r="5" spans="1:10">
      <c r="A5" s="818"/>
      <c r="B5" s="824"/>
      <c r="C5" s="941"/>
      <c r="D5" s="941"/>
      <c r="E5" s="825"/>
      <c r="F5" s="819"/>
      <c r="G5" s="941"/>
      <c r="H5" s="827"/>
      <c r="I5" s="940"/>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v>1</v>
      </c>
      <c r="G7" s="832">
        <v>5.8</v>
      </c>
      <c r="H7" s="832"/>
      <c r="I7" s="829"/>
    </row>
    <row r="8" spans="1:10">
      <c r="A8" s="818"/>
      <c r="B8" s="435"/>
      <c r="C8" s="943"/>
      <c r="D8" s="943"/>
      <c r="E8" s="844" t="s">
        <v>25</v>
      </c>
      <c r="F8" s="831"/>
      <c r="G8" s="832">
        <v>0.2</v>
      </c>
      <c r="H8" s="832">
        <f>G7*G8*F7</f>
        <v>1.1599999999999999</v>
      </c>
      <c r="I8" s="829"/>
    </row>
    <row r="9" spans="1:10">
      <c r="A9" s="818"/>
      <c r="B9" s="435"/>
      <c r="C9" s="943"/>
      <c r="D9" s="943"/>
      <c r="E9" s="844" t="s">
        <v>27</v>
      </c>
      <c r="F9" s="831"/>
      <c r="G9" s="832"/>
      <c r="H9" s="832"/>
      <c r="I9" s="979"/>
    </row>
    <row r="10" spans="1:10">
      <c r="A10" s="818"/>
      <c r="B10" s="831">
        <v>4</v>
      </c>
      <c r="C10" s="829">
        <v>2.73</v>
      </c>
      <c r="D10" s="832"/>
      <c r="E10" s="833" t="s">
        <v>2505</v>
      </c>
      <c r="F10" s="831">
        <v>2</v>
      </c>
      <c r="G10" s="832">
        <v>3.5</v>
      </c>
      <c r="H10" s="832"/>
      <c r="I10" s="979" t="s">
        <v>1180</v>
      </c>
    </row>
    <row r="11" spans="1:10">
      <c r="A11" s="818"/>
      <c r="B11" s="831"/>
      <c r="C11" s="829">
        <v>0.2</v>
      </c>
      <c r="D11" s="832"/>
      <c r="E11" s="435"/>
      <c r="F11" s="831"/>
      <c r="G11" s="832">
        <v>0.73</v>
      </c>
      <c r="H11" s="832">
        <f>G10*G11*F10</f>
        <v>5.1099999999999994</v>
      </c>
      <c r="I11" s="979"/>
    </row>
    <row r="12" spans="1:10">
      <c r="A12" s="818"/>
      <c r="B12" s="831"/>
      <c r="C12" s="829">
        <v>0.2</v>
      </c>
      <c r="D12" s="943"/>
      <c r="E12" s="435"/>
      <c r="F12" s="831"/>
      <c r="G12" s="832"/>
      <c r="H12" s="832"/>
      <c r="I12" s="979"/>
    </row>
    <row r="13" spans="1:10">
      <c r="A13" s="818"/>
      <c r="B13" s="839"/>
      <c r="C13" s="935"/>
      <c r="D13" s="838">
        <f>B10*C10*C11*C12</f>
        <v>0.43680000000000008</v>
      </c>
      <c r="E13" s="839" t="s">
        <v>2503</v>
      </c>
      <c r="F13" s="831">
        <v>1</v>
      </c>
      <c r="G13" s="832">
        <v>0.8</v>
      </c>
      <c r="H13" s="832"/>
      <c r="I13" s="979" t="s">
        <v>1178</v>
      </c>
    </row>
    <row r="14" spans="1:10">
      <c r="A14" s="818"/>
      <c r="B14" s="831"/>
      <c r="C14" s="829"/>
      <c r="D14" s="832"/>
      <c r="E14" s="833"/>
      <c r="F14" s="831"/>
      <c r="G14" s="832">
        <v>1.63</v>
      </c>
      <c r="H14" s="832">
        <f>-G13*G14*F13</f>
        <v>-1.304</v>
      </c>
      <c r="I14" s="829"/>
    </row>
    <row r="15" spans="1:10">
      <c r="A15" s="818"/>
      <c r="B15" s="435"/>
      <c r="C15" s="943"/>
      <c r="D15" s="943"/>
      <c r="E15" s="844" t="s">
        <v>29</v>
      </c>
      <c r="F15" s="831"/>
      <c r="G15" s="832"/>
      <c r="H15" s="832"/>
      <c r="I15" s="829"/>
    </row>
    <row r="16" spans="1:10">
      <c r="A16" s="818"/>
      <c r="B16" s="831">
        <v>2</v>
      </c>
      <c r="C16" s="829">
        <v>5.8</v>
      </c>
      <c r="D16" s="832"/>
      <c r="E16" s="833" t="s">
        <v>30</v>
      </c>
      <c r="F16" s="831">
        <v>2</v>
      </c>
      <c r="G16" s="832">
        <v>0.7</v>
      </c>
      <c r="H16" s="832"/>
      <c r="I16" s="829"/>
    </row>
    <row r="17" spans="1:9">
      <c r="A17" s="818"/>
      <c r="B17" s="831"/>
      <c r="C17" s="829">
        <v>0.3</v>
      </c>
      <c r="D17" s="832"/>
      <c r="E17" s="833" t="s">
        <v>1075</v>
      </c>
      <c r="F17" s="831"/>
      <c r="G17" s="832">
        <v>2.73</v>
      </c>
      <c r="H17" s="832">
        <f>-G16*G17*F16</f>
        <v>-3.8219999999999996</v>
      </c>
      <c r="I17" s="829"/>
    </row>
    <row r="18" spans="1:9">
      <c r="A18" s="818"/>
      <c r="B18" s="831"/>
      <c r="C18" s="829">
        <v>0.2</v>
      </c>
      <c r="D18" s="832">
        <f>B16*C16*C17*C18</f>
        <v>0.69600000000000006</v>
      </c>
      <c r="E18" s="833"/>
      <c r="F18" s="943"/>
      <c r="G18" s="848"/>
      <c r="H18" s="843"/>
      <c r="I18" s="435"/>
    </row>
    <row r="19" spans="1:9">
      <c r="A19" s="818"/>
      <c r="B19" s="831"/>
      <c r="C19" s="829"/>
      <c r="D19" s="832"/>
      <c r="E19" s="833"/>
      <c r="F19" s="839"/>
      <c r="G19" s="935"/>
      <c r="H19" s="838">
        <f>SUM(H8:H17)+SUM(D51:D63)</f>
        <v>60.981999999999999</v>
      </c>
      <c r="I19" s="839" t="s">
        <v>2122</v>
      </c>
    </row>
    <row r="20" spans="1:9">
      <c r="A20" s="818"/>
      <c r="B20" s="831">
        <v>2</v>
      </c>
      <c r="C20" s="829">
        <v>3.1</v>
      </c>
      <c r="D20" s="832"/>
      <c r="E20" s="833" t="s">
        <v>496</v>
      </c>
      <c r="F20" s="831"/>
      <c r="G20" s="832"/>
      <c r="H20" s="832"/>
      <c r="I20" s="829"/>
    </row>
    <row r="21" spans="1:9">
      <c r="A21" s="818"/>
      <c r="B21" s="831"/>
      <c r="C21" s="829">
        <v>0.3</v>
      </c>
      <c r="D21" s="832"/>
      <c r="E21" s="833" t="s">
        <v>1076</v>
      </c>
      <c r="F21" s="831"/>
      <c r="G21" s="832"/>
      <c r="H21" s="832"/>
      <c r="I21" s="829" t="s">
        <v>124</v>
      </c>
    </row>
    <row r="22" spans="1:9">
      <c r="A22" s="818"/>
      <c r="B22" s="831"/>
      <c r="C22" s="829">
        <v>0.2</v>
      </c>
      <c r="D22" s="832">
        <f>B20*C20*C21*C22</f>
        <v>0.372</v>
      </c>
      <c r="E22" s="833"/>
      <c r="F22" s="831"/>
      <c r="G22" s="832"/>
      <c r="H22" s="832"/>
      <c r="I22" s="829" t="s">
        <v>125</v>
      </c>
    </row>
    <row r="23" spans="1:9">
      <c r="A23" s="818"/>
      <c r="B23" s="831"/>
      <c r="C23" s="829"/>
      <c r="D23" s="943"/>
      <c r="E23" s="833"/>
      <c r="F23" s="831">
        <v>1</v>
      </c>
      <c r="G23" s="832">
        <v>5.8</v>
      </c>
      <c r="H23" s="832"/>
      <c r="I23" s="979" t="s">
        <v>1181</v>
      </c>
    </row>
    <row r="24" spans="1:9">
      <c r="A24" s="818"/>
      <c r="B24" s="839"/>
      <c r="C24" s="935"/>
      <c r="D24" s="838">
        <f>SUM(D17:D22)</f>
        <v>1.0680000000000001</v>
      </c>
      <c r="E24" s="839" t="s">
        <v>2504</v>
      </c>
      <c r="F24" s="831"/>
      <c r="G24" s="832">
        <v>4.0999999999999996</v>
      </c>
      <c r="H24" s="832"/>
      <c r="I24" s="979" t="s">
        <v>1182</v>
      </c>
    </row>
    <row r="25" spans="1:9">
      <c r="A25" s="818"/>
      <c r="B25" s="831"/>
      <c r="C25" s="829"/>
      <c r="D25" s="832"/>
      <c r="E25" s="844"/>
      <c r="F25" s="839"/>
      <c r="G25" s="935"/>
      <c r="H25" s="838">
        <f>G23*G24*F23</f>
        <v>23.779999999999998</v>
      </c>
      <c r="I25" s="839" t="s">
        <v>2124</v>
      </c>
    </row>
    <row r="26" spans="1:9">
      <c r="A26" s="818"/>
      <c r="B26" s="831"/>
      <c r="C26" s="829"/>
      <c r="D26" s="832"/>
      <c r="E26" s="844" t="s">
        <v>32</v>
      </c>
      <c r="F26" s="831"/>
      <c r="G26" s="832"/>
      <c r="H26" s="832"/>
      <c r="I26" s="829"/>
    </row>
    <row r="27" spans="1:9">
      <c r="A27" s="818"/>
      <c r="B27" s="435"/>
      <c r="C27" s="943"/>
      <c r="D27" s="943"/>
      <c r="E27" s="844" t="s">
        <v>462</v>
      </c>
      <c r="F27" s="831"/>
      <c r="G27" s="832"/>
      <c r="H27" s="832"/>
      <c r="I27" s="829" t="s">
        <v>129</v>
      </c>
    </row>
    <row r="28" spans="1:9">
      <c r="A28" s="818"/>
      <c r="B28" s="831">
        <v>4</v>
      </c>
      <c r="C28" s="829">
        <v>2.73</v>
      </c>
      <c r="D28" s="832"/>
      <c r="E28" s="833" t="s">
        <v>1078</v>
      </c>
      <c r="F28" s="831">
        <v>1</v>
      </c>
      <c r="G28" s="832">
        <v>5.8</v>
      </c>
      <c r="H28" s="832"/>
      <c r="I28" s="829"/>
    </row>
    <row r="29" spans="1:9">
      <c r="A29" s="818"/>
      <c r="B29" s="831"/>
      <c r="C29" s="829">
        <v>0.8</v>
      </c>
      <c r="D29" s="832"/>
      <c r="E29" s="435"/>
      <c r="F29" s="831"/>
      <c r="G29" s="832">
        <v>0.5</v>
      </c>
      <c r="H29" s="832"/>
      <c r="I29" s="829"/>
    </row>
    <row r="30" spans="1:9">
      <c r="A30" s="818"/>
      <c r="B30" s="839"/>
      <c r="C30" s="935"/>
      <c r="D30" s="838">
        <f>C28*C29*B28</f>
        <v>8.7360000000000007</v>
      </c>
      <c r="E30" s="839" t="s">
        <v>2508</v>
      </c>
      <c r="F30" s="839"/>
      <c r="G30" s="935"/>
      <c r="H30" s="838">
        <f>G28*G29*F28</f>
        <v>2.9</v>
      </c>
      <c r="I30" s="839" t="s">
        <v>2129</v>
      </c>
    </row>
    <row r="31" spans="1:9">
      <c r="A31" s="818"/>
      <c r="B31" s="831"/>
      <c r="C31" s="829"/>
      <c r="D31" s="832"/>
      <c r="E31" s="833"/>
      <c r="F31" s="831"/>
      <c r="G31" s="832"/>
      <c r="H31" s="832"/>
      <c r="I31" s="829"/>
    </row>
    <row r="32" spans="1:9">
      <c r="A32" s="818"/>
      <c r="B32" s="831"/>
      <c r="C32" s="829"/>
      <c r="D32" s="832"/>
      <c r="E32" s="844" t="s">
        <v>2507</v>
      </c>
      <c r="F32" s="831"/>
      <c r="G32" s="832"/>
      <c r="H32" s="832"/>
      <c r="I32" s="829" t="s">
        <v>473</v>
      </c>
    </row>
    <row r="33" spans="1:9">
      <c r="A33" s="818"/>
      <c r="B33" s="831">
        <v>2</v>
      </c>
      <c r="C33" s="829">
        <v>5.4</v>
      </c>
      <c r="D33" s="832"/>
      <c r="E33" s="833" t="s">
        <v>30</v>
      </c>
      <c r="F33" s="831">
        <v>1</v>
      </c>
      <c r="G33" s="832">
        <v>5.8</v>
      </c>
      <c r="H33" s="832"/>
      <c r="I33" s="829"/>
    </row>
    <row r="34" spans="1:9">
      <c r="A34" s="818"/>
      <c r="B34" s="831"/>
      <c r="C34" s="829">
        <v>0.8</v>
      </c>
      <c r="D34" s="832">
        <f>C33*C34*B33</f>
        <v>8.64</v>
      </c>
      <c r="E34" s="833" t="s">
        <v>1080</v>
      </c>
      <c r="F34" s="839"/>
      <c r="G34" s="935"/>
      <c r="H34" s="838">
        <f>G33*F33</f>
        <v>5.8</v>
      </c>
      <c r="I34" s="839" t="s">
        <v>2414</v>
      </c>
    </row>
    <row r="35" spans="1:9">
      <c r="A35" s="818"/>
      <c r="B35" s="831"/>
      <c r="C35" s="829"/>
      <c r="D35" s="832"/>
      <c r="E35" s="833"/>
      <c r="F35" s="943"/>
      <c r="G35" s="848"/>
      <c r="H35" s="843"/>
      <c r="I35" s="829"/>
    </row>
    <row r="36" spans="1:9">
      <c r="A36" s="818"/>
      <c r="B36" s="831">
        <v>2</v>
      </c>
      <c r="C36" s="829">
        <v>3.1</v>
      </c>
      <c r="D36" s="832"/>
      <c r="E36" s="833" t="s">
        <v>496</v>
      </c>
      <c r="F36" s="943"/>
      <c r="G36" s="848"/>
      <c r="H36" s="843"/>
      <c r="I36" s="829" t="s">
        <v>1083</v>
      </c>
    </row>
    <row r="37" spans="1:9">
      <c r="A37" s="818"/>
      <c r="B37" s="831"/>
      <c r="C37" s="829">
        <v>0.8</v>
      </c>
      <c r="D37" s="832">
        <f>C36*C37*B36</f>
        <v>4.9600000000000009</v>
      </c>
      <c r="E37" s="833" t="s">
        <v>740</v>
      </c>
      <c r="F37" s="831">
        <v>1</v>
      </c>
      <c r="G37" s="832">
        <v>3.55</v>
      </c>
      <c r="H37" s="832"/>
      <c r="I37" s="829"/>
    </row>
    <row r="38" spans="1:9">
      <c r="A38" s="818"/>
      <c r="B38" s="831"/>
      <c r="C38" s="829"/>
      <c r="D38" s="832"/>
      <c r="E38" s="833"/>
      <c r="F38" s="831"/>
      <c r="G38" s="832"/>
      <c r="H38" s="832">
        <f>G37*F37</f>
        <v>3.55</v>
      </c>
      <c r="I38" s="435"/>
    </row>
    <row r="39" spans="1:9">
      <c r="A39" s="818"/>
      <c r="B39" s="831">
        <v>8</v>
      </c>
      <c r="C39" s="829">
        <v>0.2</v>
      </c>
      <c r="D39" s="832"/>
      <c r="E39" s="833"/>
      <c r="F39" s="943"/>
      <c r="G39" s="848"/>
      <c r="H39" s="843"/>
      <c r="I39" s="829"/>
    </row>
    <row r="40" spans="1:9">
      <c r="A40" s="818"/>
      <c r="B40" s="831"/>
      <c r="C40" s="829">
        <v>0.3</v>
      </c>
      <c r="D40" s="832">
        <f>C39*C40*B39</f>
        <v>0.48</v>
      </c>
      <c r="E40" s="833"/>
      <c r="F40" s="831">
        <v>1</v>
      </c>
      <c r="G40" s="832">
        <v>5.8</v>
      </c>
      <c r="H40" s="832"/>
      <c r="I40" s="435"/>
    </row>
    <row r="41" spans="1:9">
      <c r="A41" s="818"/>
      <c r="B41" s="435"/>
      <c r="C41" s="943"/>
      <c r="D41" s="943"/>
      <c r="E41" s="435"/>
      <c r="F41" s="831"/>
      <c r="G41" s="832"/>
      <c r="H41" s="832">
        <f>G40*F40</f>
        <v>5.8</v>
      </c>
      <c r="I41" s="829"/>
    </row>
    <row r="42" spans="1:9">
      <c r="A42" s="818"/>
      <c r="B42" s="839"/>
      <c r="C42" s="935"/>
      <c r="D42" s="838">
        <f>SUM(D33:D40)</f>
        <v>14.080000000000002</v>
      </c>
      <c r="E42" s="839" t="s">
        <v>2506</v>
      </c>
      <c r="F42" s="943"/>
      <c r="G42" s="848"/>
      <c r="H42" s="843"/>
      <c r="I42" s="435"/>
    </row>
    <row r="43" spans="1:9">
      <c r="A43" s="818"/>
      <c r="B43" s="435"/>
      <c r="C43" s="943"/>
      <c r="D43" s="943"/>
      <c r="E43" s="435"/>
      <c r="F43" s="839"/>
      <c r="G43" s="935"/>
      <c r="H43" s="838">
        <f>SUM(H38:H41)</f>
        <v>9.35</v>
      </c>
      <c r="I43" s="839" t="s">
        <v>2415</v>
      </c>
    </row>
    <row r="44" spans="1:9">
      <c r="A44" s="818"/>
      <c r="B44" s="831"/>
      <c r="C44" s="829"/>
      <c r="D44" s="832"/>
      <c r="E44" s="844" t="s">
        <v>2509</v>
      </c>
      <c r="F44" s="831"/>
      <c r="G44" s="832"/>
      <c r="H44" s="832"/>
      <c r="I44" s="435"/>
    </row>
    <row r="45" spans="1:9">
      <c r="A45" s="818"/>
      <c r="B45" s="839"/>
      <c r="C45" s="935"/>
      <c r="D45" s="838">
        <f>'Gua. Reinf'!M65</f>
        <v>169.50144000000006</v>
      </c>
      <c r="E45" s="839" t="s">
        <v>2463</v>
      </c>
      <c r="F45" s="831"/>
      <c r="G45" s="832"/>
      <c r="H45" s="832"/>
      <c r="I45" s="829" t="s">
        <v>109</v>
      </c>
    </row>
    <row r="46" spans="1:9">
      <c r="A46" s="818"/>
      <c r="B46" s="831"/>
      <c r="C46" s="829"/>
      <c r="D46" s="832"/>
      <c r="E46" s="844"/>
      <c r="F46" s="831"/>
      <c r="G46" s="832"/>
      <c r="H46" s="832"/>
      <c r="I46" s="435" t="s">
        <v>110</v>
      </c>
    </row>
    <row r="47" spans="1:9">
      <c r="A47" s="818"/>
      <c r="B47" s="831"/>
      <c r="C47" s="829"/>
      <c r="D47" s="832"/>
      <c r="E47" s="844" t="s">
        <v>2510</v>
      </c>
      <c r="F47" s="831"/>
      <c r="G47" s="832"/>
      <c r="H47" s="832"/>
      <c r="I47" s="829" t="s">
        <v>1183</v>
      </c>
    </row>
    <row r="48" spans="1:9">
      <c r="A48" s="818"/>
      <c r="B48" s="839"/>
      <c r="C48" s="935"/>
      <c r="D48" s="838">
        <f>'Gua. Reinf'!K65</f>
        <v>52.732500000000002</v>
      </c>
      <c r="E48" s="839" t="s">
        <v>2120</v>
      </c>
      <c r="F48" s="831">
        <v>5</v>
      </c>
      <c r="G48" s="832">
        <v>8</v>
      </c>
      <c r="H48" s="832"/>
      <c r="I48" s="435" t="s">
        <v>1184</v>
      </c>
    </row>
    <row r="49" spans="1:9">
      <c r="A49" s="818"/>
      <c r="B49" s="831"/>
      <c r="C49" s="829"/>
      <c r="D49" s="832"/>
      <c r="E49" s="844"/>
      <c r="F49" s="839"/>
      <c r="G49" s="935"/>
      <c r="H49" s="838">
        <f>F48*G48</f>
        <v>40</v>
      </c>
      <c r="I49" s="839" t="s">
        <v>2127</v>
      </c>
    </row>
    <row r="50" spans="1:9">
      <c r="A50" s="818"/>
      <c r="B50" s="831"/>
      <c r="C50" s="829"/>
      <c r="D50" s="832"/>
      <c r="E50" s="844" t="s">
        <v>350</v>
      </c>
      <c r="F50" s="831"/>
      <c r="G50" s="832"/>
      <c r="H50" s="832"/>
      <c r="I50" s="829"/>
    </row>
    <row r="51" spans="1:9">
      <c r="A51" s="818"/>
      <c r="B51" s="831"/>
      <c r="C51" s="829"/>
      <c r="D51" s="832"/>
      <c r="E51" s="844" t="s">
        <v>65</v>
      </c>
      <c r="F51" s="831">
        <v>5</v>
      </c>
      <c r="G51" s="832">
        <v>6.24</v>
      </c>
      <c r="H51" s="832"/>
      <c r="I51" s="829" t="s">
        <v>114</v>
      </c>
    </row>
    <row r="52" spans="1:9">
      <c r="A52" s="818"/>
      <c r="B52" s="831">
        <v>2</v>
      </c>
      <c r="C52" s="829">
        <v>5.4</v>
      </c>
      <c r="D52" s="832"/>
      <c r="E52" s="833" t="s">
        <v>1179</v>
      </c>
      <c r="F52" s="839"/>
      <c r="G52" s="935"/>
      <c r="H52" s="838">
        <f>F51*G51</f>
        <v>31.200000000000003</v>
      </c>
      <c r="I52" s="839" t="s">
        <v>2128</v>
      </c>
    </row>
    <row r="53" spans="1:9">
      <c r="A53" s="818"/>
      <c r="B53" s="831"/>
      <c r="C53" s="829">
        <v>2.73</v>
      </c>
      <c r="D53" s="832">
        <f>C52*C53*B52</f>
        <v>29.484000000000002</v>
      </c>
      <c r="E53" s="833"/>
      <c r="F53" s="831"/>
      <c r="G53" s="832"/>
      <c r="H53" s="832"/>
      <c r="I53" s="829"/>
    </row>
    <row r="54" spans="1:9">
      <c r="A54" s="818"/>
      <c r="B54" s="831"/>
      <c r="C54" s="829"/>
      <c r="D54" s="832"/>
      <c r="E54" s="833"/>
      <c r="F54" s="831"/>
      <c r="G54" s="832"/>
      <c r="H54" s="832"/>
      <c r="I54" s="829" t="s">
        <v>117</v>
      </c>
    </row>
    <row r="55" spans="1:9">
      <c r="A55" s="818"/>
      <c r="B55" s="831">
        <v>2</v>
      </c>
      <c r="C55" s="829">
        <v>3.1</v>
      </c>
      <c r="D55" s="832"/>
      <c r="E55" s="833" t="s">
        <v>1180</v>
      </c>
      <c r="F55" s="831">
        <v>6</v>
      </c>
      <c r="G55" s="832">
        <v>6</v>
      </c>
      <c r="H55" s="832"/>
      <c r="I55" s="979" t="s">
        <v>1186</v>
      </c>
    </row>
    <row r="56" spans="1:9">
      <c r="A56" s="818"/>
      <c r="B56" s="831"/>
      <c r="C56" s="829">
        <v>2.73</v>
      </c>
      <c r="D56" s="832">
        <f>C55*C56*B55</f>
        <v>16.926000000000002</v>
      </c>
      <c r="E56" s="833"/>
      <c r="F56" s="839"/>
      <c r="G56" s="839"/>
      <c r="H56" s="839">
        <f>F55*G55</f>
        <v>36</v>
      </c>
      <c r="I56" s="839" t="s">
        <v>2349</v>
      </c>
    </row>
    <row r="57" spans="1:9">
      <c r="A57" s="818"/>
      <c r="B57" s="831"/>
      <c r="C57" s="829"/>
      <c r="D57" s="832"/>
      <c r="E57" s="833"/>
      <c r="F57" s="831"/>
      <c r="G57" s="832"/>
      <c r="H57" s="832"/>
      <c r="I57" s="33"/>
    </row>
    <row r="58" spans="1:9">
      <c r="A58" s="818"/>
      <c r="B58" s="831">
        <v>1</v>
      </c>
      <c r="C58" s="829">
        <v>2</v>
      </c>
      <c r="D58" s="832"/>
      <c r="E58" s="833"/>
      <c r="F58" s="831"/>
      <c r="G58" s="832"/>
      <c r="H58" s="832"/>
      <c r="I58" s="829" t="s">
        <v>122</v>
      </c>
    </row>
    <row r="59" spans="1:9">
      <c r="A59" s="818"/>
      <c r="B59" s="831"/>
      <c r="C59" s="829">
        <v>3.06</v>
      </c>
      <c r="D59" s="832">
        <f>C58*C59*B58</f>
        <v>6.12</v>
      </c>
      <c r="E59" s="833"/>
      <c r="F59" s="831">
        <v>1</v>
      </c>
      <c r="G59" s="832">
        <v>5.8</v>
      </c>
      <c r="H59" s="832"/>
      <c r="I59" s="14"/>
    </row>
    <row r="60" spans="1:9">
      <c r="A60" s="818"/>
      <c r="B60" s="831"/>
      <c r="C60" s="829"/>
      <c r="D60" s="832"/>
      <c r="E60" s="833" t="s">
        <v>467</v>
      </c>
      <c r="F60" s="831"/>
      <c r="G60" s="832"/>
      <c r="H60" s="832">
        <f>G59*F59</f>
        <v>5.8</v>
      </c>
      <c r="I60" s="27"/>
    </row>
    <row r="61" spans="1:9">
      <c r="A61" s="818"/>
      <c r="B61" s="831">
        <v>1</v>
      </c>
      <c r="C61" s="829">
        <v>5.8</v>
      </c>
      <c r="D61" s="832"/>
      <c r="E61" s="833" t="s">
        <v>1179</v>
      </c>
      <c r="F61" s="831">
        <v>2</v>
      </c>
      <c r="G61" s="832">
        <v>0.6</v>
      </c>
      <c r="H61" s="832"/>
      <c r="I61" s="1"/>
    </row>
    <row r="62" spans="1:9">
      <c r="A62" s="818"/>
      <c r="B62" s="831"/>
      <c r="C62" s="829">
        <v>1.26</v>
      </c>
      <c r="D62" s="832">
        <f>C61*C62*B61</f>
        <v>7.3079999999999998</v>
      </c>
      <c r="E62" s="833"/>
      <c r="F62" s="831"/>
      <c r="G62" s="832"/>
      <c r="H62" s="832">
        <f>G61*F61</f>
        <v>1.2</v>
      </c>
      <c r="I62" s="33"/>
    </row>
    <row r="63" spans="1:9">
      <c r="A63" s="818"/>
      <c r="B63" s="831"/>
      <c r="C63" s="829"/>
      <c r="D63" s="832"/>
      <c r="E63" s="844"/>
      <c r="F63" s="831"/>
      <c r="G63" s="832"/>
      <c r="H63" s="832"/>
      <c r="I63" s="435"/>
    </row>
    <row r="64" spans="1:9">
      <c r="A64" s="818"/>
      <c r="B64" s="849"/>
      <c r="C64" s="850"/>
      <c r="D64" s="851"/>
      <c r="E64" s="974"/>
      <c r="F64" s="857"/>
      <c r="G64" s="970"/>
      <c r="H64" s="858">
        <f>SUM(H60:H62)</f>
        <v>7</v>
      </c>
      <c r="I64" s="857" t="s">
        <v>2350</v>
      </c>
    </row>
    <row r="65" spans="1:10">
      <c r="A65" s="828"/>
      <c r="B65" s="853" t="s">
        <v>1884</v>
      </c>
      <c r="C65" s="855" t="s">
        <v>526</v>
      </c>
      <c r="D65" s="856" t="s">
        <v>1885</v>
      </c>
      <c r="E65" s="854" t="s">
        <v>1886</v>
      </c>
      <c r="F65" s="853" t="s">
        <v>1884</v>
      </c>
      <c r="G65" s="855" t="s">
        <v>526</v>
      </c>
      <c r="H65" s="856" t="s">
        <v>1885</v>
      </c>
      <c r="I65" s="854" t="s">
        <v>1886</v>
      </c>
      <c r="J65" s="828"/>
    </row>
    <row r="66" spans="1:10">
      <c r="A66" s="818"/>
      <c r="B66" s="831"/>
      <c r="C66" s="829"/>
      <c r="D66" s="832"/>
      <c r="E66" s="844" t="s">
        <v>141</v>
      </c>
      <c r="F66" s="831"/>
      <c r="G66" s="829"/>
      <c r="H66" s="832"/>
      <c r="I66" s="844" t="s">
        <v>437</v>
      </c>
    </row>
    <row r="67" spans="1:10">
      <c r="A67" s="818"/>
      <c r="B67" s="831"/>
      <c r="C67" s="943"/>
      <c r="D67" s="832"/>
      <c r="E67" s="844" t="s">
        <v>142</v>
      </c>
      <c r="F67" s="831">
        <v>1</v>
      </c>
      <c r="G67" s="829">
        <v>2.75</v>
      </c>
      <c r="H67" s="832"/>
      <c r="I67" s="833"/>
    </row>
    <row r="68" spans="1:10">
      <c r="A68" s="818"/>
      <c r="B68" s="831">
        <v>1</v>
      </c>
      <c r="C68" s="829">
        <v>5.6</v>
      </c>
      <c r="D68" s="832"/>
      <c r="E68" s="833" t="s">
        <v>1072</v>
      </c>
      <c r="F68" s="831"/>
      <c r="G68" s="829">
        <v>2</v>
      </c>
      <c r="H68" s="832">
        <f>G67*G68*F67</f>
        <v>5.5</v>
      </c>
      <c r="I68" s="833"/>
    </row>
    <row r="69" spans="1:10">
      <c r="A69" s="818"/>
      <c r="B69" s="831"/>
      <c r="C69" s="829">
        <v>2.73</v>
      </c>
      <c r="D69" s="832">
        <f>C68*C69*B68</f>
        <v>15.287999999999998</v>
      </c>
      <c r="E69" s="833"/>
      <c r="F69" s="831"/>
      <c r="G69" s="829"/>
      <c r="H69" s="832"/>
      <c r="I69" s="833"/>
    </row>
    <row r="70" spans="1:10">
      <c r="A70" s="818"/>
      <c r="B70" s="831"/>
      <c r="C70" s="829"/>
      <c r="D70" s="832"/>
      <c r="E70" s="833"/>
      <c r="F70" s="831">
        <v>1</v>
      </c>
      <c r="G70" s="829">
        <v>2.6</v>
      </c>
      <c r="H70" s="832"/>
      <c r="I70" s="833"/>
    </row>
    <row r="71" spans="1:10">
      <c r="A71" s="818"/>
      <c r="B71" s="831">
        <v>1</v>
      </c>
      <c r="C71" s="829">
        <v>5.8</v>
      </c>
      <c r="D71" s="832"/>
      <c r="E71" s="833" t="s">
        <v>1073</v>
      </c>
      <c r="F71" s="831"/>
      <c r="G71" s="829">
        <v>2</v>
      </c>
      <c r="H71" s="832">
        <f>G70*G71*F70</f>
        <v>5.2</v>
      </c>
      <c r="I71" s="833"/>
    </row>
    <row r="72" spans="1:10">
      <c r="A72" s="818"/>
      <c r="B72" s="831"/>
      <c r="C72" s="829">
        <v>1.26</v>
      </c>
      <c r="D72" s="832">
        <f>C71*C72*B71</f>
        <v>7.3079999999999998</v>
      </c>
      <c r="E72" s="833"/>
      <c r="F72" s="831"/>
      <c r="G72" s="829"/>
      <c r="H72" s="832"/>
      <c r="I72" s="833"/>
    </row>
    <row r="73" spans="1:10">
      <c r="A73" s="818"/>
      <c r="B73" s="831"/>
      <c r="C73" s="829"/>
      <c r="D73" s="832"/>
      <c r="E73" s="833"/>
      <c r="F73" s="831">
        <v>1</v>
      </c>
      <c r="G73" s="829">
        <v>1</v>
      </c>
      <c r="H73" s="832"/>
      <c r="I73" s="833"/>
    </row>
    <row r="74" spans="1:10">
      <c r="A74" s="818"/>
      <c r="B74" s="831">
        <v>2</v>
      </c>
      <c r="C74" s="829">
        <v>3.1</v>
      </c>
      <c r="D74" s="832"/>
      <c r="E74" s="833" t="s">
        <v>1178</v>
      </c>
      <c r="F74" s="831"/>
      <c r="G74" s="829">
        <v>5.6</v>
      </c>
      <c r="H74" s="832">
        <f>G73*G74*F73</f>
        <v>5.6</v>
      </c>
      <c r="I74" s="435"/>
    </row>
    <row r="75" spans="1:10">
      <c r="A75" s="818"/>
      <c r="B75" s="831"/>
      <c r="C75" s="829">
        <v>2.73</v>
      </c>
      <c r="D75" s="832">
        <f>C74*C75*B74</f>
        <v>16.926000000000002</v>
      </c>
      <c r="E75" s="833"/>
      <c r="F75" s="1"/>
      <c r="G75" s="829"/>
      <c r="H75" s="3"/>
      <c r="I75" s="1"/>
    </row>
    <row r="76" spans="1:10">
      <c r="A76" s="818"/>
      <c r="B76" s="831"/>
      <c r="C76" s="829"/>
      <c r="D76" s="832"/>
      <c r="E76" s="833"/>
      <c r="F76" s="839"/>
      <c r="G76" s="839"/>
      <c r="H76" s="838">
        <f>SUM(H68:H74)</f>
        <v>16.299999999999997</v>
      </c>
      <c r="I76" s="839" t="s">
        <v>2182</v>
      </c>
    </row>
    <row r="77" spans="1:10">
      <c r="A77" s="818"/>
      <c r="B77" s="831">
        <v>2</v>
      </c>
      <c r="C77" s="829">
        <v>3.5</v>
      </c>
      <c r="D77" s="832"/>
      <c r="E77" s="833" t="s">
        <v>351</v>
      </c>
      <c r="F77" s="831"/>
      <c r="G77" s="829"/>
      <c r="H77" s="832"/>
      <c r="I77" s="833"/>
    </row>
    <row r="78" spans="1:10">
      <c r="A78" s="818"/>
      <c r="B78" s="831"/>
      <c r="C78" s="829">
        <v>0.73</v>
      </c>
      <c r="D78" s="832">
        <f>C77*C78*B77</f>
        <v>5.1099999999999994</v>
      </c>
      <c r="E78" s="833"/>
      <c r="F78" s="831"/>
      <c r="G78" s="829"/>
      <c r="H78" s="832"/>
      <c r="I78" s="943" t="s">
        <v>483</v>
      </c>
    </row>
    <row r="79" spans="1:10">
      <c r="A79" s="818"/>
      <c r="B79" s="831"/>
      <c r="C79" s="829"/>
      <c r="D79" s="832"/>
      <c r="E79" s="833"/>
      <c r="F79" s="831">
        <v>1</v>
      </c>
      <c r="G79" s="829">
        <v>7</v>
      </c>
      <c r="H79" s="832"/>
      <c r="I79" s="435"/>
    </row>
    <row r="80" spans="1:10">
      <c r="A80" s="818"/>
      <c r="B80" s="831">
        <v>1</v>
      </c>
      <c r="C80" s="829">
        <v>0.8</v>
      </c>
      <c r="D80" s="832"/>
      <c r="E80" s="833"/>
      <c r="F80" s="831"/>
      <c r="G80" s="829">
        <v>1.2</v>
      </c>
      <c r="H80" s="832">
        <f>G79*G80*F79</f>
        <v>8.4</v>
      </c>
      <c r="I80" s="435"/>
    </row>
    <row r="81" spans="1:9">
      <c r="A81" s="818"/>
      <c r="B81" s="831"/>
      <c r="C81" s="829">
        <v>1.73</v>
      </c>
      <c r="D81" s="832">
        <f>-C80*C81*B80</f>
        <v>-1.3840000000000001</v>
      </c>
      <c r="E81" s="833"/>
      <c r="F81" s="831"/>
      <c r="G81" s="829"/>
      <c r="H81" s="832"/>
      <c r="I81" s="435"/>
    </row>
    <row r="82" spans="1:9">
      <c r="A82" s="818"/>
      <c r="B82" s="831"/>
      <c r="C82" s="829"/>
      <c r="D82" s="832"/>
      <c r="E82" s="833"/>
      <c r="F82" s="831">
        <v>1</v>
      </c>
      <c r="G82" s="829">
        <v>7</v>
      </c>
      <c r="H82" s="832"/>
      <c r="I82" s="435"/>
    </row>
    <row r="83" spans="1:9">
      <c r="A83" s="818"/>
      <c r="B83" s="831">
        <v>2</v>
      </c>
      <c r="C83" s="829">
        <v>0.7</v>
      </c>
      <c r="D83" s="832"/>
      <c r="E83" s="833"/>
      <c r="F83" s="831"/>
      <c r="G83" s="829">
        <v>2.35</v>
      </c>
      <c r="H83" s="832">
        <f>G82*G83*F82</f>
        <v>16.45</v>
      </c>
      <c r="I83" s="435"/>
    </row>
    <row r="84" spans="1:9">
      <c r="A84" s="818"/>
      <c r="B84" s="831"/>
      <c r="C84" s="829">
        <v>2.73</v>
      </c>
      <c r="D84" s="832">
        <f>-C83*C84*B83</f>
        <v>-3.8219999999999996</v>
      </c>
      <c r="E84" s="833"/>
      <c r="F84" s="831"/>
      <c r="G84" s="829"/>
      <c r="H84" s="832"/>
      <c r="I84" s="435"/>
    </row>
    <row r="85" spans="1:9">
      <c r="A85" s="818"/>
      <c r="B85" s="831"/>
      <c r="C85" s="829"/>
      <c r="D85" s="832"/>
      <c r="E85" s="833"/>
      <c r="F85" s="831">
        <v>1</v>
      </c>
      <c r="G85" s="829">
        <v>3.5</v>
      </c>
      <c r="H85" s="832"/>
      <c r="I85" s="435"/>
    </row>
    <row r="86" spans="1:9">
      <c r="A86" s="818"/>
      <c r="B86" s="839"/>
      <c r="C86" s="935"/>
      <c r="D86" s="838">
        <f>SUM(D69:D84)</f>
        <v>39.425999999999995</v>
      </c>
      <c r="E86" s="839" t="s">
        <v>2182</v>
      </c>
      <c r="F86" s="943"/>
      <c r="G86" s="829">
        <v>1.2</v>
      </c>
      <c r="H86" s="832">
        <f>G85*G86*F85</f>
        <v>4.2</v>
      </c>
      <c r="I86" s="435"/>
    </row>
    <row r="87" spans="1:9">
      <c r="A87" s="818"/>
      <c r="B87" s="435"/>
      <c r="C87" s="943"/>
      <c r="D87" s="943"/>
      <c r="E87" s="435"/>
      <c r="F87" s="831"/>
      <c r="G87" s="829"/>
      <c r="H87" s="843"/>
      <c r="I87" s="435"/>
    </row>
    <row r="88" spans="1:9">
      <c r="A88" s="818"/>
      <c r="B88" s="831"/>
      <c r="C88" s="829"/>
      <c r="D88" s="832"/>
      <c r="E88" s="844" t="s">
        <v>358</v>
      </c>
      <c r="F88" s="839"/>
      <c r="G88" s="935"/>
      <c r="H88" s="838">
        <f>SUM(H79:H86)</f>
        <v>29.05</v>
      </c>
      <c r="I88" s="839" t="s">
        <v>2472</v>
      </c>
    </row>
    <row r="89" spans="1:9">
      <c r="A89" s="818"/>
      <c r="B89" s="435"/>
      <c r="C89" s="943"/>
      <c r="D89" s="943"/>
      <c r="E89" s="844" t="s">
        <v>359</v>
      </c>
      <c r="F89" s="831"/>
      <c r="G89" s="829"/>
      <c r="H89" s="832"/>
      <c r="I89" s="435"/>
    </row>
    <row r="90" spans="1:9">
      <c r="A90" s="818"/>
      <c r="B90" s="831">
        <v>1</v>
      </c>
      <c r="C90" s="829">
        <v>7.8</v>
      </c>
      <c r="D90" s="832"/>
      <c r="E90" s="833" t="s">
        <v>1185</v>
      </c>
      <c r="F90" s="435"/>
      <c r="G90" s="435"/>
      <c r="H90" s="435"/>
      <c r="I90" s="844" t="s">
        <v>271</v>
      </c>
    </row>
    <row r="91" spans="1:9">
      <c r="A91" s="818"/>
      <c r="B91" s="831"/>
      <c r="C91" s="829">
        <v>3.06</v>
      </c>
      <c r="D91" s="832">
        <f>C90*C91*B90</f>
        <v>23.867999999999999</v>
      </c>
      <c r="E91" s="833"/>
      <c r="F91" s="435"/>
      <c r="G91" s="435"/>
      <c r="H91" s="435"/>
      <c r="I91" s="844" t="s">
        <v>440</v>
      </c>
    </row>
    <row r="92" spans="1:9">
      <c r="A92" s="818"/>
      <c r="B92" s="831"/>
      <c r="C92" s="829"/>
      <c r="D92" s="832"/>
      <c r="E92" s="833"/>
      <c r="F92" s="435">
        <v>1</v>
      </c>
      <c r="G92" s="832">
        <f>D86</f>
        <v>39.425999999999995</v>
      </c>
      <c r="H92" s="435"/>
      <c r="I92" s="831" t="s">
        <v>2286</v>
      </c>
    </row>
    <row r="93" spans="1:9">
      <c r="A93" s="818"/>
      <c r="B93" s="831">
        <v>1</v>
      </c>
      <c r="C93" s="829">
        <v>9.5</v>
      </c>
      <c r="D93" s="832"/>
      <c r="E93" s="833" t="s">
        <v>1187</v>
      </c>
      <c r="F93" s="839"/>
      <c r="G93" s="839"/>
      <c r="H93" s="838">
        <f>G92*F92</f>
        <v>39.425999999999995</v>
      </c>
      <c r="I93" s="839" t="s">
        <v>2158</v>
      </c>
    </row>
    <row r="94" spans="1:9">
      <c r="A94" s="818"/>
      <c r="B94" s="831"/>
      <c r="C94" s="829">
        <v>3.06</v>
      </c>
      <c r="D94" s="832">
        <f>C93*C94*B93</f>
        <v>29.07</v>
      </c>
      <c r="E94" s="833"/>
      <c r="F94" s="435"/>
      <c r="G94" s="435"/>
      <c r="H94" s="435"/>
      <c r="I94" s="435"/>
    </row>
    <row r="95" spans="1:9">
      <c r="A95" s="818"/>
      <c r="B95" s="831"/>
      <c r="C95" s="829"/>
      <c r="D95" s="832"/>
      <c r="E95" s="833"/>
      <c r="F95" s="435"/>
      <c r="G95" s="435"/>
      <c r="H95" s="435"/>
      <c r="I95" s="833" t="s">
        <v>1923</v>
      </c>
    </row>
    <row r="96" spans="1:9">
      <c r="A96" s="818"/>
      <c r="B96" s="831">
        <v>1</v>
      </c>
      <c r="C96" s="829">
        <v>9.1999999999999993</v>
      </c>
      <c r="D96" s="832"/>
      <c r="E96" s="833" t="s">
        <v>1188</v>
      </c>
      <c r="F96" s="831">
        <v>1</v>
      </c>
      <c r="G96" s="829">
        <f>D120</f>
        <v>93.111999999999995</v>
      </c>
      <c r="H96" s="832"/>
      <c r="I96" s="831" t="s">
        <v>2284</v>
      </c>
    </row>
    <row r="97" spans="1:9">
      <c r="A97" s="818"/>
      <c r="B97" s="831"/>
      <c r="C97" s="829">
        <v>3.06</v>
      </c>
      <c r="D97" s="832">
        <f>C96*C97*B96</f>
        <v>28.151999999999997</v>
      </c>
      <c r="E97" s="833"/>
      <c r="F97" s="839"/>
      <c r="G97" s="839"/>
      <c r="H97" s="838">
        <f>G96*F96</f>
        <v>93.111999999999995</v>
      </c>
      <c r="I97" s="839" t="s">
        <v>2156</v>
      </c>
    </row>
    <row r="98" spans="1:9">
      <c r="A98" s="818"/>
      <c r="B98" s="831"/>
      <c r="C98" s="829"/>
      <c r="D98" s="832"/>
      <c r="E98" s="833"/>
      <c r="F98" s="943"/>
      <c r="G98" s="848"/>
      <c r="H98" s="843"/>
      <c r="I98" s="435"/>
    </row>
    <row r="99" spans="1:9">
      <c r="A99" s="818"/>
      <c r="B99" s="831">
        <v>2</v>
      </c>
      <c r="C99" s="829">
        <v>0.7</v>
      </c>
      <c r="D99" s="832"/>
      <c r="E99" s="833" t="s">
        <v>351</v>
      </c>
      <c r="F99" s="435"/>
      <c r="G99" s="435"/>
      <c r="H99" s="832"/>
      <c r="I99" s="844" t="s">
        <v>1247</v>
      </c>
    </row>
    <row r="100" spans="1:9">
      <c r="A100" s="818"/>
      <c r="B100" s="831"/>
      <c r="C100" s="829">
        <v>2.73</v>
      </c>
      <c r="D100" s="832">
        <f>-C99*C100*B99</f>
        <v>-3.8219999999999996</v>
      </c>
      <c r="E100" s="833"/>
      <c r="F100" s="831">
        <v>1</v>
      </c>
      <c r="G100" s="829">
        <f>H76</f>
        <v>16.299999999999997</v>
      </c>
      <c r="H100" s="832"/>
      <c r="I100" s="831" t="s">
        <v>2511</v>
      </c>
    </row>
    <row r="101" spans="1:9">
      <c r="A101" s="818"/>
      <c r="B101" s="831"/>
      <c r="C101" s="829"/>
      <c r="D101" s="832"/>
      <c r="E101" s="833"/>
      <c r="F101" s="839"/>
      <c r="G101" s="839"/>
      <c r="H101" s="838">
        <f>G100*F100</f>
        <v>16.299999999999997</v>
      </c>
      <c r="I101" s="839" t="s">
        <v>2157</v>
      </c>
    </row>
    <row r="102" spans="1:9">
      <c r="A102" s="818"/>
      <c r="B102" s="831">
        <v>1</v>
      </c>
      <c r="C102" s="829">
        <v>0.8</v>
      </c>
      <c r="D102" s="832"/>
      <c r="E102" s="833" t="s">
        <v>1189</v>
      </c>
      <c r="F102" s="435"/>
      <c r="G102" s="435"/>
      <c r="H102" s="832"/>
      <c r="I102" s="844"/>
    </row>
    <row r="103" spans="1:9">
      <c r="B103" s="831"/>
      <c r="C103" s="829">
        <v>1.73</v>
      </c>
      <c r="D103" s="832">
        <f>-C102*C103*B102</f>
        <v>-1.3840000000000001</v>
      </c>
      <c r="E103" s="833"/>
      <c r="F103" s="831"/>
      <c r="G103" s="829"/>
      <c r="H103" s="832"/>
      <c r="I103" s="837" t="s">
        <v>19</v>
      </c>
    </row>
    <row r="104" spans="1:9" s="966" customFormat="1">
      <c r="A104" s="965"/>
      <c r="B104" s="831"/>
      <c r="C104" s="829"/>
      <c r="D104" s="832"/>
      <c r="E104" s="980"/>
      <c r="F104" s="435"/>
      <c r="G104" s="435"/>
      <c r="H104" s="832"/>
      <c r="I104" s="844" t="s">
        <v>6</v>
      </c>
    </row>
    <row r="105" spans="1:9">
      <c r="A105" s="818"/>
      <c r="B105" s="831">
        <v>2</v>
      </c>
      <c r="C105" s="829">
        <v>5.8</v>
      </c>
      <c r="D105" s="832"/>
      <c r="E105" s="833" t="s">
        <v>1088</v>
      </c>
      <c r="F105" s="831"/>
      <c r="G105" s="829"/>
      <c r="H105" s="832"/>
      <c r="I105" s="837" t="s">
        <v>379</v>
      </c>
    </row>
    <row r="106" spans="1:9">
      <c r="A106" s="818"/>
      <c r="B106" s="831"/>
      <c r="C106" s="829">
        <v>0.4</v>
      </c>
      <c r="D106" s="832">
        <f>C105*C106*B105</f>
        <v>4.6399999999999997</v>
      </c>
      <c r="E106" s="833"/>
      <c r="F106" s="831">
        <v>6</v>
      </c>
      <c r="G106" s="829">
        <v>1</v>
      </c>
      <c r="H106" s="832"/>
      <c r="I106" s="844"/>
    </row>
    <row r="107" spans="1:9">
      <c r="A107" s="818"/>
      <c r="B107" s="831"/>
      <c r="C107" s="829"/>
      <c r="D107" s="832"/>
      <c r="E107" s="833"/>
      <c r="F107" s="839"/>
      <c r="G107" s="839"/>
      <c r="H107" s="838">
        <f>F106*G106</f>
        <v>6</v>
      </c>
      <c r="I107" s="845" t="s">
        <v>2390</v>
      </c>
    </row>
    <row r="108" spans="1:9">
      <c r="A108" s="818"/>
      <c r="B108" s="831">
        <v>2</v>
      </c>
      <c r="C108" s="829">
        <v>3.5</v>
      </c>
      <c r="D108" s="832"/>
      <c r="E108" s="833" t="s">
        <v>121</v>
      </c>
      <c r="F108" s="435"/>
      <c r="G108" s="829"/>
      <c r="H108" s="832"/>
      <c r="I108" s="833"/>
    </row>
    <row r="109" spans="1:9">
      <c r="A109" s="818"/>
      <c r="B109" s="831"/>
      <c r="C109" s="829">
        <v>0.4</v>
      </c>
      <c r="D109" s="832">
        <f>C108*C109*B108</f>
        <v>2.8000000000000003</v>
      </c>
      <c r="E109" s="833"/>
      <c r="F109" s="831"/>
      <c r="G109" s="829"/>
      <c r="H109" s="832"/>
      <c r="I109" s="844" t="s">
        <v>287</v>
      </c>
    </row>
    <row r="110" spans="1:9">
      <c r="A110" s="818"/>
      <c r="B110" s="831"/>
      <c r="C110" s="829"/>
      <c r="D110" s="832"/>
      <c r="E110" s="833"/>
      <c r="F110" s="831"/>
      <c r="G110" s="829"/>
      <c r="H110" s="832"/>
      <c r="I110" s="837" t="s">
        <v>288</v>
      </c>
    </row>
    <row r="111" spans="1:9">
      <c r="A111" s="818"/>
      <c r="B111" s="831">
        <v>2</v>
      </c>
      <c r="C111" s="829">
        <v>5.8</v>
      </c>
      <c r="D111" s="832"/>
      <c r="E111" s="833"/>
      <c r="F111" s="831">
        <v>1</v>
      </c>
      <c r="G111" s="829">
        <v>1</v>
      </c>
      <c r="H111" s="832"/>
      <c r="I111" s="844"/>
    </row>
    <row r="112" spans="1:9">
      <c r="A112" s="818"/>
      <c r="B112" s="831"/>
      <c r="C112" s="829">
        <v>0.3</v>
      </c>
      <c r="D112" s="832">
        <f>C111*C112*B111</f>
        <v>3.48</v>
      </c>
      <c r="E112" s="833" t="s">
        <v>338</v>
      </c>
      <c r="F112" s="839"/>
      <c r="G112" s="839"/>
      <c r="H112" s="838">
        <f>F111*G111</f>
        <v>1</v>
      </c>
      <c r="I112" s="845" t="s">
        <v>2394</v>
      </c>
    </row>
    <row r="113" spans="1:9">
      <c r="A113" s="818"/>
      <c r="B113" s="831"/>
      <c r="C113" s="829"/>
      <c r="D113" s="832"/>
      <c r="E113" s="833"/>
      <c r="F113" s="435"/>
      <c r="G113" s="829"/>
      <c r="H113" s="832"/>
      <c r="I113" s="833"/>
    </row>
    <row r="114" spans="1:9">
      <c r="A114" s="818"/>
      <c r="B114" s="831">
        <v>2</v>
      </c>
      <c r="C114" s="829">
        <v>3.5</v>
      </c>
      <c r="D114" s="832"/>
      <c r="E114" s="833"/>
      <c r="F114" s="831"/>
      <c r="G114" s="829"/>
      <c r="H114" s="832"/>
      <c r="I114" s="837"/>
    </row>
    <row r="115" spans="1:9">
      <c r="A115" s="818"/>
      <c r="B115" s="831"/>
      <c r="C115" s="829">
        <v>0.3</v>
      </c>
      <c r="D115" s="832">
        <f>C114*C115*B114</f>
        <v>2.1</v>
      </c>
      <c r="E115" s="833"/>
      <c r="F115" s="837"/>
      <c r="G115" s="837"/>
      <c r="H115" s="837"/>
      <c r="I115" s="837"/>
    </row>
    <row r="116" spans="1:9">
      <c r="A116" s="818"/>
      <c r="B116" s="831"/>
      <c r="C116" s="829"/>
      <c r="D116" s="832"/>
      <c r="E116" s="833"/>
      <c r="F116" s="837"/>
      <c r="G116" s="837"/>
      <c r="H116" s="837"/>
      <c r="I116" s="837"/>
    </row>
    <row r="117" spans="1:9">
      <c r="A117" s="818"/>
      <c r="B117" s="831">
        <v>8</v>
      </c>
      <c r="C117" s="829">
        <v>2.63</v>
      </c>
      <c r="D117" s="832"/>
      <c r="E117" s="833" t="s">
        <v>878</v>
      </c>
      <c r="F117" s="837"/>
      <c r="G117" s="837"/>
      <c r="H117" s="837"/>
      <c r="I117" s="837"/>
    </row>
    <row r="118" spans="1:9">
      <c r="A118" s="818"/>
      <c r="B118" s="831"/>
      <c r="C118" s="829">
        <v>0.2</v>
      </c>
      <c r="D118" s="832">
        <f>C117*C118*B117</f>
        <v>4.2080000000000002</v>
      </c>
      <c r="E118" s="435"/>
      <c r="F118" s="837"/>
      <c r="G118" s="837"/>
      <c r="H118" s="837"/>
      <c r="I118" s="837"/>
    </row>
    <row r="119" spans="1:9">
      <c r="A119" s="818"/>
      <c r="B119" s="435"/>
      <c r="C119" s="943"/>
      <c r="D119" s="943"/>
      <c r="E119" s="435"/>
      <c r="F119" s="837"/>
      <c r="G119" s="837"/>
      <c r="H119" s="837"/>
      <c r="I119" s="837"/>
    </row>
    <row r="120" spans="1:9">
      <c r="A120" s="818"/>
      <c r="B120" s="839"/>
      <c r="C120" s="935"/>
      <c r="D120" s="838">
        <f>SUM(D91:D119)</f>
        <v>93.111999999999995</v>
      </c>
      <c r="E120" s="839" t="s">
        <v>2184</v>
      </c>
      <c r="F120" s="837"/>
      <c r="G120" s="837"/>
      <c r="H120" s="837"/>
      <c r="I120" s="837"/>
    </row>
    <row r="121" spans="1:9">
      <c r="A121" s="818"/>
      <c r="B121" s="435"/>
      <c r="C121" s="943"/>
      <c r="D121" s="943"/>
      <c r="E121" s="435"/>
      <c r="F121" s="837"/>
      <c r="G121" s="837"/>
      <c r="H121" s="837"/>
      <c r="I121" s="837"/>
    </row>
    <row r="122" spans="1:9">
      <c r="A122" s="818"/>
      <c r="B122" s="435"/>
      <c r="C122" s="943"/>
      <c r="D122" s="943"/>
      <c r="E122" s="435"/>
      <c r="F122" s="837"/>
      <c r="G122" s="837"/>
      <c r="H122" s="837"/>
      <c r="I122" s="837"/>
    </row>
    <row r="123" spans="1:9">
      <c r="A123" s="818"/>
      <c r="B123" s="435"/>
      <c r="C123" s="943"/>
      <c r="D123" s="943"/>
      <c r="E123" s="435"/>
      <c r="F123" s="435"/>
      <c r="G123" s="829"/>
      <c r="H123" s="843"/>
      <c r="I123" s="837"/>
    </row>
    <row r="124" spans="1:9">
      <c r="A124" s="818"/>
      <c r="B124" s="109"/>
      <c r="C124" s="860"/>
      <c r="D124" s="860"/>
      <c r="E124" s="109"/>
      <c r="F124" s="976"/>
      <c r="G124" s="977"/>
      <c r="H124" s="109"/>
      <c r="I124" s="978"/>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1" manualBreakCount="1">
    <brk id="64" max="9"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B1:R71"/>
  <sheetViews>
    <sheetView view="pageBreakPreview" topLeftCell="A52" zoomScale="115" zoomScaleSheetLayoutView="115" workbookViewId="0">
      <selection activeCell="F68" sqref="F68"/>
    </sheetView>
  </sheetViews>
  <sheetFormatPr defaultRowHeight="15.75"/>
  <cols>
    <col min="1" max="1" width="7" style="158" customWidth="1"/>
    <col min="2" max="2" width="4.42578125" style="158" customWidth="1"/>
    <col min="3" max="3" width="18.85546875" style="158" customWidth="1"/>
    <col min="4" max="4" width="20" style="158" customWidth="1"/>
    <col min="5" max="5" width="8.7109375" style="158" customWidth="1"/>
    <col min="6" max="6" width="8.5703125" style="158" customWidth="1"/>
    <col min="7" max="7" width="8.140625" style="158" customWidth="1"/>
    <col min="8" max="8" width="10.42578125" style="158" customWidth="1"/>
    <col min="9" max="9" width="9.140625" style="158" customWidth="1"/>
    <col min="10" max="10" width="8.140625" style="158" customWidth="1"/>
    <col min="11" max="11" width="10.42578125" style="158" customWidth="1"/>
    <col min="12" max="12" width="7.7109375" style="158" customWidth="1"/>
    <col min="13" max="13" width="12.28515625" style="158" customWidth="1"/>
    <col min="14" max="14" width="11.140625" style="158" customWidth="1"/>
    <col min="15" max="16384" width="9.140625" style="158"/>
  </cols>
  <sheetData>
    <row r="1" spans="2:14">
      <c r="B1" s="2184" t="s">
        <v>1257</v>
      </c>
      <c r="C1" s="2184"/>
      <c r="D1" s="2184"/>
      <c r="E1" s="2184"/>
      <c r="F1" s="2184"/>
      <c r="G1" s="2184"/>
      <c r="L1" s="2221" t="s">
        <v>1206</v>
      </c>
      <c r="M1" s="2221"/>
      <c r="N1" s="2221"/>
    </row>
    <row r="2" spans="2:14">
      <c r="B2" s="2184" t="s">
        <v>1208</v>
      </c>
      <c r="C2" s="2184"/>
      <c r="D2" s="2184"/>
      <c r="E2" s="2184"/>
      <c r="F2" s="2184"/>
      <c r="G2" s="2184"/>
      <c r="L2" s="2221" t="s">
        <v>1265</v>
      </c>
      <c r="M2" s="2221"/>
      <c r="N2" s="2221"/>
    </row>
    <row r="3" spans="2:14">
      <c r="B3" s="2184" t="s">
        <v>1258</v>
      </c>
      <c r="C3" s="2184"/>
      <c r="D3" s="2184"/>
      <c r="E3" s="2184"/>
      <c r="F3" s="2184"/>
      <c r="G3" s="2184"/>
      <c r="L3" s="2221" t="s">
        <v>1806</v>
      </c>
      <c r="M3" s="2221"/>
      <c r="N3" s="2221"/>
    </row>
    <row r="4" spans="2:14" ht="16.5" thickBot="1">
      <c r="B4" s="2184" t="s">
        <v>1209</v>
      </c>
      <c r="C4" s="2184"/>
      <c r="D4" s="2184"/>
      <c r="E4" s="2184"/>
      <c r="F4" s="2184"/>
      <c r="G4" s="2184"/>
      <c r="J4" s="157"/>
      <c r="K4" s="157"/>
      <c r="L4" s="157"/>
      <c r="M4" s="157"/>
      <c r="N4" s="409"/>
    </row>
    <row r="5" spans="2:14" ht="16.5" thickTop="1">
      <c r="B5" s="2247" t="s">
        <v>4</v>
      </c>
      <c r="C5" s="2245" t="s">
        <v>293</v>
      </c>
      <c r="D5" s="2245" t="s">
        <v>309</v>
      </c>
      <c r="E5" s="2245" t="s">
        <v>310</v>
      </c>
      <c r="F5" s="413" t="s">
        <v>295</v>
      </c>
      <c r="G5" s="2249" t="s">
        <v>311</v>
      </c>
      <c r="H5" s="2250"/>
      <c r="I5" s="2251"/>
      <c r="J5" s="407"/>
      <c r="K5" s="407" t="s">
        <v>312</v>
      </c>
      <c r="L5" s="407"/>
      <c r="M5" s="407"/>
      <c r="N5" s="408"/>
    </row>
    <row r="6" spans="2:14" ht="16.5" thickBot="1">
      <c r="B6" s="2248"/>
      <c r="C6" s="2246"/>
      <c r="D6" s="2246"/>
      <c r="E6" s="2246"/>
      <c r="F6" s="124" t="s">
        <v>313</v>
      </c>
      <c r="G6" s="124" t="s">
        <v>314</v>
      </c>
      <c r="H6" s="124" t="s">
        <v>315</v>
      </c>
      <c r="I6" s="145" t="s">
        <v>316</v>
      </c>
      <c r="J6" s="347" t="s">
        <v>317</v>
      </c>
      <c r="K6" s="412" t="s">
        <v>318</v>
      </c>
      <c r="L6" s="145" t="s">
        <v>319</v>
      </c>
      <c r="M6" s="145" t="s">
        <v>320</v>
      </c>
      <c r="N6" s="348" t="s">
        <v>321</v>
      </c>
    </row>
    <row r="7" spans="2:14" ht="16.5" thickTop="1">
      <c r="B7" s="410"/>
      <c r="C7" s="375"/>
      <c r="D7" s="131"/>
      <c r="E7" s="131"/>
      <c r="F7" s="350"/>
      <c r="G7" s="131"/>
      <c r="H7" s="131"/>
      <c r="I7" s="131"/>
      <c r="J7" s="131"/>
      <c r="K7" s="131"/>
      <c r="L7" s="131"/>
      <c r="M7" s="500"/>
      <c r="N7" s="465"/>
    </row>
    <row r="8" spans="2:14">
      <c r="B8" s="140"/>
      <c r="C8" s="501" t="s">
        <v>1</v>
      </c>
      <c r="D8" s="115" t="s">
        <v>877</v>
      </c>
      <c r="E8" s="115">
        <v>12</v>
      </c>
      <c r="F8" s="116">
        <v>6.45</v>
      </c>
      <c r="G8" s="115">
        <v>2</v>
      </c>
      <c r="H8" s="115">
        <v>3</v>
      </c>
      <c r="I8" s="117">
        <f>H11*G8</f>
        <v>6</v>
      </c>
      <c r="J8" s="117" t="str">
        <f t="shared" ref="J8:J14" si="0">IF(E8=6,I8*F8,"-")</f>
        <v>-</v>
      </c>
      <c r="K8" s="117" t="str">
        <f t="shared" ref="K8:K14" si="1">IF(E8=8,I8*F8,"-")</f>
        <v>-</v>
      </c>
      <c r="L8" s="117" t="str">
        <f t="shared" ref="L8:L14" si="2">IF(E8=10,I8*F8,"-")</f>
        <v>-</v>
      </c>
      <c r="M8" s="117">
        <f t="shared" ref="M8:M14" si="3">IF(E8=12,I8*F8,"-")</f>
        <v>38.700000000000003</v>
      </c>
      <c r="N8" s="354"/>
    </row>
    <row r="9" spans="2:14">
      <c r="B9" s="140"/>
      <c r="C9" s="502"/>
      <c r="D9" s="115"/>
      <c r="E9" s="115">
        <v>12</v>
      </c>
      <c r="F9" s="116">
        <v>5.75</v>
      </c>
      <c r="G9" s="115">
        <v>2</v>
      </c>
      <c r="H9" s="115">
        <v>3</v>
      </c>
      <c r="I9" s="117">
        <f t="shared" ref="I9:I14" si="4">H9*G9</f>
        <v>6</v>
      </c>
      <c r="J9" s="117" t="str">
        <f t="shared" si="0"/>
        <v>-</v>
      </c>
      <c r="K9" s="117" t="str">
        <f t="shared" si="1"/>
        <v>-</v>
      </c>
      <c r="L9" s="117" t="str">
        <f t="shared" si="2"/>
        <v>-</v>
      </c>
      <c r="M9" s="117">
        <f t="shared" si="3"/>
        <v>34.5</v>
      </c>
      <c r="N9" s="354"/>
    </row>
    <row r="10" spans="2:14">
      <c r="B10" s="140"/>
      <c r="C10" s="502"/>
      <c r="D10" s="115" t="s">
        <v>395</v>
      </c>
      <c r="E10" s="115">
        <v>8</v>
      </c>
      <c r="F10" s="116">
        <v>1.2</v>
      </c>
      <c r="G10" s="115">
        <v>2</v>
      </c>
      <c r="H10" s="115">
        <v>28</v>
      </c>
      <c r="I10" s="117">
        <f>H10*G10</f>
        <v>56</v>
      </c>
      <c r="J10" s="117" t="str">
        <f t="shared" si="0"/>
        <v>-</v>
      </c>
      <c r="K10" s="117">
        <f>IF(E10=8,I10*F10,"-")</f>
        <v>67.2</v>
      </c>
      <c r="L10" s="117" t="str">
        <f t="shared" si="2"/>
        <v>-</v>
      </c>
      <c r="M10" s="117" t="str">
        <f t="shared" si="3"/>
        <v>-</v>
      </c>
      <c r="N10" s="354"/>
    </row>
    <row r="11" spans="2:14">
      <c r="B11" s="140"/>
      <c r="C11" s="502"/>
      <c r="D11" s="115" t="s">
        <v>486</v>
      </c>
      <c r="E11" s="115">
        <v>12</v>
      </c>
      <c r="F11" s="116">
        <v>4.1500000000000004</v>
      </c>
      <c r="G11" s="115">
        <v>2</v>
      </c>
      <c r="H11" s="115">
        <v>3</v>
      </c>
      <c r="I11" s="117">
        <f t="shared" si="4"/>
        <v>6</v>
      </c>
      <c r="J11" s="117" t="str">
        <f t="shared" si="0"/>
        <v>-</v>
      </c>
      <c r="K11" s="117" t="str">
        <f t="shared" si="1"/>
        <v>-</v>
      </c>
      <c r="L11" s="117" t="str">
        <f t="shared" si="2"/>
        <v>-</v>
      </c>
      <c r="M11" s="117">
        <f t="shared" si="3"/>
        <v>24.900000000000002</v>
      </c>
      <c r="N11" s="354"/>
    </row>
    <row r="12" spans="2:14">
      <c r="B12" s="140"/>
      <c r="C12" s="502"/>
      <c r="D12" s="115"/>
      <c r="E12" s="115">
        <v>12</v>
      </c>
      <c r="F12" s="116">
        <v>3.45</v>
      </c>
      <c r="G12" s="115">
        <v>2</v>
      </c>
      <c r="H12" s="115">
        <v>3</v>
      </c>
      <c r="I12" s="117">
        <f t="shared" si="4"/>
        <v>6</v>
      </c>
      <c r="J12" s="117" t="str">
        <f t="shared" si="0"/>
        <v>-</v>
      </c>
      <c r="K12" s="117" t="str">
        <f t="shared" si="1"/>
        <v>-</v>
      </c>
      <c r="L12" s="117" t="str">
        <f t="shared" si="2"/>
        <v>-</v>
      </c>
      <c r="M12" s="117">
        <f t="shared" si="3"/>
        <v>20.700000000000003</v>
      </c>
      <c r="N12" s="354"/>
    </row>
    <row r="13" spans="2:14">
      <c r="B13" s="140"/>
      <c r="C13" s="502"/>
      <c r="D13" s="115" t="s">
        <v>395</v>
      </c>
      <c r="E13" s="115">
        <v>8</v>
      </c>
      <c r="F13" s="116">
        <v>1.2</v>
      </c>
      <c r="G13" s="115">
        <v>2</v>
      </c>
      <c r="H13" s="115">
        <v>17</v>
      </c>
      <c r="I13" s="117">
        <f t="shared" si="4"/>
        <v>34</v>
      </c>
      <c r="J13" s="117" t="str">
        <f t="shared" si="0"/>
        <v>-</v>
      </c>
      <c r="K13" s="117">
        <f t="shared" si="1"/>
        <v>40.799999999999997</v>
      </c>
      <c r="L13" s="117" t="str">
        <f t="shared" si="2"/>
        <v>-</v>
      </c>
      <c r="M13" s="117" t="str">
        <f t="shared" si="3"/>
        <v>-</v>
      </c>
      <c r="N13" s="354"/>
    </row>
    <row r="14" spans="2:14">
      <c r="B14" s="140"/>
      <c r="C14" s="502"/>
      <c r="D14" s="115"/>
      <c r="E14" s="115"/>
      <c r="F14" s="116"/>
      <c r="G14" s="115"/>
      <c r="H14" s="115"/>
      <c r="I14" s="117">
        <f t="shared" si="4"/>
        <v>0</v>
      </c>
      <c r="J14" s="117" t="str">
        <f t="shared" si="0"/>
        <v>-</v>
      </c>
      <c r="K14" s="117" t="str">
        <f t="shared" si="1"/>
        <v>-</v>
      </c>
      <c r="L14" s="117" t="str">
        <f t="shared" si="2"/>
        <v>-</v>
      </c>
      <c r="M14" s="117" t="str">
        <f t="shared" si="3"/>
        <v>-</v>
      </c>
      <c r="N14" s="354"/>
    </row>
    <row r="15" spans="2:14">
      <c r="B15" s="140"/>
      <c r="C15" s="502" t="s">
        <v>1090</v>
      </c>
      <c r="D15" s="115"/>
      <c r="E15" s="115">
        <v>8</v>
      </c>
      <c r="F15" s="116">
        <v>5.27</v>
      </c>
      <c r="G15" s="115">
        <v>1</v>
      </c>
      <c r="H15" s="115">
        <v>16</v>
      </c>
      <c r="I15" s="117">
        <f>H15*G15</f>
        <v>16</v>
      </c>
      <c r="J15" s="117" t="str">
        <f>IF(E15=6,I15*F15,"-")</f>
        <v>-</v>
      </c>
      <c r="K15" s="117">
        <f>IF(E15=8,I15*F15,"-")</f>
        <v>84.32</v>
      </c>
      <c r="L15" s="117"/>
      <c r="M15" s="117"/>
      <c r="N15" s="354"/>
    </row>
    <row r="16" spans="2:14">
      <c r="B16" s="140"/>
      <c r="C16" s="502"/>
      <c r="D16" s="115"/>
      <c r="E16" s="115">
        <v>8</v>
      </c>
      <c r="F16" s="116">
        <v>2.97</v>
      </c>
      <c r="G16" s="115">
        <v>1</v>
      </c>
      <c r="H16" s="115">
        <v>27</v>
      </c>
      <c r="I16" s="117">
        <f>H16*G16</f>
        <v>27</v>
      </c>
      <c r="J16" s="117"/>
      <c r="K16" s="117">
        <f>H16*F16</f>
        <v>80.190000000000012</v>
      </c>
      <c r="L16" s="117"/>
      <c r="M16" s="117"/>
      <c r="N16" s="354"/>
    </row>
    <row r="17" spans="2:14">
      <c r="B17" s="140"/>
      <c r="C17" s="142"/>
      <c r="D17" s="134"/>
      <c r="E17" s="134"/>
      <c r="F17" s="119"/>
      <c r="G17" s="134"/>
      <c r="H17" s="134"/>
      <c r="I17" s="134"/>
      <c r="J17" s="134"/>
      <c r="K17" s="371"/>
      <c r="L17" s="117"/>
      <c r="M17" s="117"/>
      <c r="N17" s="354"/>
    </row>
    <row r="18" spans="2:14">
      <c r="B18" s="140"/>
      <c r="C18" s="502"/>
      <c r="D18" s="115"/>
      <c r="E18" s="115"/>
      <c r="F18" s="116"/>
      <c r="G18" s="115"/>
      <c r="H18" s="115"/>
      <c r="I18" s="117"/>
      <c r="J18" s="117"/>
      <c r="K18" s="117"/>
      <c r="L18" s="117"/>
      <c r="M18" s="117"/>
      <c r="N18" s="354"/>
    </row>
    <row r="19" spans="2:14">
      <c r="B19" s="140"/>
      <c r="C19" s="502"/>
      <c r="D19" s="115"/>
      <c r="E19" s="115"/>
      <c r="F19" s="116"/>
      <c r="G19" s="115"/>
      <c r="H19" s="115"/>
      <c r="I19" s="117"/>
      <c r="J19" s="117"/>
      <c r="K19" s="117"/>
      <c r="L19" s="117"/>
      <c r="M19" s="117"/>
      <c r="N19" s="354"/>
    </row>
    <row r="20" spans="2:14">
      <c r="B20" s="140"/>
      <c r="C20" s="502"/>
      <c r="D20" s="115"/>
      <c r="E20" s="115"/>
      <c r="F20" s="116"/>
      <c r="G20" s="115"/>
      <c r="H20" s="115"/>
      <c r="I20" s="117"/>
      <c r="J20" s="117"/>
      <c r="K20" s="117"/>
      <c r="L20" s="117"/>
      <c r="M20" s="117"/>
      <c r="N20" s="354"/>
    </row>
    <row r="21" spans="2:14">
      <c r="B21" s="140"/>
      <c r="C21" s="502"/>
      <c r="D21" s="115"/>
      <c r="E21" s="115"/>
      <c r="F21" s="116"/>
      <c r="G21" s="115"/>
      <c r="H21" s="115"/>
      <c r="I21" s="117"/>
      <c r="J21" s="117"/>
      <c r="K21" s="117"/>
      <c r="L21" s="117"/>
      <c r="M21" s="117"/>
      <c r="N21" s="354"/>
    </row>
    <row r="22" spans="2:14">
      <c r="B22" s="140"/>
      <c r="C22" s="135"/>
      <c r="D22" s="135"/>
      <c r="E22" s="135"/>
      <c r="F22" s="135"/>
      <c r="G22" s="135"/>
      <c r="H22" s="135"/>
      <c r="I22" s="135"/>
      <c r="J22" s="135"/>
      <c r="K22" s="135"/>
      <c r="L22" s="117" t="str">
        <f>IF(E24=10,I24*F24,"-")</f>
        <v>-</v>
      </c>
      <c r="M22" s="117" t="str">
        <f>IF(E24=12,I24*F24,"-")</f>
        <v>-</v>
      </c>
      <c r="N22" s="354"/>
    </row>
    <row r="23" spans="2:14">
      <c r="B23" s="140"/>
      <c r="C23" s="135"/>
      <c r="D23" s="135"/>
      <c r="E23" s="135"/>
      <c r="F23" s="135"/>
      <c r="G23" s="135"/>
      <c r="H23" s="135"/>
      <c r="I23" s="135"/>
      <c r="J23" s="135"/>
      <c r="K23" s="135"/>
      <c r="L23" s="117"/>
      <c r="M23" s="117"/>
      <c r="N23" s="354"/>
    </row>
    <row r="24" spans="2:14">
      <c r="B24" s="140"/>
      <c r="C24" s="502"/>
      <c r="D24" s="115"/>
      <c r="E24" s="115"/>
      <c r="F24" s="116"/>
      <c r="G24" s="115"/>
      <c r="H24" s="115"/>
      <c r="I24" s="117"/>
      <c r="J24" s="117"/>
      <c r="K24" s="117"/>
      <c r="L24" s="119"/>
      <c r="M24" s="371"/>
      <c r="N24" s="354"/>
    </row>
    <row r="25" spans="2:14">
      <c r="B25" s="140"/>
      <c r="C25" s="502"/>
      <c r="D25" s="115"/>
      <c r="E25" s="115"/>
      <c r="F25" s="116"/>
      <c r="G25" s="115"/>
      <c r="H25" s="115"/>
      <c r="I25" s="117"/>
      <c r="J25" s="117"/>
      <c r="K25" s="117"/>
      <c r="L25" s="119"/>
      <c r="M25" s="371"/>
      <c r="N25" s="354"/>
    </row>
    <row r="26" spans="2:14">
      <c r="B26" s="140"/>
      <c r="C26" s="142"/>
      <c r="D26" s="134"/>
      <c r="E26" s="134"/>
      <c r="F26" s="119"/>
      <c r="G26" s="134"/>
      <c r="H26" s="134"/>
      <c r="I26" s="134"/>
      <c r="J26" s="134"/>
      <c r="K26" s="371"/>
      <c r="L26" s="119"/>
      <c r="M26" s="371"/>
      <c r="N26" s="354"/>
    </row>
    <row r="27" spans="2:14">
      <c r="B27" s="140"/>
      <c r="C27" s="142"/>
      <c r="D27" s="134"/>
      <c r="E27" s="134"/>
      <c r="F27" s="119"/>
      <c r="G27" s="134"/>
      <c r="H27" s="134"/>
      <c r="I27" s="134"/>
      <c r="J27" s="134"/>
      <c r="K27" s="371"/>
      <c r="L27" s="119"/>
      <c r="M27" s="371"/>
      <c r="N27" s="354"/>
    </row>
    <row r="28" spans="2:14">
      <c r="B28" s="140"/>
      <c r="C28" s="142"/>
      <c r="D28" s="134"/>
      <c r="E28" s="134"/>
      <c r="F28" s="119"/>
      <c r="G28" s="134"/>
      <c r="H28" s="134"/>
      <c r="I28" s="134"/>
      <c r="J28" s="134"/>
      <c r="K28" s="371"/>
      <c r="L28" s="119"/>
      <c r="M28" s="371">
        <f>F28*I28</f>
        <v>0</v>
      </c>
      <c r="N28" s="354"/>
    </row>
    <row r="29" spans="2:14">
      <c r="B29" s="140"/>
      <c r="C29" s="142"/>
      <c r="D29" s="134"/>
      <c r="E29" s="134"/>
      <c r="F29" s="119"/>
      <c r="G29" s="134"/>
      <c r="H29" s="134"/>
      <c r="I29" s="134"/>
      <c r="J29" s="134"/>
      <c r="K29" s="371"/>
      <c r="L29" s="119"/>
      <c r="M29" s="371">
        <f>F29*I29</f>
        <v>0</v>
      </c>
      <c r="N29" s="354"/>
    </row>
    <row r="30" spans="2:14">
      <c r="B30" s="140"/>
      <c r="C30" s="134"/>
      <c r="D30" s="134"/>
      <c r="E30" s="134"/>
      <c r="F30" s="119"/>
      <c r="G30" s="134"/>
      <c r="H30" s="134"/>
      <c r="I30" s="134"/>
      <c r="J30" s="134"/>
      <c r="K30" s="371"/>
      <c r="L30" s="119"/>
      <c r="M30" s="371">
        <f>F30*I30</f>
        <v>0</v>
      </c>
      <c r="N30" s="354"/>
    </row>
    <row r="31" spans="2:14" ht="16.5" thickBot="1">
      <c r="B31" s="411"/>
      <c r="C31" s="145"/>
      <c r="D31" s="145"/>
      <c r="E31" s="145"/>
      <c r="F31" s="356"/>
      <c r="G31" s="145"/>
      <c r="H31" s="145"/>
      <c r="I31" s="145"/>
      <c r="J31" s="145"/>
      <c r="K31" s="374"/>
      <c r="L31" s="356"/>
      <c r="M31" s="374"/>
      <c r="N31" s="357"/>
    </row>
    <row r="32" spans="2:14" ht="16.5" thickTop="1">
      <c r="B32" s="346"/>
      <c r="C32" s="346"/>
      <c r="D32" s="346"/>
      <c r="E32" s="346"/>
      <c r="F32" s="2361" t="s">
        <v>301</v>
      </c>
      <c r="G32" s="2361"/>
      <c r="H32" s="2361"/>
      <c r="I32" s="2362"/>
      <c r="J32" s="430"/>
      <c r="K32" s="376">
        <f>SUM(K7:K31)</f>
        <v>272.51</v>
      </c>
      <c r="L32" s="376">
        <f>SUM(L7:L31)</f>
        <v>0</v>
      </c>
      <c r="M32" s="376">
        <f>SUM(M7:M31)</f>
        <v>118.80000000000001</v>
      </c>
      <c r="N32" s="431"/>
    </row>
    <row r="33" spans="2:18">
      <c r="B33" s="346"/>
      <c r="C33" s="346"/>
      <c r="D33" s="346"/>
      <c r="E33" s="346"/>
      <c r="F33" s="346" t="s">
        <v>302</v>
      </c>
      <c r="G33" s="346"/>
      <c r="H33" s="346"/>
      <c r="I33" s="346"/>
      <c r="J33" s="361"/>
      <c r="K33" s="425">
        <v>0.39500000000000002</v>
      </c>
      <c r="L33" s="426" t="s">
        <v>304</v>
      </c>
      <c r="M33" s="425" t="s">
        <v>305</v>
      </c>
      <c r="N33" s="427" t="s">
        <v>306</v>
      </c>
    </row>
    <row r="34" spans="2:18" ht="16.5" thickBot="1">
      <c r="B34" s="346"/>
      <c r="C34" s="346"/>
      <c r="D34" s="346"/>
      <c r="E34" s="346"/>
      <c r="F34" s="346" t="s">
        <v>307</v>
      </c>
      <c r="G34" s="346"/>
      <c r="H34" s="346"/>
      <c r="I34" s="346"/>
      <c r="J34" s="363"/>
      <c r="K34" s="120">
        <f>K32*K33</f>
        <v>107.64145000000001</v>
      </c>
      <c r="L34" s="120">
        <f>L32*L33</f>
        <v>0</v>
      </c>
      <c r="M34" s="120">
        <f>M32*M33</f>
        <v>105.49440000000001</v>
      </c>
      <c r="N34" s="364">
        <f>N32*N33</f>
        <v>0</v>
      </c>
    </row>
    <row r="35" spans="2:18" ht="16.5" thickTop="1">
      <c r="B35" s="346"/>
      <c r="C35" s="346"/>
      <c r="D35" s="346"/>
      <c r="E35" s="346"/>
      <c r="F35" s="346"/>
      <c r="G35" s="346"/>
      <c r="H35" s="346"/>
      <c r="I35" s="346"/>
      <c r="J35" s="365"/>
      <c r="K35" s="122"/>
      <c r="L35" s="122"/>
      <c r="M35" s="122"/>
      <c r="N35" s="122"/>
    </row>
    <row r="36" spans="2:18" ht="16.5" thickBot="1">
      <c r="B36" s="346"/>
      <c r="C36" s="463" t="s">
        <v>24</v>
      </c>
      <c r="D36" s="346"/>
      <c r="E36" s="346"/>
      <c r="F36" s="346"/>
      <c r="G36" s="346"/>
      <c r="H36" s="346"/>
      <c r="I36" s="346"/>
      <c r="J36" s="346"/>
      <c r="K36" s="346"/>
      <c r="L36" s="2314" t="s">
        <v>308</v>
      </c>
      <c r="M36" s="2314"/>
      <c r="N36" s="346"/>
      <c r="R36" s="377"/>
    </row>
    <row r="37" spans="2:18" ht="16.5" thickTop="1">
      <c r="B37" s="2247" t="s">
        <v>4</v>
      </c>
      <c r="C37" s="2245" t="s">
        <v>293</v>
      </c>
      <c r="D37" s="2245" t="s">
        <v>309</v>
      </c>
      <c r="E37" s="2245" t="s">
        <v>310</v>
      </c>
      <c r="F37" s="413" t="s">
        <v>295</v>
      </c>
      <c r="G37" s="2249" t="s">
        <v>311</v>
      </c>
      <c r="H37" s="2250"/>
      <c r="I37" s="2251"/>
      <c r="J37" s="407"/>
      <c r="K37" s="407" t="s">
        <v>312</v>
      </c>
      <c r="L37" s="407"/>
      <c r="M37" s="407"/>
      <c r="N37" s="408"/>
    </row>
    <row r="38" spans="2:18" ht="16.5" thickBot="1">
      <c r="B38" s="2248"/>
      <c r="C38" s="2246"/>
      <c r="D38" s="2246"/>
      <c r="E38" s="2246"/>
      <c r="F38" s="124" t="s">
        <v>313</v>
      </c>
      <c r="G38" s="124" t="s">
        <v>314</v>
      </c>
      <c r="H38" s="124" t="s">
        <v>315</v>
      </c>
      <c r="I38" s="145" t="s">
        <v>316</v>
      </c>
      <c r="J38" s="347" t="s">
        <v>317</v>
      </c>
      <c r="K38" s="412" t="s">
        <v>318</v>
      </c>
      <c r="L38" s="145" t="s">
        <v>319</v>
      </c>
      <c r="M38" s="145" t="s">
        <v>320</v>
      </c>
      <c r="N38" s="348" t="s">
        <v>321</v>
      </c>
    </row>
    <row r="39" spans="2:18" ht="16.5" thickTop="1">
      <c r="B39" s="410"/>
      <c r="C39" s="375" t="s">
        <v>337</v>
      </c>
      <c r="D39" s="131"/>
      <c r="E39" s="131">
        <v>12</v>
      </c>
      <c r="F39" s="350">
        <v>3.58</v>
      </c>
      <c r="G39" s="131">
        <v>4</v>
      </c>
      <c r="H39" s="131">
        <v>4</v>
      </c>
      <c r="I39" s="131">
        <f>G39*H39</f>
        <v>16</v>
      </c>
      <c r="J39" s="131"/>
      <c r="K39" s="131"/>
      <c r="L39" s="131"/>
      <c r="M39" s="500">
        <f>F39*I39</f>
        <v>57.28</v>
      </c>
      <c r="N39" s="465"/>
    </row>
    <row r="40" spans="2:18">
      <c r="B40" s="140"/>
      <c r="C40" s="142"/>
      <c r="D40" s="134"/>
      <c r="E40" s="134">
        <v>8</v>
      </c>
      <c r="F40" s="119">
        <v>0.7</v>
      </c>
      <c r="G40" s="134">
        <v>4</v>
      </c>
      <c r="H40" s="134">
        <v>14</v>
      </c>
      <c r="I40" s="134">
        <f>G40*H40</f>
        <v>56</v>
      </c>
      <c r="J40" s="134"/>
      <c r="K40" s="371">
        <f>F40*I40</f>
        <v>39.199999999999996</v>
      </c>
      <c r="L40" s="134"/>
      <c r="M40" s="371"/>
      <c r="N40" s="372"/>
    </row>
    <row r="41" spans="2:18">
      <c r="B41" s="140"/>
      <c r="C41" s="142" t="s">
        <v>339</v>
      </c>
      <c r="D41" s="134"/>
      <c r="E41" s="134">
        <v>12</v>
      </c>
      <c r="F41" s="119">
        <v>6.45</v>
      </c>
      <c r="G41" s="134">
        <v>2</v>
      </c>
      <c r="H41" s="134">
        <v>3</v>
      </c>
      <c r="I41" s="134">
        <f>G41*H41</f>
        <v>6</v>
      </c>
      <c r="J41" s="134"/>
      <c r="K41" s="371"/>
      <c r="L41" s="119"/>
      <c r="M41" s="371">
        <f t="shared" ref="M41:M51" si="5">F41*I41</f>
        <v>38.700000000000003</v>
      </c>
      <c r="N41" s="354"/>
    </row>
    <row r="42" spans="2:18">
      <c r="B42" s="140"/>
      <c r="C42" s="134"/>
      <c r="D42" s="134"/>
      <c r="E42" s="134">
        <v>12</v>
      </c>
      <c r="F42" s="119">
        <v>5.75</v>
      </c>
      <c r="G42" s="134">
        <v>2</v>
      </c>
      <c r="H42" s="134">
        <v>3</v>
      </c>
      <c r="I42" s="134">
        <f>G42*H42</f>
        <v>6</v>
      </c>
      <c r="J42" s="134"/>
      <c r="K42" s="371"/>
      <c r="L42" s="119"/>
      <c r="M42" s="371">
        <f t="shared" si="5"/>
        <v>34.5</v>
      </c>
      <c r="N42" s="354"/>
    </row>
    <row r="43" spans="2:18">
      <c r="B43" s="140"/>
      <c r="C43" s="143"/>
      <c r="D43" s="134"/>
      <c r="E43" s="134">
        <v>8</v>
      </c>
      <c r="F43" s="119">
        <v>0.9</v>
      </c>
      <c r="G43" s="134">
        <v>2</v>
      </c>
      <c r="H43" s="134">
        <v>28</v>
      </c>
      <c r="I43" s="134">
        <f>G43*H43</f>
        <v>56</v>
      </c>
      <c r="J43" s="134"/>
      <c r="K43" s="371">
        <f>F43*I43</f>
        <v>50.4</v>
      </c>
      <c r="L43" s="119"/>
      <c r="M43" s="371"/>
      <c r="N43" s="354"/>
    </row>
    <row r="44" spans="2:18">
      <c r="B44" s="140"/>
      <c r="C44" s="142" t="s">
        <v>340</v>
      </c>
      <c r="D44" s="134"/>
      <c r="E44" s="134">
        <v>12</v>
      </c>
      <c r="F44" s="119">
        <v>4.1500000000000004</v>
      </c>
      <c r="G44" s="134">
        <v>2</v>
      </c>
      <c r="H44" s="134">
        <v>3</v>
      </c>
      <c r="I44" s="134">
        <f t="shared" ref="I44:I52" si="6">G44*H44</f>
        <v>6</v>
      </c>
      <c r="J44" s="134"/>
      <c r="K44" s="371"/>
      <c r="L44" s="134"/>
      <c r="M44" s="371">
        <f t="shared" si="5"/>
        <v>24.900000000000002</v>
      </c>
      <c r="N44" s="354"/>
    </row>
    <row r="45" spans="2:18">
      <c r="B45" s="140"/>
      <c r="C45" s="134"/>
      <c r="D45" s="134"/>
      <c r="E45" s="134">
        <v>12</v>
      </c>
      <c r="F45" s="119">
        <v>3.45</v>
      </c>
      <c r="G45" s="134">
        <v>2</v>
      </c>
      <c r="H45" s="134">
        <v>3</v>
      </c>
      <c r="I45" s="134">
        <f t="shared" si="6"/>
        <v>6</v>
      </c>
      <c r="J45" s="134"/>
      <c r="K45" s="371"/>
      <c r="L45" s="134"/>
      <c r="M45" s="371">
        <f t="shared" si="5"/>
        <v>20.700000000000003</v>
      </c>
      <c r="N45" s="354"/>
    </row>
    <row r="46" spans="2:18">
      <c r="B46" s="140"/>
      <c r="C46" s="134"/>
      <c r="D46" s="134"/>
      <c r="E46" s="134">
        <v>8</v>
      </c>
      <c r="F46" s="119">
        <v>0.9</v>
      </c>
      <c r="G46" s="134">
        <v>2</v>
      </c>
      <c r="H46" s="134">
        <v>17</v>
      </c>
      <c r="I46" s="134">
        <f t="shared" si="6"/>
        <v>34</v>
      </c>
      <c r="J46" s="134"/>
      <c r="K46" s="371">
        <f>F46*I46</f>
        <v>30.6</v>
      </c>
      <c r="L46" s="119"/>
      <c r="M46" s="371"/>
      <c r="N46" s="354"/>
    </row>
    <row r="47" spans="2:18">
      <c r="B47" s="140"/>
      <c r="C47" s="142" t="s">
        <v>552</v>
      </c>
      <c r="D47" s="134"/>
      <c r="E47" s="134">
        <v>12</v>
      </c>
      <c r="F47" s="119">
        <v>1.45</v>
      </c>
      <c r="G47" s="134">
        <v>1</v>
      </c>
      <c r="H47" s="134">
        <v>2</v>
      </c>
      <c r="I47" s="134">
        <f t="shared" si="6"/>
        <v>2</v>
      </c>
      <c r="J47" s="134"/>
      <c r="K47" s="371"/>
      <c r="L47" s="134"/>
      <c r="M47" s="371">
        <f t="shared" si="5"/>
        <v>2.9</v>
      </c>
      <c r="N47" s="466"/>
    </row>
    <row r="48" spans="2:18">
      <c r="B48" s="140"/>
      <c r="C48" s="142"/>
      <c r="D48" s="134"/>
      <c r="E48" s="134">
        <v>12</v>
      </c>
      <c r="F48" s="119">
        <v>1.1499999999999999</v>
      </c>
      <c r="G48" s="134">
        <v>1</v>
      </c>
      <c r="H48" s="134">
        <v>2</v>
      </c>
      <c r="I48" s="134">
        <f t="shared" si="6"/>
        <v>2</v>
      </c>
      <c r="J48" s="134"/>
      <c r="K48" s="371"/>
      <c r="L48" s="119"/>
      <c r="M48" s="371">
        <f t="shared" si="5"/>
        <v>2.2999999999999998</v>
      </c>
      <c r="N48" s="372"/>
    </row>
    <row r="49" spans="2:14">
      <c r="B49" s="140"/>
      <c r="C49" s="142"/>
      <c r="D49" s="134"/>
      <c r="E49" s="134">
        <v>8</v>
      </c>
      <c r="F49" s="119">
        <v>0.7</v>
      </c>
      <c r="G49" s="134">
        <v>1</v>
      </c>
      <c r="H49" s="134">
        <v>7</v>
      </c>
      <c r="I49" s="134">
        <f t="shared" si="6"/>
        <v>7</v>
      </c>
      <c r="J49" s="134"/>
      <c r="K49" s="371">
        <f>F49*I49</f>
        <v>4.8999999999999995</v>
      </c>
      <c r="L49" s="119"/>
      <c r="M49" s="371"/>
      <c r="N49" s="354"/>
    </row>
    <row r="50" spans="2:14">
      <c r="B50" s="140"/>
      <c r="C50" s="142" t="s">
        <v>745</v>
      </c>
      <c r="D50" s="134"/>
      <c r="E50" s="134">
        <v>12</v>
      </c>
      <c r="F50" s="119">
        <v>1.35</v>
      </c>
      <c r="G50" s="134">
        <v>2</v>
      </c>
      <c r="H50" s="134">
        <v>2</v>
      </c>
      <c r="I50" s="134">
        <f t="shared" si="6"/>
        <v>4</v>
      </c>
      <c r="J50" s="134"/>
      <c r="K50" s="371"/>
      <c r="L50" s="119"/>
      <c r="M50" s="371">
        <f t="shared" si="5"/>
        <v>5.4</v>
      </c>
      <c r="N50" s="354"/>
    </row>
    <row r="51" spans="2:14">
      <c r="B51" s="140"/>
      <c r="C51" s="134"/>
      <c r="D51" s="134"/>
      <c r="E51" s="134">
        <v>12</v>
      </c>
      <c r="F51" s="119">
        <v>1.05</v>
      </c>
      <c r="G51" s="134">
        <v>2</v>
      </c>
      <c r="H51" s="134">
        <v>2</v>
      </c>
      <c r="I51" s="134">
        <f t="shared" si="6"/>
        <v>4</v>
      </c>
      <c r="J51" s="134"/>
      <c r="K51" s="371"/>
      <c r="L51" s="134"/>
      <c r="M51" s="371">
        <f t="shared" si="5"/>
        <v>4.2</v>
      </c>
      <c r="N51" s="354"/>
    </row>
    <row r="52" spans="2:14">
      <c r="B52" s="140"/>
      <c r="C52" s="134"/>
      <c r="D52" s="134"/>
      <c r="E52" s="134">
        <v>8</v>
      </c>
      <c r="F52" s="119">
        <v>0.7</v>
      </c>
      <c r="G52" s="134">
        <v>2</v>
      </c>
      <c r="H52" s="134">
        <v>6</v>
      </c>
      <c r="I52" s="134">
        <f t="shared" si="6"/>
        <v>12</v>
      </c>
      <c r="J52" s="134"/>
      <c r="K52" s="371">
        <f>F52*I52</f>
        <v>8.3999999999999986</v>
      </c>
      <c r="L52" s="134"/>
      <c r="M52" s="371"/>
      <c r="N52" s="354"/>
    </row>
    <row r="53" spans="2:14">
      <c r="B53" s="140"/>
      <c r="C53" s="134"/>
      <c r="D53" s="134"/>
      <c r="E53" s="134"/>
      <c r="F53" s="119"/>
      <c r="G53" s="134"/>
      <c r="H53" s="134"/>
      <c r="I53" s="134"/>
      <c r="J53" s="134"/>
      <c r="K53" s="371"/>
      <c r="L53" s="119"/>
      <c r="M53" s="371"/>
      <c r="N53" s="354"/>
    </row>
    <row r="54" spans="2:14">
      <c r="B54" s="140"/>
      <c r="C54" s="134"/>
      <c r="D54" s="134"/>
      <c r="E54" s="134"/>
      <c r="F54" s="119"/>
      <c r="G54" s="134"/>
      <c r="H54" s="134"/>
      <c r="I54" s="134"/>
      <c r="J54" s="134"/>
      <c r="K54" s="371"/>
      <c r="L54" s="134"/>
      <c r="M54" s="371"/>
      <c r="N54" s="354"/>
    </row>
    <row r="55" spans="2:14">
      <c r="B55" s="140"/>
      <c r="C55" s="142"/>
      <c r="D55" s="134"/>
      <c r="E55" s="134"/>
      <c r="F55" s="119"/>
      <c r="G55" s="134"/>
      <c r="H55" s="134"/>
      <c r="I55" s="134"/>
      <c r="J55" s="134"/>
      <c r="K55" s="371"/>
      <c r="L55" s="119"/>
      <c r="M55" s="371"/>
      <c r="N55" s="354"/>
    </row>
    <row r="56" spans="2:14">
      <c r="B56" s="140"/>
      <c r="C56" s="134"/>
      <c r="D56" s="134"/>
      <c r="E56" s="134"/>
      <c r="F56" s="119"/>
      <c r="G56" s="134"/>
      <c r="H56" s="134"/>
      <c r="I56" s="134"/>
      <c r="J56" s="134"/>
      <c r="K56" s="371"/>
      <c r="L56" s="119"/>
      <c r="M56" s="371">
        <f t="shared" ref="M56:M61" si="7">F56*I56</f>
        <v>0</v>
      </c>
      <c r="N56" s="354"/>
    </row>
    <row r="57" spans="2:14">
      <c r="B57" s="140"/>
      <c r="C57" s="142"/>
      <c r="D57" s="134"/>
      <c r="E57" s="134"/>
      <c r="F57" s="119"/>
      <c r="G57" s="134"/>
      <c r="H57" s="134"/>
      <c r="I57" s="134"/>
      <c r="J57" s="134"/>
      <c r="K57" s="371"/>
      <c r="L57" s="119"/>
      <c r="M57" s="371">
        <f t="shared" si="7"/>
        <v>0</v>
      </c>
      <c r="N57" s="354"/>
    </row>
    <row r="58" spans="2:14">
      <c r="B58" s="140"/>
      <c r="C58" s="142"/>
      <c r="D58" s="134"/>
      <c r="E58" s="134"/>
      <c r="F58" s="119"/>
      <c r="G58" s="134"/>
      <c r="H58" s="134"/>
      <c r="I58" s="134"/>
      <c r="J58" s="134"/>
      <c r="K58" s="371"/>
      <c r="L58" s="119"/>
      <c r="M58" s="371">
        <f t="shared" si="7"/>
        <v>0</v>
      </c>
      <c r="N58" s="354"/>
    </row>
    <row r="59" spans="2:14">
      <c r="B59" s="140"/>
      <c r="C59" s="142"/>
      <c r="D59" s="134"/>
      <c r="E59" s="134"/>
      <c r="F59" s="119"/>
      <c r="G59" s="134"/>
      <c r="H59" s="134"/>
      <c r="I59" s="134"/>
      <c r="J59" s="134"/>
      <c r="K59" s="371"/>
      <c r="L59" s="119"/>
      <c r="M59" s="371"/>
      <c r="N59" s="354"/>
    </row>
    <row r="60" spans="2:14">
      <c r="B60" s="140"/>
      <c r="C60" s="142"/>
      <c r="D60" s="134"/>
      <c r="E60" s="134"/>
      <c r="F60" s="119"/>
      <c r="G60" s="134"/>
      <c r="H60" s="134"/>
      <c r="I60" s="134"/>
      <c r="J60" s="134"/>
      <c r="K60" s="371"/>
      <c r="L60" s="119"/>
      <c r="M60" s="371">
        <f t="shared" si="7"/>
        <v>0</v>
      </c>
      <c r="N60" s="354"/>
    </row>
    <row r="61" spans="2:14">
      <c r="B61" s="140"/>
      <c r="C61" s="134"/>
      <c r="D61" s="134"/>
      <c r="E61" s="134"/>
      <c r="F61" s="119"/>
      <c r="G61" s="134"/>
      <c r="H61" s="134"/>
      <c r="I61" s="134"/>
      <c r="J61" s="134"/>
      <c r="K61" s="371"/>
      <c r="L61" s="119"/>
      <c r="M61" s="371">
        <f t="shared" si="7"/>
        <v>0</v>
      </c>
      <c r="N61" s="354"/>
    </row>
    <row r="62" spans="2:14" ht="16.5" thickBot="1">
      <c r="B62" s="411"/>
      <c r="C62" s="145"/>
      <c r="D62" s="145"/>
      <c r="E62" s="145"/>
      <c r="F62" s="356"/>
      <c r="G62" s="145"/>
      <c r="H62" s="145"/>
      <c r="I62" s="145"/>
      <c r="J62" s="145"/>
      <c r="K62" s="374"/>
      <c r="L62" s="356"/>
      <c r="M62" s="374"/>
      <c r="N62" s="357"/>
    </row>
    <row r="63" spans="2:14" ht="16.5" thickTop="1">
      <c r="B63" s="358"/>
      <c r="C63" s="407"/>
      <c r="D63" s="407"/>
      <c r="E63" s="407"/>
      <c r="F63" s="2250" t="s">
        <v>301</v>
      </c>
      <c r="G63" s="2250"/>
      <c r="H63" s="2250"/>
      <c r="I63" s="2315"/>
      <c r="J63" s="430"/>
      <c r="K63" s="376">
        <f>SUM(K39:K62)</f>
        <v>133.5</v>
      </c>
      <c r="L63" s="376"/>
      <c r="M63" s="376">
        <f>SUM(M39:M62)</f>
        <v>190.88000000000005</v>
      </c>
      <c r="N63" s="431"/>
    </row>
    <row r="64" spans="2:14">
      <c r="B64" s="360"/>
      <c r="C64" s="155"/>
      <c r="D64" s="155"/>
      <c r="E64" s="155"/>
      <c r="F64" s="155" t="s">
        <v>302</v>
      </c>
      <c r="G64" s="155"/>
      <c r="H64" s="155"/>
      <c r="I64" s="424"/>
      <c r="J64" s="361"/>
      <c r="K64" s="425" t="s">
        <v>303</v>
      </c>
      <c r="L64" s="426"/>
      <c r="M64" s="425" t="s">
        <v>305</v>
      </c>
      <c r="N64" s="427" t="s">
        <v>306</v>
      </c>
    </row>
    <row r="65" spans="2:14" ht="16.5" thickBot="1">
      <c r="B65" s="360"/>
      <c r="C65" s="155"/>
      <c r="D65" s="155"/>
      <c r="E65" s="155"/>
      <c r="F65" s="155" t="s">
        <v>307</v>
      </c>
      <c r="G65" s="155"/>
      <c r="H65" s="155"/>
      <c r="I65" s="424"/>
      <c r="J65" s="363"/>
      <c r="K65" s="120">
        <f>K63*K64</f>
        <v>52.732500000000002</v>
      </c>
      <c r="L65" s="120">
        <f>L63*L64</f>
        <v>0</v>
      </c>
      <c r="M65" s="120">
        <f>M63*M64</f>
        <v>169.50144000000006</v>
      </c>
      <c r="N65" s="364">
        <f>N63*N64</f>
        <v>0</v>
      </c>
    </row>
    <row r="66" spans="2:14" ht="16.5" thickTop="1">
      <c r="B66" s="346"/>
      <c r="C66" s="346"/>
      <c r="D66" s="346"/>
      <c r="E66" s="346"/>
      <c r="F66" s="346"/>
      <c r="G66" s="346"/>
      <c r="H66" s="346"/>
      <c r="I66" s="346"/>
      <c r="J66" s="365"/>
      <c r="K66" s="122"/>
      <c r="L66" s="122"/>
      <c r="M66" s="122"/>
      <c r="N66" s="122"/>
    </row>
    <row r="67" spans="2:14">
      <c r="B67" s="346"/>
      <c r="C67" s="463" t="s">
        <v>24</v>
      </c>
      <c r="D67" s="346"/>
      <c r="E67" s="346"/>
      <c r="F67" s="346"/>
      <c r="G67" s="346"/>
      <c r="H67" s="346"/>
      <c r="I67" s="346"/>
      <c r="J67" s="346"/>
      <c r="K67" s="346"/>
      <c r="L67" s="2314" t="s">
        <v>308</v>
      </c>
      <c r="M67" s="2314"/>
      <c r="N67" s="346"/>
    </row>
    <row r="68" spans="2:14">
      <c r="B68" s="504"/>
      <c r="C68" s="504"/>
      <c r="D68" s="504"/>
      <c r="E68" s="504"/>
      <c r="F68" s="504"/>
      <c r="G68" s="504"/>
      <c r="H68" s="504"/>
      <c r="I68" s="504"/>
      <c r="J68" s="505"/>
      <c r="K68" s="503"/>
      <c r="L68" s="503"/>
      <c r="M68" s="503"/>
      <c r="N68" s="503"/>
    </row>
    <row r="69" spans="2:14">
      <c r="B69" s="504"/>
      <c r="C69" s="504"/>
      <c r="D69" s="504"/>
      <c r="E69" s="504"/>
      <c r="F69" s="504"/>
      <c r="G69" s="504"/>
      <c r="H69" s="504"/>
      <c r="I69" s="504"/>
      <c r="J69" s="505"/>
      <c r="K69" s="503"/>
      <c r="L69" s="503"/>
      <c r="M69" s="503"/>
      <c r="N69" s="503"/>
    </row>
    <row r="70" spans="2:14">
      <c r="B70" s="504"/>
      <c r="C70" s="504"/>
      <c r="D70" s="504"/>
      <c r="E70" s="504"/>
      <c r="F70" s="504"/>
      <c r="G70" s="504"/>
      <c r="H70" s="504"/>
      <c r="I70" s="504"/>
      <c r="J70" s="505"/>
      <c r="K70" s="503"/>
      <c r="L70" s="503"/>
      <c r="M70" s="503"/>
      <c r="N70" s="503"/>
    </row>
    <row r="71" spans="2:14">
      <c r="B71" s="504"/>
      <c r="C71" s="504"/>
      <c r="D71" s="504"/>
      <c r="E71" s="504"/>
      <c r="F71" s="504"/>
      <c r="G71" s="504"/>
      <c r="H71" s="504"/>
      <c r="I71" s="504"/>
      <c r="J71" s="505"/>
      <c r="K71" s="503"/>
      <c r="L71" s="503"/>
      <c r="M71" s="503"/>
      <c r="N71" s="503"/>
    </row>
  </sheetData>
  <mergeCells count="21">
    <mergeCell ref="B1:G1"/>
    <mergeCell ref="L1:N1"/>
    <mergeCell ref="F32:I32"/>
    <mergeCell ref="L36:M36"/>
    <mergeCell ref="L2:N2"/>
    <mergeCell ref="L3:N3"/>
    <mergeCell ref="B2:G2"/>
    <mergeCell ref="B3:G3"/>
    <mergeCell ref="B4:G4"/>
    <mergeCell ref="L67:M67"/>
    <mergeCell ref="B5:B6"/>
    <mergeCell ref="C5:C6"/>
    <mergeCell ref="D5:D6"/>
    <mergeCell ref="E5:E6"/>
    <mergeCell ref="G5:I5"/>
    <mergeCell ref="F63:I63"/>
    <mergeCell ref="B37:B38"/>
    <mergeCell ref="C37:C38"/>
    <mergeCell ref="D37:D38"/>
    <mergeCell ref="E37:E38"/>
    <mergeCell ref="G37:I37"/>
  </mergeCells>
  <pageMargins left="0.45" right="0.45" top="1" bottom="0.75" header="0.3" footer="0.3"/>
  <pageSetup scale="85" orientation="landscape" horizontalDpi="300" verticalDpi="300" r:id="rId1"/>
  <rowBreaks count="1" manualBreakCount="1">
    <brk id="36" max="14" man="1"/>
  </rowBreaks>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F44"/>
  <sheetViews>
    <sheetView view="pageBreakPreview" topLeftCell="A4" zoomScale="96" zoomScaleSheetLayoutView="96" workbookViewId="0">
      <selection activeCell="I32" sqref="I32"/>
    </sheetView>
  </sheetViews>
  <sheetFormatPr defaultRowHeight="12.75"/>
  <cols>
    <col min="1" max="1" width="4.5703125" style="243" customWidth="1"/>
    <col min="2" max="2" width="24.42578125" style="243" customWidth="1"/>
    <col min="3" max="3" width="13.7109375" style="243" customWidth="1"/>
    <col min="4" max="4" width="13.85546875" style="243" customWidth="1"/>
    <col min="5" max="5" width="15.140625" style="243" customWidth="1"/>
    <col min="6" max="6" width="20.28515625" style="243" customWidth="1"/>
    <col min="7" max="253" width="9.140625" style="242"/>
    <col min="254" max="254" width="4.5703125" style="242" customWidth="1"/>
    <col min="255" max="256" width="9.140625" style="242"/>
    <col min="257" max="257" width="6" style="242" customWidth="1"/>
    <col min="258" max="258" width="0" style="242" hidden="1" customWidth="1"/>
    <col min="259" max="259" width="13.7109375" style="242" customWidth="1"/>
    <col min="260" max="260" width="13.85546875" style="242" customWidth="1"/>
    <col min="261" max="261" width="15.140625" style="242" customWidth="1"/>
    <col min="262" max="262" width="20.28515625" style="242" customWidth="1"/>
    <col min="263" max="509" width="9.140625" style="242"/>
    <col min="510" max="510" width="4.5703125" style="242" customWidth="1"/>
    <col min="511" max="512" width="9.140625" style="242"/>
    <col min="513" max="513" width="6" style="242" customWidth="1"/>
    <col min="514" max="514" width="0" style="242" hidden="1" customWidth="1"/>
    <col min="515" max="515" width="13.7109375" style="242" customWidth="1"/>
    <col min="516" max="516" width="13.85546875" style="242" customWidth="1"/>
    <col min="517" max="517" width="15.140625" style="242" customWidth="1"/>
    <col min="518" max="518" width="20.28515625" style="242" customWidth="1"/>
    <col min="519" max="765" width="9.140625" style="242"/>
    <col min="766" max="766" width="4.5703125" style="242" customWidth="1"/>
    <col min="767" max="768" width="9.140625" style="242"/>
    <col min="769" max="769" width="6" style="242" customWidth="1"/>
    <col min="770" max="770" width="0" style="242" hidden="1" customWidth="1"/>
    <col min="771" max="771" width="13.7109375" style="242" customWidth="1"/>
    <col min="772" max="772" width="13.85546875" style="242" customWidth="1"/>
    <col min="773" max="773" width="15.140625" style="242" customWidth="1"/>
    <col min="774" max="774" width="20.28515625" style="242" customWidth="1"/>
    <col min="775" max="1021" width="9.140625" style="242"/>
    <col min="1022" max="1022" width="4.5703125" style="242" customWidth="1"/>
    <col min="1023" max="1024" width="9.140625" style="242"/>
    <col min="1025" max="1025" width="6" style="242" customWidth="1"/>
    <col min="1026" max="1026" width="0" style="242" hidden="1" customWidth="1"/>
    <col min="1027" max="1027" width="13.7109375" style="242" customWidth="1"/>
    <col min="1028" max="1028" width="13.85546875" style="242" customWidth="1"/>
    <col min="1029" max="1029" width="15.140625" style="242" customWidth="1"/>
    <col min="1030" max="1030" width="20.28515625" style="242" customWidth="1"/>
    <col min="1031" max="1277" width="9.140625" style="242"/>
    <col min="1278" max="1278" width="4.5703125" style="242" customWidth="1"/>
    <col min="1279" max="1280" width="9.140625" style="242"/>
    <col min="1281" max="1281" width="6" style="242" customWidth="1"/>
    <col min="1282" max="1282" width="0" style="242" hidden="1" customWidth="1"/>
    <col min="1283" max="1283" width="13.7109375" style="242" customWidth="1"/>
    <col min="1284" max="1284" width="13.85546875" style="242" customWidth="1"/>
    <col min="1285" max="1285" width="15.140625" style="242" customWidth="1"/>
    <col min="1286" max="1286" width="20.28515625" style="242" customWidth="1"/>
    <col min="1287" max="1533" width="9.140625" style="242"/>
    <col min="1534" max="1534" width="4.5703125" style="242" customWidth="1"/>
    <col min="1535" max="1536" width="9.140625" style="242"/>
    <col min="1537" max="1537" width="6" style="242" customWidth="1"/>
    <col min="1538" max="1538" width="0" style="242" hidden="1" customWidth="1"/>
    <col min="1539" max="1539" width="13.7109375" style="242" customWidth="1"/>
    <col min="1540" max="1540" width="13.85546875" style="242" customWidth="1"/>
    <col min="1541" max="1541" width="15.140625" style="242" customWidth="1"/>
    <col min="1542" max="1542" width="20.28515625" style="242" customWidth="1"/>
    <col min="1543" max="1789" width="9.140625" style="242"/>
    <col min="1790" max="1790" width="4.5703125" style="242" customWidth="1"/>
    <col min="1791" max="1792" width="9.140625" style="242"/>
    <col min="1793" max="1793" width="6" style="242" customWidth="1"/>
    <col min="1794" max="1794" width="0" style="242" hidden="1" customWidth="1"/>
    <col min="1795" max="1795" width="13.7109375" style="242" customWidth="1"/>
    <col min="1796" max="1796" width="13.85546875" style="242" customWidth="1"/>
    <col min="1797" max="1797" width="15.140625" style="242" customWidth="1"/>
    <col min="1798" max="1798" width="20.28515625" style="242" customWidth="1"/>
    <col min="1799" max="2045" width="9.140625" style="242"/>
    <col min="2046" max="2046" width="4.5703125" style="242" customWidth="1"/>
    <col min="2047" max="2048" width="9.140625" style="242"/>
    <col min="2049" max="2049" width="6" style="242" customWidth="1"/>
    <col min="2050" max="2050" width="0" style="242" hidden="1" customWidth="1"/>
    <col min="2051" max="2051" width="13.7109375" style="242" customWidth="1"/>
    <col min="2052" max="2052" width="13.85546875" style="242" customWidth="1"/>
    <col min="2053" max="2053" width="15.140625" style="242" customWidth="1"/>
    <col min="2054" max="2054" width="20.28515625" style="242" customWidth="1"/>
    <col min="2055" max="2301" width="9.140625" style="242"/>
    <col min="2302" max="2302" width="4.5703125" style="242" customWidth="1"/>
    <col min="2303" max="2304" width="9.140625" style="242"/>
    <col min="2305" max="2305" width="6" style="242" customWidth="1"/>
    <col min="2306" max="2306" width="0" style="242" hidden="1" customWidth="1"/>
    <col min="2307" max="2307" width="13.7109375" style="242" customWidth="1"/>
    <col min="2308" max="2308" width="13.85546875" style="242" customWidth="1"/>
    <col min="2309" max="2309" width="15.140625" style="242" customWidth="1"/>
    <col min="2310" max="2310" width="20.28515625" style="242" customWidth="1"/>
    <col min="2311" max="2557" width="9.140625" style="242"/>
    <col min="2558" max="2558" width="4.5703125" style="242" customWidth="1"/>
    <col min="2559" max="2560" width="9.140625" style="242"/>
    <col min="2561" max="2561" width="6" style="242" customWidth="1"/>
    <col min="2562" max="2562" width="0" style="242" hidden="1" customWidth="1"/>
    <col min="2563" max="2563" width="13.7109375" style="242" customWidth="1"/>
    <col min="2564" max="2564" width="13.85546875" style="242" customWidth="1"/>
    <col min="2565" max="2565" width="15.140625" style="242" customWidth="1"/>
    <col min="2566" max="2566" width="20.28515625" style="242" customWidth="1"/>
    <col min="2567" max="2813" width="9.140625" style="242"/>
    <col min="2814" max="2814" width="4.5703125" style="242" customWidth="1"/>
    <col min="2815" max="2816" width="9.140625" style="242"/>
    <col min="2817" max="2817" width="6" style="242" customWidth="1"/>
    <col min="2818" max="2818" width="0" style="242" hidden="1" customWidth="1"/>
    <col min="2819" max="2819" width="13.7109375" style="242" customWidth="1"/>
    <col min="2820" max="2820" width="13.85546875" style="242" customWidth="1"/>
    <col min="2821" max="2821" width="15.140625" style="242" customWidth="1"/>
    <col min="2822" max="2822" width="20.28515625" style="242" customWidth="1"/>
    <col min="2823" max="3069" width="9.140625" style="242"/>
    <col min="3070" max="3070" width="4.5703125" style="242" customWidth="1"/>
    <col min="3071" max="3072" width="9.140625" style="242"/>
    <col min="3073" max="3073" width="6" style="242" customWidth="1"/>
    <col min="3074" max="3074" width="0" style="242" hidden="1" customWidth="1"/>
    <col min="3075" max="3075" width="13.7109375" style="242" customWidth="1"/>
    <col min="3076" max="3076" width="13.85546875" style="242" customWidth="1"/>
    <col min="3077" max="3077" width="15.140625" style="242" customWidth="1"/>
    <col min="3078" max="3078" width="20.28515625" style="242" customWidth="1"/>
    <col min="3079" max="3325" width="9.140625" style="242"/>
    <col min="3326" max="3326" width="4.5703125" style="242" customWidth="1"/>
    <col min="3327" max="3328" width="9.140625" style="242"/>
    <col min="3329" max="3329" width="6" style="242" customWidth="1"/>
    <col min="3330" max="3330" width="0" style="242" hidden="1" customWidth="1"/>
    <col min="3331" max="3331" width="13.7109375" style="242" customWidth="1"/>
    <col min="3332" max="3332" width="13.85546875" style="242" customWidth="1"/>
    <col min="3333" max="3333" width="15.140625" style="242" customWidth="1"/>
    <col min="3334" max="3334" width="20.28515625" style="242" customWidth="1"/>
    <col min="3335" max="3581" width="9.140625" style="242"/>
    <col min="3582" max="3582" width="4.5703125" style="242" customWidth="1"/>
    <col min="3583" max="3584" width="9.140625" style="242"/>
    <col min="3585" max="3585" width="6" style="242" customWidth="1"/>
    <col min="3586" max="3586" width="0" style="242" hidden="1" customWidth="1"/>
    <col min="3587" max="3587" width="13.7109375" style="242" customWidth="1"/>
    <col min="3588" max="3588" width="13.85546875" style="242" customWidth="1"/>
    <col min="3589" max="3589" width="15.140625" style="242" customWidth="1"/>
    <col min="3590" max="3590" width="20.28515625" style="242" customWidth="1"/>
    <col min="3591" max="3837" width="9.140625" style="242"/>
    <col min="3838" max="3838" width="4.5703125" style="242" customWidth="1"/>
    <col min="3839" max="3840" width="9.140625" style="242"/>
    <col min="3841" max="3841" width="6" style="242" customWidth="1"/>
    <col min="3842" max="3842" width="0" style="242" hidden="1" customWidth="1"/>
    <col min="3843" max="3843" width="13.7109375" style="242" customWidth="1"/>
    <col min="3844" max="3844" width="13.85546875" style="242" customWidth="1"/>
    <col min="3845" max="3845" width="15.140625" style="242" customWidth="1"/>
    <col min="3846" max="3846" width="20.28515625" style="242" customWidth="1"/>
    <col min="3847" max="4093" width="9.140625" style="242"/>
    <col min="4094" max="4094" width="4.5703125" style="242" customWidth="1"/>
    <col min="4095" max="4096" width="9.140625" style="242"/>
    <col min="4097" max="4097" width="6" style="242" customWidth="1"/>
    <col min="4098" max="4098" width="0" style="242" hidden="1" customWidth="1"/>
    <col min="4099" max="4099" width="13.7109375" style="242" customWidth="1"/>
    <col min="4100" max="4100" width="13.85546875" style="242" customWidth="1"/>
    <col min="4101" max="4101" width="15.140625" style="242" customWidth="1"/>
    <col min="4102" max="4102" width="20.28515625" style="242" customWidth="1"/>
    <col min="4103" max="4349" width="9.140625" style="242"/>
    <col min="4350" max="4350" width="4.5703125" style="242" customWidth="1"/>
    <col min="4351" max="4352" width="9.140625" style="242"/>
    <col min="4353" max="4353" width="6" style="242" customWidth="1"/>
    <col min="4354" max="4354" width="0" style="242" hidden="1" customWidth="1"/>
    <col min="4355" max="4355" width="13.7109375" style="242" customWidth="1"/>
    <col min="4356" max="4356" width="13.85546875" style="242" customWidth="1"/>
    <col min="4357" max="4357" width="15.140625" style="242" customWidth="1"/>
    <col min="4358" max="4358" width="20.28515625" style="242" customWidth="1"/>
    <col min="4359" max="4605" width="9.140625" style="242"/>
    <col min="4606" max="4606" width="4.5703125" style="242" customWidth="1"/>
    <col min="4607" max="4608" width="9.140625" style="242"/>
    <col min="4609" max="4609" width="6" style="242" customWidth="1"/>
    <col min="4610" max="4610" width="0" style="242" hidden="1" customWidth="1"/>
    <col min="4611" max="4611" width="13.7109375" style="242" customWidth="1"/>
    <col min="4612" max="4612" width="13.85546875" style="242" customWidth="1"/>
    <col min="4613" max="4613" width="15.140625" style="242" customWidth="1"/>
    <col min="4614" max="4614" width="20.28515625" style="242" customWidth="1"/>
    <col min="4615" max="4861" width="9.140625" style="242"/>
    <col min="4862" max="4862" width="4.5703125" style="242" customWidth="1"/>
    <col min="4863" max="4864" width="9.140625" style="242"/>
    <col min="4865" max="4865" width="6" style="242" customWidth="1"/>
    <col min="4866" max="4866" width="0" style="242" hidden="1" customWidth="1"/>
    <col min="4867" max="4867" width="13.7109375" style="242" customWidth="1"/>
    <col min="4868" max="4868" width="13.85546875" style="242" customWidth="1"/>
    <col min="4869" max="4869" width="15.140625" style="242" customWidth="1"/>
    <col min="4870" max="4870" width="20.28515625" style="242" customWidth="1"/>
    <col min="4871" max="5117" width="9.140625" style="242"/>
    <col min="5118" max="5118" width="4.5703125" style="242" customWidth="1"/>
    <col min="5119" max="5120" width="9.140625" style="242"/>
    <col min="5121" max="5121" width="6" style="242" customWidth="1"/>
    <col min="5122" max="5122" width="0" style="242" hidden="1" customWidth="1"/>
    <col min="5123" max="5123" width="13.7109375" style="242" customWidth="1"/>
    <col min="5124" max="5124" width="13.85546875" style="242" customWidth="1"/>
    <col min="5125" max="5125" width="15.140625" style="242" customWidth="1"/>
    <col min="5126" max="5126" width="20.28515625" style="242" customWidth="1"/>
    <col min="5127" max="5373" width="9.140625" style="242"/>
    <col min="5374" max="5374" width="4.5703125" style="242" customWidth="1"/>
    <col min="5375" max="5376" width="9.140625" style="242"/>
    <col min="5377" max="5377" width="6" style="242" customWidth="1"/>
    <col min="5378" max="5378" width="0" style="242" hidden="1" customWidth="1"/>
    <col min="5379" max="5379" width="13.7109375" style="242" customWidth="1"/>
    <col min="5380" max="5380" width="13.85546875" style="242" customWidth="1"/>
    <col min="5381" max="5381" width="15.140625" style="242" customWidth="1"/>
    <col min="5382" max="5382" width="20.28515625" style="242" customWidth="1"/>
    <col min="5383" max="5629" width="9.140625" style="242"/>
    <col min="5630" max="5630" width="4.5703125" style="242" customWidth="1"/>
    <col min="5631" max="5632" width="9.140625" style="242"/>
    <col min="5633" max="5633" width="6" style="242" customWidth="1"/>
    <col min="5634" max="5634" width="0" style="242" hidden="1" customWidth="1"/>
    <col min="5635" max="5635" width="13.7109375" style="242" customWidth="1"/>
    <col min="5636" max="5636" width="13.85546875" style="242" customWidth="1"/>
    <col min="5637" max="5637" width="15.140625" style="242" customWidth="1"/>
    <col min="5638" max="5638" width="20.28515625" style="242" customWidth="1"/>
    <col min="5639" max="5885" width="9.140625" style="242"/>
    <col min="5886" max="5886" width="4.5703125" style="242" customWidth="1"/>
    <col min="5887" max="5888" width="9.140625" style="242"/>
    <col min="5889" max="5889" width="6" style="242" customWidth="1"/>
    <col min="5890" max="5890" width="0" style="242" hidden="1" customWidth="1"/>
    <col min="5891" max="5891" width="13.7109375" style="242" customWidth="1"/>
    <col min="5892" max="5892" width="13.85546875" style="242" customWidth="1"/>
    <col min="5893" max="5893" width="15.140625" style="242" customWidth="1"/>
    <col min="5894" max="5894" width="20.28515625" style="242" customWidth="1"/>
    <col min="5895" max="6141" width="9.140625" style="242"/>
    <col min="6142" max="6142" width="4.5703125" style="242" customWidth="1"/>
    <col min="6143" max="6144" width="9.140625" style="242"/>
    <col min="6145" max="6145" width="6" style="242" customWidth="1"/>
    <col min="6146" max="6146" width="0" style="242" hidden="1" customWidth="1"/>
    <col min="6147" max="6147" width="13.7109375" style="242" customWidth="1"/>
    <col min="6148" max="6148" width="13.85546875" style="242" customWidth="1"/>
    <col min="6149" max="6149" width="15.140625" style="242" customWidth="1"/>
    <col min="6150" max="6150" width="20.28515625" style="242" customWidth="1"/>
    <col min="6151" max="6397" width="9.140625" style="242"/>
    <col min="6398" max="6398" width="4.5703125" style="242" customWidth="1"/>
    <col min="6399" max="6400" width="9.140625" style="242"/>
    <col min="6401" max="6401" width="6" style="242" customWidth="1"/>
    <col min="6402" max="6402" width="0" style="242" hidden="1" customWidth="1"/>
    <col min="6403" max="6403" width="13.7109375" style="242" customWidth="1"/>
    <col min="6404" max="6404" width="13.85546875" style="242" customWidth="1"/>
    <col min="6405" max="6405" width="15.140625" style="242" customWidth="1"/>
    <col min="6406" max="6406" width="20.28515625" style="242" customWidth="1"/>
    <col min="6407" max="6653" width="9.140625" style="242"/>
    <col min="6654" max="6654" width="4.5703125" style="242" customWidth="1"/>
    <col min="6655" max="6656" width="9.140625" style="242"/>
    <col min="6657" max="6657" width="6" style="242" customWidth="1"/>
    <col min="6658" max="6658" width="0" style="242" hidden="1" customWidth="1"/>
    <col min="6659" max="6659" width="13.7109375" style="242" customWidth="1"/>
    <col min="6660" max="6660" width="13.85546875" style="242" customWidth="1"/>
    <col min="6661" max="6661" width="15.140625" style="242" customWidth="1"/>
    <col min="6662" max="6662" width="20.28515625" style="242" customWidth="1"/>
    <col min="6663" max="6909" width="9.140625" style="242"/>
    <col min="6910" max="6910" width="4.5703125" style="242" customWidth="1"/>
    <col min="6911" max="6912" width="9.140625" style="242"/>
    <col min="6913" max="6913" width="6" style="242" customWidth="1"/>
    <col min="6914" max="6914" width="0" style="242" hidden="1" customWidth="1"/>
    <col min="6915" max="6915" width="13.7109375" style="242" customWidth="1"/>
    <col min="6916" max="6916" width="13.85546875" style="242" customWidth="1"/>
    <col min="6917" max="6917" width="15.140625" style="242" customWidth="1"/>
    <col min="6918" max="6918" width="20.28515625" style="242" customWidth="1"/>
    <col min="6919" max="7165" width="9.140625" style="242"/>
    <col min="7166" max="7166" width="4.5703125" style="242" customWidth="1"/>
    <col min="7167" max="7168" width="9.140625" style="242"/>
    <col min="7169" max="7169" width="6" style="242" customWidth="1"/>
    <col min="7170" max="7170" width="0" style="242" hidden="1" customWidth="1"/>
    <col min="7171" max="7171" width="13.7109375" style="242" customWidth="1"/>
    <col min="7172" max="7172" width="13.85546875" style="242" customWidth="1"/>
    <col min="7173" max="7173" width="15.140625" style="242" customWidth="1"/>
    <col min="7174" max="7174" width="20.28515625" style="242" customWidth="1"/>
    <col min="7175" max="7421" width="9.140625" style="242"/>
    <col min="7422" max="7422" width="4.5703125" style="242" customWidth="1"/>
    <col min="7423" max="7424" width="9.140625" style="242"/>
    <col min="7425" max="7425" width="6" style="242" customWidth="1"/>
    <col min="7426" max="7426" width="0" style="242" hidden="1" customWidth="1"/>
    <col min="7427" max="7427" width="13.7109375" style="242" customWidth="1"/>
    <col min="7428" max="7428" width="13.85546875" style="242" customWidth="1"/>
    <col min="7429" max="7429" width="15.140625" style="242" customWidth="1"/>
    <col min="7430" max="7430" width="20.28515625" style="242" customWidth="1"/>
    <col min="7431" max="7677" width="9.140625" style="242"/>
    <col min="7678" max="7678" width="4.5703125" style="242" customWidth="1"/>
    <col min="7679" max="7680" width="9.140625" style="242"/>
    <col min="7681" max="7681" width="6" style="242" customWidth="1"/>
    <col min="7682" max="7682" width="0" style="242" hidden="1" customWidth="1"/>
    <col min="7683" max="7683" width="13.7109375" style="242" customWidth="1"/>
    <col min="7684" max="7684" width="13.85546875" style="242" customWidth="1"/>
    <col min="7685" max="7685" width="15.140625" style="242" customWidth="1"/>
    <col min="7686" max="7686" width="20.28515625" style="242" customWidth="1"/>
    <col min="7687" max="7933" width="9.140625" style="242"/>
    <col min="7934" max="7934" width="4.5703125" style="242" customWidth="1"/>
    <col min="7935" max="7936" width="9.140625" style="242"/>
    <col min="7937" max="7937" width="6" style="242" customWidth="1"/>
    <col min="7938" max="7938" width="0" style="242" hidden="1" customWidth="1"/>
    <col min="7939" max="7939" width="13.7109375" style="242" customWidth="1"/>
    <col min="7940" max="7940" width="13.85546875" style="242" customWidth="1"/>
    <col min="7941" max="7941" width="15.140625" style="242" customWidth="1"/>
    <col min="7942" max="7942" width="20.28515625" style="242" customWidth="1"/>
    <col min="7943" max="8189" width="9.140625" style="242"/>
    <col min="8190" max="8190" width="4.5703125" style="242" customWidth="1"/>
    <col min="8191" max="8192" width="9.140625" style="242"/>
    <col min="8193" max="8193" width="6" style="242" customWidth="1"/>
    <col min="8194" max="8194" width="0" style="242" hidden="1" customWidth="1"/>
    <col min="8195" max="8195" width="13.7109375" style="242" customWidth="1"/>
    <col min="8196" max="8196" width="13.85546875" style="242" customWidth="1"/>
    <col min="8197" max="8197" width="15.140625" style="242" customWidth="1"/>
    <col min="8198" max="8198" width="20.28515625" style="242" customWidth="1"/>
    <col min="8199" max="8445" width="9.140625" style="242"/>
    <col min="8446" max="8446" width="4.5703125" style="242" customWidth="1"/>
    <col min="8447" max="8448" width="9.140625" style="242"/>
    <col min="8449" max="8449" width="6" style="242" customWidth="1"/>
    <col min="8450" max="8450" width="0" style="242" hidden="1" customWidth="1"/>
    <col min="8451" max="8451" width="13.7109375" style="242" customWidth="1"/>
    <col min="8452" max="8452" width="13.85546875" style="242" customWidth="1"/>
    <col min="8453" max="8453" width="15.140625" style="242" customWidth="1"/>
    <col min="8454" max="8454" width="20.28515625" style="242" customWidth="1"/>
    <col min="8455" max="8701" width="9.140625" style="242"/>
    <col min="8702" max="8702" width="4.5703125" style="242" customWidth="1"/>
    <col min="8703" max="8704" width="9.140625" style="242"/>
    <col min="8705" max="8705" width="6" style="242" customWidth="1"/>
    <col min="8706" max="8706" width="0" style="242" hidden="1" customWidth="1"/>
    <col min="8707" max="8707" width="13.7109375" style="242" customWidth="1"/>
    <col min="8708" max="8708" width="13.85546875" style="242" customWidth="1"/>
    <col min="8709" max="8709" width="15.140625" style="242" customWidth="1"/>
    <col min="8710" max="8710" width="20.28515625" style="242" customWidth="1"/>
    <col min="8711" max="8957" width="9.140625" style="242"/>
    <col min="8958" max="8958" width="4.5703125" style="242" customWidth="1"/>
    <col min="8959" max="8960" width="9.140625" style="242"/>
    <col min="8961" max="8961" width="6" style="242" customWidth="1"/>
    <col min="8962" max="8962" width="0" style="242" hidden="1" customWidth="1"/>
    <col min="8963" max="8963" width="13.7109375" style="242" customWidth="1"/>
    <col min="8964" max="8964" width="13.85546875" style="242" customWidth="1"/>
    <col min="8965" max="8965" width="15.140625" style="242" customWidth="1"/>
    <col min="8966" max="8966" width="20.28515625" style="242" customWidth="1"/>
    <col min="8967" max="9213" width="9.140625" style="242"/>
    <col min="9214" max="9214" width="4.5703125" style="242" customWidth="1"/>
    <col min="9215" max="9216" width="9.140625" style="242"/>
    <col min="9217" max="9217" width="6" style="242" customWidth="1"/>
    <col min="9218" max="9218" width="0" style="242" hidden="1" customWidth="1"/>
    <col min="9219" max="9219" width="13.7109375" style="242" customWidth="1"/>
    <col min="9220" max="9220" width="13.85546875" style="242" customWidth="1"/>
    <col min="9221" max="9221" width="15.140625" style="242" customWidth="1"/>
    <col min="9222" max="9222" width="20.28515625" style="242" customWidth="1"/>
    <col min="9223" max="9469" width="9.140625" style="242"/>
    <col min="9470" max="9470" width="4.5703125" style="242" customWidth="1"/>
    <col min="9471" max="9472" width="9.140625" style="242"/>
    <col min="9473" max="9473" width="6" style="242" customWidth="1"/>
    <col min="9474" max="9474" width="0" style="242" hidden="1" customWidth="1"/>
    <col min="9475" max="9475" width="13.7109375" style="242" customWidth="1"/>
    <col min="9476" max="9476" width="13.85546875" style="242" customWidth="1"/>
    <col min="9477" max="9477" width="15.140625" style="242" customWidth="1"/>
    <col min="9478" max="9478" width="20.28515625" style="242" customWidth="1"/>
    <col min="9479" max="9725" width="9.140625" style="242"/>
    <col min="9726" max="9726" width="4.5703125" style="242" customWidth="1"/>
    <col min="9727" max="9728" width="9.140625" style="242"/>
    <col min="9729" max="9729" width="6" style="242" customWidth="1"/>
    <col min="9730" max="9730" width="0" style="242" hidden="1" customWidth="1"/>
    <col min="9731" max="9731" width="13.7109375" style="242" customWidth="1"/>
    <col min="9732" max="9732" width="13.85546875" style="242" customWidth="1"/>
    <col min="9733" max="9733" width="15.140625" style="242" customWidth="1"/>
    <col min="9734" max="9734" width="20.28515625" style="242" customWidth="1"/>
    <col min="9735" max="9981" width="9.140625" style="242"/>
    <col min="9982" max="9982" width="4.5703125" style="242" customWidth="1"/>
    <col min="9983" max="9984" width="9.140625" style="242"/>
    <col min="9985" max="9985" width="6" style="242" customWidth="1"/>
    <col min="9986" max="9986" width="0" style="242" hidden="1" customWidth="1"/>
    <col min="9987" max="9987" width="13.7109375" style="242" customWidth="1"/>
    <col min="9988" max="9988" width="13.85546875" style="242" customWidth="1"/>
    <col min="9989" max="9989" width="15.140625" style="242" customWidth="1"/>
    <col min="9990" max="9990" width="20.28515625" style="242" customWidth="1"/>
    <col min="9991" max="10237" width="9.140625" style="242"/>
    <col min="10238" max="10238" width="4.5703125" style="242" customWidth="1"/>
    <col min="10239" max="10240" width="9.140625" style="242"/>
    <col min="10241" max="10241" width="6" style="242" customWidth="1"/>
    <col min="10242" max="10242" width="0" style="242" hidden="1" customWidth="1"/>
    <col min="10243" max="10243" width="13.7109375" style="242" customWidth="1"/>
    <col min="10244" max="10244" width="13.85546875" style="242" customWidth="1"/>
    <col min="10245" max="10245" width="15.140625" style="242" customWidth="1"/>
    <col min="10246" max="10246" width="20.28515625" style="242" customWidth="1"/>
    <col min="10247" max="10493" width="9.140625" style="242"/>
    <col min="10494" max="10494" width="4.5703125" style="242" customWidth="1"/>
    <col min="10495" max="10496" width="9.140625" style="242"/>
    <col min="10497" max="10497" width="6" style="242" customWidth="1"/>
    <col min="10498" max="10498" width="0" style="242" hidden="1" customWidth="1"/>
    <col min="10499" max="10499" width="13.7109375" style="242" customWidth="1"/>
    <col min="10500" max="10500" width="13.85546875" style="242" customWidth="1"/>
    <col min="10501" max="10501" width="15.140625" style="242" customWidth="1"/>
    <col min="10502" max="10502" width="20.28515625" style="242" customWidth="1"/>
    <col min="10503" max="10749" width="9.140625" style="242"/>
    <col min="10750" max="10750" width="4.5703125" style="242" customWidth="1"/>
    <col min="10751" max="10752" width="9.140625" style="242"/>
    <col min="10753" max="10753" width="6" style="242" customWidth="1"/>
    <col min="10754" max="10754" width="0" style="242" hidden="1" customWidth="1"/>
    <col min="10755" max="10755" width="13.7109375" style="242" customWidth="1"/>
    <col min="10756" max="10756" width="13.85546875" style="242" customWidth="1"/>
    <col min="10757" max="10757" width="15.140625" style="242" customWidth="1"/>
    <col min="10758" max="10758" width="20.28515625" style="242" customWidth="1"/>
    <col min="10759" max="11005" width="9.140625" style="242"/>
    <col min="11006" max="11006" width="4.5703125" style="242" customWidth="1"/>
    <col min="11007" max="11008" width="9.140625" style="242"/>
    <col min="11009" max="11009" width="6" style="242" customWidth="1"/>
    <col min="11010" max="11010" width="0" style="242" hidden="1" customWidth="1"/>
    <col min="11011" max="11011" width="13.7109375" style="242" customWidth="1"/>
    <col min="11012" max="11012" width="13.85546875" style="242" customWidth="1"/>
    <col min="11013" max="11013" width="15.140625" style="242" customWidth="1"/>
    <col min="11014" max="11014" width="20.28515625" style="242" customWidth="1"/>
    <col min="11015" max="11261" width="9.140625" style="242"/>
    <col min="11262" max="11262" width="4.5703125" style="242" customWidth="1"/>
    <col min="11263" max="11264" width="9.140625" style="242"/>
    <col min="11265" max="11265" width="6" style="242" customWidth="1"/>
    <col min="11266" max="11266" width="0" style="242" hidden="1" customWidth="1"/>
    <col min="11267" max="11267" width="13.7109375" style="242" customWidth="1"/>
    <col min="11268" max="11268" width="13.85546875" style="242" customWidth="1"/>
    <col min="11269" max="11269" width="15.140625" style="242" customWidth="1"/>
    <col min="11270" max="11270" width="20.28515625" style="242" customWidth="1"/>
    <col min="11271" max="11517" width="9.140625" style="242"/>
    <col min="11518" max="11518" width="4.5703125" style="242" customWidth="1"/>
    <col min="11519" max="11520" width="9.140625" style="242"/>
    <col min="11521" max="11521" width="6" style="242" customWidth="1"/>
    <col min="11522" max="11522" width="0" style="242" hidden="1" customWidth="1"/>
    <col min="11523" max="11523" width="13.7109375" style="242" customWidth="1"/>
    <col min="11524" max="11524" width="13.85546875" style="242" customWidth="1"/>
    <col min="11525" max="11525" width="15.140625" style="242" customWidth="1"/>
    <col min="11526" max="11526" width="20.28515625" style="242" customWidth="1"/>
    <col min="11527" max="11773" width="9.140625" style="242"/>
    <col min="11774" max="11774" width="4.5703125" style="242" customWidth="1"/>
    <col min="11775" max="11776" width="9.140625" style="242"/>
    <col min="11777" max="11777" width="6" style="242" customWidth="1"/>
    <col min="11778" max="11778" width="0" style="242" hidden="1" customWidth="1"/>
    <col min="11779" max="11779" width="13.7109375" style="242" customWidth="1"/>
    <col min="11780" max="11780" width="13.85546875" style="242" customWidth="1"/>
    <col min="11781" max="11781" width="15.140625" style="242" customWidth="1"/>
    <col min="11782" max="11782" width="20.28515625" style="242" customWidth="1"/>
    <col min="11783" max="12029" width="9.140625" style="242"/>
    <col min="12030" max="12030" width="4.5703125" style="242" customWidth="1"/>
    <col min="12031" max="12032" width="9.140625" style="242"/>
    <col min="12033" max="12033" width="6" style="242" customWidth="1"/>
    <col min="12034" max="12034" width="0" style="242" hidden="1" customWidth="1"/>
    <col min="12035" max="12035" width="13.7109375" style="242" customWidth="1"/>
    <col min="12036" max="12036" width="13.85546875" style="242" customWidth="1"/>
    <col min="12037" max="12037" width="15.140625" style="242" customWidth="1"/>
    <col min="12038" max="12038" width="20.28515625" style="242" customWidth="1"/>
    <col min="12039" max="12285" width="9.140625" style="242"/>
    <col min="12286" max="12286" width="4.5703125" style="242" customWidth="1"/>
    <col min="12287" max="12288" width="9.140625" style="242"/>
    <col min="12289" max="12289" width="6" style="242" customWidth="1"/>
    <col min="12290" max="12290" width="0" style="242" hidden="1" customWidth="1"/>
    <col min="12291" max="12291" width="13.7109375" style="242" customWidth="1"/>
    <col min="12292" max="12292" width="13.85546875" style="242" customWidth="1"/>
    <col min="12293" max="12293" width="15.140625" style="242" customWidth="1"/>
    <col min="12294" max="12294" width="20.28515625" style="242" customWidth="1"/>
    <col min="12295" max="12541" width="9.140625" style="242"/>
    <col min="12542" max="12542" width="4.5703125" style="242" customWidth="1"/>
    <col min="12543" max="12544" width="9.140625" style="242"/>
    <col min="12545" max="12545" width="6" style="242" customWidth="1"/>
    <col min="12546" max="12546" width="0" style="242" hidden="1" customWidth="1"/>
    <col min="12547" max="12547" width="13.7109375" style="242" customWidth="1"/>
    <col min="12548" max="12548" width="13.85546875" style="242" customWidth="1"/>
    <col min="12549" max="12549" width="15.140625" style="242" customWidth="1"/>
    <col min="12550" max="12550" width="20.28515625" style="242" customWidth="1"/>
    <col min="12551" max="12797" width="9.140625" style="242"/>
    <col min="12798" max="12798" width="4.5703125" style="242" customWidth="1"/>
    <col min="12799" max="12800" width="9.140625" style="242"/>
    <col min="12801" max="12801" width="6" style="242" customWidth="1"/>
    <col min="12802" max="12802" width="0" style="242" hidden="1" customWidth="1"/>
    <col min="12803" max="12803" width="13.7109375" style="242" customWidth="1"/>
    <col min="12804" max="12804" width="13.85546875" style="242" customWidth="1"/>
    <col min="12805" max="12805" width="15.140625" style="242" customWidth="1"/>
    <col min="12806" max="12806" width="20.28515625" style="242" customWidth="1"/>
    <col min="12807" max="13053" width="9.140625" style="242"/>
    <col min="13054" max="13054" width="4.5703125" style="242" customWidth="1"/>
    <col min="13055" max="13056" width="9.140625" style="242"/>
    <col min="13057" max="13057" width="6" style="242" customWidth="1"/>
    <col min="13058" max="13058" width="0" style="242" hidden="1" customWidth="1"/>
    <col min="13059" max="13059" width="13.7109375" style="242" customWidth="1"/>
    <col min="13060" max="13060" width="13.85546875" style="242" customWidth="1"/>
    <col min="13061" max="13061" width="15.140625" style="242" customWidth="1"/>
    <col min="13062" max="13062" width="20.28515625" style="242" customWidth="1"/>
    <col min="13063" max="13309" width="9.140625" style="242"/>
    <col min="13310" max="13310" width="4.5703125" style="242" customWidth="1"/>
    <col min="13311" max="13312" width="9.140625" style="242"/>
    <col min="13313" max="13313" width="6" style="242" customWidth="1"/>
    <col min="13314" max="13314" width="0" style="242" hidden="1" customWidth="1"/>
    <col min="13315" max="13315" width="13.7109375" style="242" customWidth="1"/>
    <col min="13316" max="13316" width="13.85546875" style="242" customWidth="1"/>
    <col min="13317" max="13317" width="15.140625" style="242" customWidth="1"/>
    <col min="13318" max="13318" width="20.28515625" style="242" customWidth="1"/>
    <col min="13319" max="13565" width="9.140625" style="242"/>
    <col min="13566" max="13566" width="4.5703125" style="242" customWidth="1"/>
    <col min="13567" max="13568" width="9.140625" style="242"/>
    <col min="13569" max="13569" width="6" style="242" customWidth="1"/>
    <col min="13570" max="13570" width="0" style="242" hidden="1" customWidth="1"/>
    <col min="13571" max="13571" width="13.7109375" style="242" customWidth="1"/>
    <col min="13572" max="13572" width="13.85546875" style="242" customWidth="1"/>
    <col min="13573" max="13573" width="15.140625" style="242" customWidth="1"/>
    <col min="13574" max="13574" width="20.28515625" style="242" customWidth="1"/>
    <col min="13575" max="13821" width="9.140625" style="242"/>
    <col min="13822" max="13822" width="4.5703125" style="242" customWidth="1"/>
    <col min="13823" max="13824" width="9.140625" style="242"/>
    <col min="13825" max="13825" width="6" style="242" customWidth="1"/>
    <col min="13826" max="13826" width="0" style="242" hidden="1" customWidth="1"/>
    <col min="13827" max="13827" width="13.7109375" style="242" customWidth="1"/>
    <col min="13828" max="13828" width="13.85546875" style="242" customWidth="1"/>
    <col min="13829" max="13829" width="15.140625" style="242" customWidth="1"/>
    <col min="13830" max="13830" width="20.28515625" style="242" customWidth="1"/>
    <col min="13831" max="14077" width="9.140625" style="242"/>
    <col min="14078" max="14078" width="4.5703125" style="242" customWidth="1"/>
    <col min="14079" max="14080" width="9.140625" style="242"/>
    <col min="14081" max="14081" width="6" style="242" customWidth="1"/>
    <col min="14082" max="14082" width="0" style="242" hidden="1" customWidth="1"/>
    <col min="14083" max="14083" width="13.7109375" style="242" customWidth="1"/>
    <col min="14084" max="14084" width="13.85546875" style="242" customWidth="1"/>
    <col min="14085" max="14085" width="15.140625" style="242" customWidth="1"/>
    <col min="14086" max="14086" width="20.28515625" style="242" customWidth="1"/>
    <col min="14087" max="14333" width="9.140625" style="242"/>
    <col min="14334" max="14334" width="4.5703125" style="242" customWidth="1"/>
    <col min="14335" max="14336" width="9.140625" style="242"/>
    <col min="14337" max="14337" width="6" style="242" customWidth="1"/>
    <col min="14338" max="14338" width="0" style="242" hidden="1" customWidth="1"/>
    <col min="14339" max="14339" width="13.7109375" style="242" customWidth="1"/>
    <col min="14340" max="14340" width="13.85546875" style="242" customWidth="1"/>
    <col min="14341" max="14341" width="15.140625" style="242" customWidth="1"/>
    <col min="14342" max="14342" width="20.28515625" style="242" customWidth="1"/>
    <col min="14343" max="14589" width="9.140625" style="242"/>
    <col min="14590" max="14590" width="4.5703125" style="242" customWidth="1"/>
    <col min="14591" max="14592" width="9.140625" style="242"/>
    <col min="14593" max="14593" width="6" style="242" customWidth="1"/>
    <col min="14594" max="14594" width="0" style="242" hidden="1" customWidth="1"/>
    <col min="14595" max="14595" width="13.7109375" style="242" customWidth="1"/>
    <col min="14596" max="14596" width="13.85546875" style="242" customWidth="1"/>
    <col min="14597" max="14597" width="15.140625" style="242" customWidth="1"/>
    <col min="14598" max="14598" width="20.28515625" style="242" customWidth="1"/>
    <col min="14599" max="14845" width="9.140625" style="242"/>
    <col min="14846" max="14846" width="4.5703125" style="242" customWidth="1"/>
    <col min="14847" max="14848" width="9.140625" style="242"/>
    <col min="14849" max="14849" width="6" style="242" customWidth="1"/>
    <col min="14850" max="14850" width="0" style="242" hidden="1" customWidth="1"/>
    <col min="14851" max="14851" width="13.7109375" style="242" customWidth="1"/>
    <col min="14852" max="14852" width="13.85546875" style="242" customWidth="1"/>
    <col min="14853" max="14853" width="15.140625" style="242" customWidth="1"/>
    <col min="14854" max="14854" width="20.28515625" style="242" customWidth="1"/>
    <col min="14855" max="15101" width="9.140625" style="242"/>
    <col min="15102" max="15102" width="4.5703125" style="242" customWidth="1"/>
    <col min="15103" max="15104" width="9.140625" style="242"/>
    <col min="15105" max="15105" width="6" style="242" customWidth="1"/>
    <col min="15106" max="15106" width="0" style="242" hidden="1" customWidth="1"/>
    <col min="15107" max="15107" width="13.7109375" style="242" customWidth="1"/>
    <col min="15108" max="15108" width="13.85546875" style="242" customWidth="1"/>
    <col min="15109" max="15109" width="15.140625" style="242" customWidth="1"/>
    <col min="15110" max="15110" width="20.28515625" style="242" customWidth="1"/>
    <col min="15111" max="15357" width="9.140625" style="242"/>
    <col min="15358" max="15358" width="4.5703125" style="242" customWidth="1"/>
    <col min="15359" max="15360" width="9.140625" style="242"/>
    <col min="15361" max="15361" width="6" style="242" customWidth="1"/>
    <col min="15362" max="15362" width="0" style="242" hidden="1" customWidth="1"/>
    <col min="15363" max="15363" width="13.7109375" style="242" customWidth="1"/>
    <col min="15364" max="15364" width="13.85546875" style="242" customWidth="1"/>
    <col min="15365" max="15365" width="15.140625" style="242" customWidth="1"/>
    <col min="15366" max="15366" width="20.28515625" style="242" customWidth="1"/>
    <col min="15367" max="15613" width="9.140625" style="242"/>
    <col min="15614" max="15614" width="4.5703125" style="242" customWidth="1"/>
    <col min="15615" max="15616" width="9.140625" style="242"/>
    <col min="15617" max="15617" width="6" style="242" customWidth="1"/>
    <col min="15618" max="15618" width="0" style="242" hidden="1" customWidth="1"/>
    <col min="15619" max="15619" width="13.7109375" style="242" customWidth="1"/>
    <col min="15620" max="15620" width="13.85546875" style="242" customWidth="1"/>
    <col min="15621" max="15621" width="15.140625" style="242" customWidth="1"/>
    <col min="15622" max="15622" width="20.28515625" style="242" customWidth="1"/>
    <col min="15623" max="15869" width="9.140625" style="242"/>
    <col min="15870" max="15870" width="4.5703125" style="242" customWidth="1"/>
    <col min="15871" max="15872" width="9.140625" style="242"/>
    <col min="15873" max="15873" width="6" style="242" customWidth="1"/>
    <col min="15874" max="15874" width="0" style="242" hidden="1" customWidth="1"/>
    <col min="15875" max="15875" width="13.7109375" style="242" customWidth="1"/>
    <col min="15876" max="15876" width="13.85546875" style="242" customWidth="1"/>
    <col min="15877" max="15877" width="15.140625" style="242" customWidth="1"/>
    <col min="15878" max="15878" width="20.28515625" style="242" customWidth="1"/>
    <col min="15879" max="16125" width="9.140625" style="242"/>
    <col min="16126" max="16126" width="4.5703125" style="242" customWidth="1"/>
    <col min="16127" max="16128" width="9.140625" style="242"/>
    <col min="16129" max="16129" width="6" style="242" customWidth="1"/>
    <col min="16130" max="16130" width="0" style="242" hidden="1" customWidth="1"/>
    <col min="16131" max="16131" width="13.7109375" style="242" customWidth="1"/>
    <col min="16132" max="16132" width="13.85546875" style="242" customWidth="1"/>
    <col min="16133" max="16133" width="15.140625" style="242" customWidth="1"/>
    <col min="16134" max="16134" width="20.28515625" style="242" customWidth="1"/>
    <col min="16135" max="16384" width="9.140625" style="242"/>
  </cols>
  <sheetData>
    <row r="1" spans="1:6">
      <c r="A1" s="2316" t="s">
        <v>1807</v>
      </c>
      <c r="B1" s="2316"/>
      <c r="C1" s="2316"/>
      <c r="D1" s="2316"/>
      <c r="E1" s="2316"/>
      <c r="F1" s="2316"/>
    </row>
    <row r="2" spans="1:6" s="245" customFormat="1">
      <c r="F2" s="246"/>
    </row>
    <row r="3" spans="1:6" s="245" customFormat="1">
      <c r="A3" s="421" t="s">
        <v>1521</v>
      </c>
      <c r="B3" s="421"/>
      <c r="E3" s="247"/>
      <c r="F3" s="248"/>
    </row>
    <row r="4" spans="1:6" s="245" customFormat="1">
      <c r="A4" s="421" t="s">
        <v>1299</v>
      </c>
      <c r="B4" s="421"/>
      <c r="E4" s="249" t="s">
        <v>1298</v>
      </c>
      <c r="F4" s="249"/>
    </row>
    <row r="5" spans="1:6" s="245" customFormat="1">
      <c r="A5" s="421" t="s">
        <v>1522</v>
      </c>
      <c r="B5" s="421"/>
      <c r="E5" s="247"/>
      <c r="F5" s="249"/>
    </row>
    <row r="6" spans="1:6" s="245" customFormat="1">
      <c r="A6" s="421" t="s">
        <v>1804</v>
      </c>
      <c r="B6" s="421"/>
    </row>
    <row r="7" spans="1:6" s="245" customFormat="1">
      <c r="A7" s="269" t="s">
        <v>1709</v>
      </c>
      <c r="B7" s="269"/>
    </row>
    <row r="8" spans="1:6" s="245" customFormat="1" ht="13.5" thickBot="1">
      <c r="B8" s="2317" t="s">
        <v>1301</v>
      </c>
      <c r="C8" s="2317"/>
      <c r="D8" s="2317"/>
      <c r="E8" s="2317"/>
    </row>
    <row r="9" spans="1:6" s="245" customFormat="1" ht="13.5" thickTop="1">
      <c r="A9" s="2363" t="s">
        <v>1302</v>
      </c>
      <c r="B9" s="2365" t="s">
        <v>0</v>
      </c>
      <c r="C9" s="2367" t="s">
        <v>1303</v>
      </c>
      <c r="D9" s="2367"/>
      <c r="E9" s="2367" t="s">
        <v>1304</v>
      </c>
      <c r="F9" s="2368"/>
    </row>
    <row r="10" spans="1:6" s="245" customFormat="1">
      <c r="A10" s="2319"/>
      <c r="B10" s="2321"/>
      <c r="C10" s="414" t="s">
        <v>1305</v>
      </c>
      <c r="D10" s="414" t="s">
        <v>1306</v>
      </c>
      <c r="E10" s="414" t="s">
        <v>1305</v>
      </c>
      <c r="F10" s="415" t="s">
        <v>1306</v>
      </c>
    </row>
    <row r="11" spans="1:6" s="245" customFormat="1" ht="13.5" thickBot="1">
      <c r="A11" s="2364"/>
      <c r="B11" s="2366"/>
      <c r="C11" s="509" t="s">
        <v>1307</v>
      </c>
      <c r="D11" s="509" t="s">
        <v>1308</v>
      </c>
      <c r="E11" s="509" t="s">
        <v>1307</v>
      </c>
      <c r="F11" s="510" t="s">
        <v>1308</v>
      </c>
    </row>
    <row r="12" spans="1:6" s="245" customFormat="1" ht="13.5" thickTop="1">
      <c r="A12" s="507"/>
      <c r="B12" s="508" t="s">
        <v>1309</v>
      </c>
      <c r="C12" s="272"/>
      <c r="D12" s="255"/>
      <c r="E12" s="256"/>
      <c r="F12" s="257"/>
    </row>
    <row r="13" spans="1:6" s="245" customFormat="1">
      <c r="A13" s="254">
        <v>1</v>
      </c>
      <c r="B13" s="416" t="s">
        <v>1310</v>
      </c>
      <c r="C13" s="258">
        <v>34778</v>
      </c>
      <c r="D13" s="258">
        <f>'mor. Mea.'!H15</f>
        <v>4754.2800000000007</v>
      </c>
      <c r="E13" s="259">
        <f t="shared" ref="E13:F27" si="0">C13</f>
        <v>34778</v>
      </c>
      <c r="F13" s="260">
        <f t="shared" si="0"/>
        <v>4754.2800000000007</v>
      </c>
    </row>
    <row r="14" spans="1:6" s="245" customFormat="1">
      <c r="A14" s="254">
        <v>2</v>
      </c>
      <c r="B14" s="416" t="s">
        <v>1311</v>
      </c>
      <c r="C14" s="258">
        <v>136220</v>
      </c>
      <c r="D14" s="258">
        <f>'mor. Mea.'!H34</f>
        <v>17064.705600000001</v>
      </c>
      <c r="E14" s="259">
        <f t="shared" si="0"/>
        <v>136220</v>
      </c>
      <c r="F14" s="260">
        <f t="shared" si="0"/>
        <v>17064.705600000001</v>
      </c>
    </row>
    <row r="15" spans="1:6" s="245" customFormat="1">
      <c r="A15" s="254">
        <v>3</v>
      </c>
      <c r="B15" s="416" t="s">
        <v>1312</v>
      </c>
      <c r="C15" s="258">
        <v>33700</v>
      </c>
      <c r="D15" s="258">
        <f>'mor. Mea.'!H38</f>
        <v>6727.5</v>
      </c>
      <c r="E15" s="259">
        <f t="shared" si="0"/>
        <v>33700</v>
      </c>
      <c r="F15" s="260">
        <f t="shared" si="0"/>
        <v>6727.5</v>
      </c>
    </row>
    <row r="16" spans="1:6" s="245" customFormat="1">
      <c r="A16" s="254"/>
      <c r="B16" s="417" t="s">
        <v>1313</v>
      </c>
      <c r="C16" s="258">
        <f>SUM(C13:C15)</f>
        <v>204698</v>
      </c>
      <c r="D16" s="258">
        <f>SUM(D13:D15)</f>
        <v>28546.4856</v>
      </c>
      <c r="E16" s="258">
        <f>SUM(E13:E15)</f>
        <v>204698</v>
      </c>
      <c r="F16" s="506">
        <f>SUM(F13:F15)</f>
        <v>28546.4856</v>
      </c>
    </row>
    <row r="17" spans="1:6" s="245" customFormat="1">
      <c r="A17" s="254"/>
      <c r="B17" s="418" t="s">
        <v>1314</v>
      </c>
      <c r="C17" s="258"/>
      <c r="D17" s="258"/>
      <c r="E17" s="259">
        <f t="shared" si="0"/>
        <v>0</v>
      </c>
      <c r="F17" s="260">
        <f t="shared" si="0"/>
        <v>0</v>
      </c>
    </row>
    <row r="18" spans="1:6" s="245" customFormat="1">
      <c r="A18" s="254">
        <v>1</v>
      </c>
      <c r="B18" s="416" t="s">
        <v>1311</v>
      </c>
      <c r="C18" s="258">
        <v>29237</v>
      </c>
      <c r="D18" s="258">
        <f>'mor. Mea.'!H52</f>
        <v>15138.3184</v>
      </c>
      <c r="E18" s="259">
        <f t="shared" si="0"/>
        <v>29237</v>
      </c>
      <c r="F18" s="260">
        <f t="shared" si="0"/>
        <v>15138.3184</v>
      </c>
    </row>
    <row r="19" spans="1:6" s="245" customFormat="1">
      <c r="A19" s="254">
        <v>2</v>
      </c>
      <c r="B19" s="419" t="s">
        <v>1315</v>
      </c>
      <c r="C19" s="258">
        <v>42000</v>
      </c>
      <c r="D19" s="258">
        <f>'mor. Mea.'!H58</f>
        <v>12174.9</v>
      </c>
      <c r="E19" s="259">
        <f t="shared" si="0"/>
        <v>42000</v>
      </c>
      <c r="F19" s="260">
        <f t="shared" si="0"/>
        <v>12174.9</v>
      </c>
    </row>
    <row r="20" spans="1:6" s="245" customFormat="1">
      <c r="A20" s="254">
        <v>3</v>
      </c>
      <c r="B20" s="416" t="s">
        <v>1316</v>
      </c>
      <c r="C20" s="258">
        <v>27000</v>
      </c>
      <c r="D20" s="258">
        <f>'mor. Mea.'!H64</f>
        <v>14852.799999999997</v>
      </c>
      <c r="E20" s="259">
        <f t="shared" si="0"/>
        <v>27000</v>
      </c>
      <c r="F20" s="260">
        <f t="shared" si="0"/>
        <v>14852.799999999997</v>
      </c>
    </row>
    <row r="21" spans="1:6" s="245" customFormat="1">
      <c r="A21" s="254">
        <v>4</v>
      </c>
      <c r="B21" s="416" t="s">
        <v>1595</v>
      </c>
      <c r="C21" s="258">
        <v>6850.2</v>
      </c>
      <c r="D21" s="258">
        <f>'mor. Mea.'!H72</f>
        <v>7599</v>
      </c>
      <c r="E21" s="259">
        <f t="shared" si="0"/>
        <v>6850.2</v>
      </c>
      <c r="F21" s="260">
        <f t="shared" si="0"/>
        <v>7599</v>
      </c>
    </row>
    <row r="22" spans="1:6" s="245" customFormat="1">
      <c r="A22" s="254">
        <v>5</v>
      </c>
      <c r="B22" s="416" t="s">
        <v>1318</v>
      </c>
      <c r="C22" s="258">
        <v>18738</v>
      </c>
      <c r="D22" s="258">
        <f>'mor. Mea.'!H79</f>
        <v>6000</v>
      </c>
      <c r="E22" s="259">
        <f t="shared" si="0"/>
        <v>18738</v>
      </c>
      <c r="F22" s="260">
        <f t="shared" si="0"/>
        <v>6000</v>
      </c>
    </row>
    <row r="23" spans="1:6" s="245" customFormat="1">
      <c r="A23" s="254">
        <v>6</v>
      </c>
      <c r="B23" s="416" t="s">
        <v>1319</v>
      </c>
      <c r="C23" s="258">
        <v>131540</v>
      </c>
      <c r="D23" s="258">
        <f>'mor. Mea.'!H92</f>
        <v>25422.600000000002</v>
      </c>
      <c r="E23" s="259">
        <f t="shared" si="0"/>
        <v>131540</v>
      </c>
      <c r="F23" s="260">
        <f t="shared" si="0"/>
        <v>25422.600000000002</v>
      </c>
    </row>
    <row r="24" spans="1:6" s="245" customFormat="1">
      <c r="A24" s="254">
        <v>7</v>
      </c>
      <c r="B24" s="261" t="s">
        <v>1320</v>
      </c>
      <c r="C24" s="258">
        <v>7560</v>
      </c>
      <c r="D24" s="258">
        <f>'mor. Mea.'!H97</f>
        <v>1157.49</v>
      </c>
      <c r="E24" s="259">
        <f t="shared" si="0"/>
        <v>7560</v>
      </c>
      <c r="F24" s="260">
        <f t="shared" si="0"/>
        <v>1157.49</v>
      </c>
    </row>
    <row r="25" spans="1:6" s="245" customFormat="1">
      <c r="A25" s="254">
        <v>8</v>
      </c>
      <c r="B25" s="261" t="s">
        <v>1321</v>
      </c>
      <c r="C25" s="258">
        <v>4380</v>
      </c>
      <c r="D25" s="258">
        <f>'mor. Mea.'!H100</f>
        <v>0</v>
      </c>
      <c r="E25" s="259">
        <f t="shared" si="0"/>
        <v>4380</v>
      </c>
      <c r="F25" s="260">
        <f t="shared" si="0"/>
        <v>0</v>
      </c>
    </row>
    <row r="26" spans="1:6" s="245" customFormat="1">
      <c r="A26" s="254">
        <v>9</v>
      </c>
      <c r="B26" s="261" t="s">
        <v>1322</v>
      </c>
      <c r="C26" s="258">
        <v>18815</v>
      </c>
      <c r="D26" s="258">
        <f>'mor. Mea.'!H125</f>
        <v>0</v>
      </c>
      <c r="E26" s="259">
        <f t="shared" si="0"/>
        <v>18815</v>
      </c>
      <c r="F26" s="260">
        <f t="shared" si="0"/>
        <v>0</v>
      </c>
    </row>
    <row r="27" spans="1:6" s="245" customFormat="1">
      <c r="A27" s="254">
        <v>10</v>
      </c>
      <c r="B27" s="261" t="s">
        <v>1323</v>
      </c>
      <c r="C27" s="258">
        <v>0</v>
      </c>
      <c r="D27" s="258">
        <f>'mor. Mea.'!H168</f>
        <v>0</v>
      </c>
      <c r="E27" s="259">
        <f t="shared" si="0"/>
        <v>0</v>
      </c>
      <c r="F27" s="260">
        <f t="shared" si="0"/>
        <v>0</v>
      </c>
    </row>
    <row r="28" spans="1:6" s="245" customFormat="1">
      <c r="A28" s="254"/>
      <c r="B28" s="417" t="s">
        <v>1324</v>
      </c>
      <c r="C28" s="258">
        <f>SUM(C18:C27)</f>
        <v>286120.2</v>
      </c>
      <c r="D28" s="258">
        <f>SUM(D18:D27)</f>
        <v>82345.108399999997</v>
      </c>
      <c r="E28" s="259">
        <f>SUM(E17:E27)</f>
        <v>286120.2</v>
      </c>
      <c r="F28" s="260">
        <f>SUM(F18:F27)</f>
        <v>82345.108399999997</v>
      </c>
    </row>
    <row r="29" spans="1:6" s="245" customFormat="1" ht="13.5" thickBot="1">
      <c r="A29" s="264"/>
      <c r="B29" s="420" t="s">
        <v>1325</v>
      </c>
      <c r="C29" s="266">
        <f>C16+C28</f>
        <v>490818.2</v>
      </c>
      <c r="D29" s="266">
        <f>D16+D28</f>
        <v>110891.594</v>
      </c>
      <c r="E29" s="273">
        <f>E16+E28</f>
        <v>490818.2</v>
      </c>
      <c r="F29" s="267">
        <f>F16+F28</f>
        <v>110891.594</v>
      </c>
    </row>
    <row r="30" spans="1:6" s="245" customFormat="1" ht="13.5" thickTop="1"/>
    <row r="31" spans="1:6" s="245" customFormat="1">
      <c r="A31" s="268"/>
      <c r="B31" s="268"/>
      <c r="C31" s="268"/>
      <c r="D31" s="268"/>
      <c r="E31" s="268"/>
    </row>
    <row r="32" spans="1:6" s="245" customFormat="1">
      <c r="A32" s="2338"/>
      <c r="B32" s="2338"/>
      <c r="C32" s="2338"/>
      <c r="D32" s="2338"/>
      <c r="E32" s="2338"/>
      <c r="F32" s="2338"/>
    </row>
    <row r="33" spans="1:6" s="245" customFormat="1">
      <c r="A33" s="268" t="s">
        <v>1326</v>
      </c>
      <c r="B33" s="268"/>
      <c r="C33" s="268"/>
      <c r="D33" s="268"/>
      <c r="E33" s="268"/>
    </row>
    <row r="34" spans="1:6" s="245" customFormat="1">
      <c r="A34" s="268" t="s">
        <v>1622</v>
      </c>
      <c r="B34" s="268"/>
      <c r="C34" s="268"/>
      <c r="D34" s="270"/>
      <c r="E34" s="268"/>
    </row>
    <row r="35" spans="1:6" s="245" customFormat="1">
      <c r="A35" s="268"/>
      <c r="B35" s="268"/>
      <c r="C35" s="268"/>
      <c r="D35" s="270"/>
      <c r="E35" s="268"/>
    </row>
    <row r="36" spans="1:6" s="245" customFormat="1">
      <c r="A36" s="268"/>
      <c r="B36" s="268"/>
      <c r="C36" s="268"/>
      <c r="D36" s="270"/>
      <c r="E36" s="268"/>
    </row>
    <row r="37" spans="1:6" s="245" customFormat="1">
      <c r="A37" s="268"/>
      <c r="B37" s="268"/>
      <c r="C37" s="268"/>
      <c r="D37" s="270"/>
      <c r="E37" s="268"/>
    </row>
    <row r="38" spans="1:6" s="245" customFormat="1">
      <c r="A38" s="268"/>
      <c r="B38" s="268"/>
      <c r="C38" s="268"/>
      <c r="D38" s="270"/>
      <c r="E38" s="268"/>
    </row>
    <row r="39" spans="1:6" s="245" customFormat="1">
      <c r="A39" s="268"/>
      <c r="B39" s="268"/>
      <c r="C39" s="268"/>
      <c r="D39" s="270"/>
      <c r="E39" s="268"/>
    </row>
    <row r="40" spans="1:6" s="245" customFormat="1">
      <c r="A40" s="268"/>
      <c r="B40" s="268"/>
      <c r="C40" s="268"/>
      <c r="D40" s="270"/>
      <c r="E40" s="268"/>
    </row>
    <row r="41" spans="1:6" s="245" customFormat="1"/>
    <row r="42" spans="1:6" s="245" customFormat="1"/>
    <row r="43" spans="1:6" s="245" customFormat="1"/>
    <row r="44" spans="1:6" s="245" customFormat="1">
      <c r="A44" s="271" t="s">
        <v>1327</v>
      </c>
      <c r="B44" s="271"/>
      <c r="C44" s="2339"/>
      <c r="D44" s="2339"/>
      <c r="E44" s="2339" t="s">
        <v>1329</v>
      </c>
      <c r="F44" s="2339"/>
    </row>
  </sheetData>
  <mergeCells count="9">
    <mergeCell ref="A32:F32"/>
    <mergeCell ref="C44:D44"/>
    <mergeCell ref="E44:F44"/>
    <mergeCell ref="A1:F1"/>
    <mergeCell ref="B8:E8"/>
    <mergeCell ref="A9:A11"/>
    <mergeCell ref="B9:B11"/>
    <mergeCell ref="C9:D9"/>
    <mergeCell ref="E9:F9"/>
  </mergeCells>
  <pageMargins left="0.7" right="0.7" top="0.75" bottom="0.75" header="0.3" footer="0.3"/>
  <pageSetup scale="98"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0000"/>
  </sheetPr>
  <dimension ref="A1:R169"/>
  <sheetViews>
    <sheetView view="pageBreakPreview" topLeftCell="A15" zoomScaleSheetLayoutView="100" zoomScalePageLayoutView="85" workbookViewId="0">
      <selection activeCell="G24" sqref="G24"/>
    </sheetView>
  </sheetViews>
  <sheetFormatPr defaultRowHeight="18.75"/>
  <cols>
    <col min="1" max="1" width="7.140625" style="1371" customWidth="1"/>
    <col min="2" max="2" width="70.42578125" style="1371" customWidth="1"/>
    <col min="3" max="3" width="7.5703125" style="1371" customWidth="1"/>
    <col min="4" max="4" width="11.7109375" style="1371" customWidth="1"/>
    <col min="5" max="5" width="14.42578125" style="1371" customWidth="1"/>
    <col min="6" max="6" width="15.140625" style="1371" customWidth="1"/>
    <col min="7" max="7" width="14.42578125" style="1371" customWidth="1"/>
    <col min="8" max="8" width="15.7109375" style="1376" customWidth="1"/>
    <col min="9" max="9" width="4.42578125" style="1380" customWidth="1"/>
    <col min="10" max="256" width="9.140625" style="1380"/>
    <col min="257" max="257" width="5.7109375" style="1380" customWidth="1"/>
    <col min="258" max="258" width="45.5703125" style="1380" customWidth="1"/>
    <col min="259" max="259" width="6" style="1380" customWidth="1"/>
    <col min="260" max="260" width="10.140625" style="1380" customWidth="1"/>
    <col min="261" max="261" width="13.140625" style="1380" customWidth="1"/>
    <col min="262" max="262" width="11.7109375" style="1380" customWidth="1"/>
    <col min="263" max="263" width="12.42578125" style="1380" customWidth="1"/>
    <col min="264" max="264" width="15.140625" style="1380" customWidth="1"/>
    <col min="265" max="512" width="9.140625" style="1380"/>
    <col min="513" max="513" width="5.7109375" style="1380" customWidth="1"/>
    <col min="514" max="514" width="45.5703125" style="1380" customWidth="1"/>
    <col min="515" max="515" width="6" style="1380" customWidth="1"/>
    <col min="516" max="516" width="10.140625" style="1380" customWidth="1"/>
    <col min="517" max="517" width="13.140625" style="1380" customWidth="1"/>
    <col min="518" max="518" width="11.7109375" style="1380" customWidth="1"/>
    <col min="519" max="519" width="12.42578125" style="1380" customWidth="1"/>
    <col min="520" max="520" width="15.140625" style="1380" customWidth="1"/>
    <col min="521" max="768" width="9.140625" style="1380"/>
    <col min="769" max="769" width="5.7109375" style="1380" customWidth="1"/>
    <col min="770" max="770" width="45.5703125" style="1380" customWidth="1"/>
    <col min="771" max="771" width="6" style="1380" customWidth="1"/>
    <col min="772" max="772" width="10.140625" style="1380" customWidth="1"/>
    <col min="773" max="773" width="13.140625" style="1380" customWidth="1"/>
    <col min="774" max="774" width="11.7109375" style="1380" customWidth="1"/>
    <col min="775" max="775" width="12.42578125" style="1380" customWidth="1"/>
    <col min="776" max="776" width="15.140625" style="1380" customWidth="1"/>
    <col min="777" max="1024" width="9.140625" style="1380"/>
    <col min="1025" max="1025" width="5.7109375" style="1380" customWidth="1"/>
    <col min="1026" max="1026" width="45.5703125" style="1380" customWidth="1"/>
    <col min="1027" max="1027" width="6" style="1380" customWidth="1"/>
    <col min="1028" max="1028" width="10.140625" style="1380" customWidth="1"/>
    <col min="1029" max="1029" width="13.140625" style="1380" customWidth="1"/>
    <col min="1030" max="1030" width="11.7109375" style="1380" customWidth="1"/>
    <col min="1031" max="1031" width="12.42578125" style="1380" customWidth="1"/>
    <col min="1032" max="1032" width="15.140625" style="1380" customWidth="1"/>
    <col min="1033" max="1280" width="9.140625" style="1380"/>
    <col min="1281" max="1281" width="5.7109375" style="1380" customWidth="1"/>
    <col min="1282" max="1282" width="45.5703125" style="1380" customWidth="1"/>
    <col min="1283" max="1283" width="6" style="1380" customWidth="1"/>
    <col min="1284" max="1284" width="10.140625" style="1380" customWidth="1"/>
    <col min="1285" max="1285" width="13.140625" style="1380" customWidth="1"/>
    <col min="1286" max="1286" width="11.7109375" style="1380" customWidth="1"/>
    <col min="1287" max="1287" width="12.42578125" style="1380" customWidth="1"/>
    <col min="1288" max="1288" width="15.140625" style="1380" customWidth="1"/>
    <col min="1289" max="1536" width="9.140625" style="1380"/>
    <col min="1537" max="1537" width="5.7109375" style="1380" customWidth="1"/>
    <col min="1538" max="1538" width="45.5703125" style="1380" customWidth="1"/>
    <col min="1539" max="1539" width="6" style="1380" customWidth="1"/>
    <col min="1540" max="1540" width="10.140625" style="1380" customWidth="1"/>
    <col min="1541" max="1541" width="13.140625" style="1380" customWidth="1"/>
    <col min="1542" max="1542" width="11.7109375" style="1380" customWidth="1"/>
    <col min="1543" max="1543" width="12.42578125" style="1380" customWidth="1"/>
    <col min="1544" max="1544" width="15.140625" style="1380" customWidth="1"/>
    <col min="1545" max="1792" width="9.140625" style="1380"/>
    <col min="1793" max="1793" width="5.7109375" style="1380" customWidth="1"/>
    <col min="1794" max="1794" width="45.5703125" style="1380" customWidth="1"/>
    <col min="1795" max="1795" width="6" style="1380" customWidth="1"/>
    <col min="1796" max="1796" width="10.140625" style="1380" customWidth="1"/>
    <col min="1797" max="1797" width="13.140625" style="1380" customWidth="1"/>
    <col min="1798" max="1798" width="11.7109375" style="1380" customWidth="1"/>
    <col min="1799" max="1799" width="12.42578125" style="1380" customWidth="1"/>
    <col min="1800" max="1800" width="15.140625" style="1380" customWidth="1"/>
    <col min="1801" max="2048" width="9.140625" style="1380"/>
    <col min="2049" max="2049" width="5.7109375" style="1380" customWidth="1"/>
    <col min="2050" max="2050" width="45.5703125" style="1380" customWidth="1"/>
    <col min="2051" max="2051" width="6" style="1380" customWidth="1"/>
    <col min="2052" max="2052" width="10.140625" style="1380" customWidth="1"/>
    <col min="2053" max="2053" width="13.140625" style="1380" customWidth="1"/>
    <col min="2054" max="2054" width="11.7109375" style="1380" customWidth="1"/>
    <col min="2055" max="2055" width="12.42578125" style="1380" customWidth="1"/>
    <col min="2056" max="2056" width="15.140625" style="1380" customWidth="1"/>
    <col min="2057" max="2304" width="9.140625" style="1380"/>
    <col min="2305" max="2305" width="5.7109375" style="1380" customWidth="1"/>
    <col min="2306" max="2306" width="45.5703125" style="1380" customWidth="1"/>
    <col min="2307" max="2307" width="6" style="1380" customWidth="1"/>
    <col min="2308" max="2308" width="10.140625" style="1380" customWidth="1"/>
    <col min="2309" max="2309" width="13.140625" style="1380" customWidth="1"/>
    <col min="2310" max="2310" width="11.7109375" style="1380" customWidth="1"/>
    <col min="2311" max="2311" width="12.42578125" style="1380" customWidth="1"/>
    <col min="2312" max="2312" width="15.140625" style="1380" customWidth="1"/>
    <col min="2313" max="2560" width="9.140625" style="1380"/>
    <col min="2561" max="2561" width="5.7109375" style="1380" customWidth="1"/>
    <col min="2562" max="2562" width="45.5703125" style="1380" customWidth="1"/>
    <col min="2563" max="2563" width="6" style="1380" customWidth="1"/>
    <col min="2564" max="2564" width="10.140625" style="1380" customWidth="1"/>
    <col min="2565" max="2565" width="13.140625" style="1380" customWidth="1"/>
    <col min="2566" max="2566" width="11.7109375" style="1380" customWidth="1"/>
    <col min="2567" max="2567" width="12.42578125" style="1380" customWidth="1"/>
    <col min="2568" max="2568" width="15.140625" style="1380" customWidth="1"/>
    <col min="2569" max="2816" width="9.140625" style="1380"/>
    <col min="2817" max="2817" width="5.7109375" style="1380" customWidth="1"/>
    <col min="2818" max="2818" width="45.5703125" style="1380" customWidth="1"/>
    <col min="2819" max="2819" width="6" style="1380" customWidth="1"/>
    <col min="2820" max="2820" width="10.140625" style="1380" customWidth="1"/>
    <col min="2821" max="2821" width="13.140625" style="1380" customWidth="1"/>
    <col min="2822" max="2822" width="11.7109375" style="1380" customWidth="1"/>
    <col min="2823" max="2823" width="12.42578125" style="1380" customWidth="1"/>
    <col min="2824" max="2824" width="15.140625" style="1380" customWidth="1"/>
    <col min="2825" max="3072" width="9.140625" style="1380"/>
    <col min="3073" max="3073" width="5.7109375" style="1380" customWidth="1"/>
    <col min="3074" max="3074" width="45.5703125" style="1380" customWidth="1"/>
    <col min="3075" max="3075" width="6" style="1380" customWidth="1"/>
    <col min="3076" max="3076" width="10.140625" style="1380" customWidth="1"/>
    <col min="3077" max="3077" width="13.140625" style="1380" customWidth="1"/>
    <col min="3078" max="3078" width="11.7109375" style="1380" customWidth="1"/>
    <col min="3079" max="3079" width="12.42578125" style="1380" customWidth="1"/>
    <col min="3080" max="3080" width="15.140625" style="1380" customWidth="1"/>
    <col min="3081" max="3328" width="9.140625" style="1380"/>
    <col min="3329" max="3329" width="5.7109375" style="1380" customWidth="1"/>
    <col min="3330" max="3330" width="45.5703125" style="1380" customWidth="1"/>
    <col min="3331" max="3331" width="6" style="1380" customWidth="1"/>
    <col min="3332" max="3332" width="10.140625" style="1380" customWidth="1"/>
    <col min="3333" max="3333" width="13.140625" style="1380" customWidth="1"/>
    <col min="3334" max="3334" width="11.7109375" style="1380" customWidth="1"/>
    <col min="3335" max="3335" width="12.42578125" style="1380" customWidth="1"/>
    <col min="3336" max="3336" width="15.140625" style="1380" customWidth="1"/>
    <col min="3337" max="3584" width="9.140625" style="1380"/>
    <col min="3585" max="3585" width="5.7109375" style="1380" customWidth="1"/>
    <col min="3586" max="3586" width="45.5703125" style="1380" customWidth="1"/>
    <col min="3587" max="3587" width="6" style="1380" customWidth="1"/>
    <col min="3588" max="3588" width="10.140625" style="1380" customWidth="1"/>
    <col min="3589" max="3589" width="13.140625" style="1380" customWidth="1"/>
    <col min="3590" max="3590" width="11.7109375" style="1380" customWidth="1"/>
    <col min="3591" max="3591" width="12.42578125" style="1380" customWidth="1"/>
    <col min="3592" max="3592" width="15.140625" style="1380" customWidth="1"/>
    <col min="3593" max="3840" width="9.140625" style="1380"/>
    <col min="3841" max="3841" width="5.7109375" style="1380" customWidth="1"/>
    <col min="3842" max="3842" width="45.5703125" style="1380" customWidth="1"/>
    <col min="3843" max="3843" width="6" style="1380" customWidth="1"/>
    <col min="3844" max="3844" width="10.140625" style="1380" customWidth="1"/>
    <col min="3845" max="3845" width="13.140625" style="1380" customWidth="1"/>
    <col min="3846" max="3846" width="11.7109375" style="1380" customWidth="1"/>
    <col min="3847" max="3847" width="12.42578125" style="1380" customWidth="1"/>
    <col min="3848" max="3848" width="15.140625" style="1380" customWidth="1"/>
    <col min="3849" max="4096" width="9.140625" style="1380"/>
    <col min="4097" max="4097" width="5.7109375" style="1380" customWidth="1"/>
    <col min="4098" max="4098" width="45.5703125" style="1380" customWidth="1"/>
    <col min="4099" max="4099" width="6" style="1380" customWidth="1"/>
    <col min="4100" max="4100" width="10.140625" style="1380" customWidth="1"/>
    <col min="4101" max="4101" width="13.140625" style="1380" customWidth="1"/>
    <col min="4102" max="4102" width="11.7109375" style="1380" customWidth="1"/>
    <col min="4103" max="4103" width="12.42578125" style="1380" customWidth="1"/>
    <col min="4104" max="4104" width="15.140625" style="1380" customWidth="1"/>
    <col min="4105" max="4352" width="9.140625" style="1380"/>
    <col min="4353" max="4353" width="5.7109375" style="1380" customWidth="1"/>
    <col min="4354" max="4354" width="45.5703125" style="1380" customWidth="1"/>
    <col min="4355" max="4355" width="6" style="1380" customWidth="1"/>
    <col min="4356" max="4356" width="10.140625" style="1380" customWidth="1"/>
    <col min="4357" max="4357" width="13.140625" style="1380" customWidth="1"/>
    <col min="4358" max="4358" width="11.7109375" style="1380" customWidth="1"/>
    <col min="4359" max="4359" width="12.42578125" style="1380" customWidth="1"/>
    <col min="4360" max="4360" width="15.140625" style="1380" customWidth="1"/>
    <col min="4361" max="4608" width="9.140625" style="1380"/>
    <col min="4609" max="4609" width="5.7109375" style="1380" customWidth="1"/>
    <col min="4610" max="4610" width="45.5703125" style="1380" customWidth="1"/>
    <col min="4611" max="4611" width="6" style="1380" customWidth="1"/>
    <col min="4612" max="4612" width="10.140625" style="1380" customWidth="1"/>
    <col min="4613" max="4613" width="13.140625" style="1380" customWidth="1"/>
    <col min="4614" max="4614" width="11.7109375" style="1380" customWidth="1"/>
    <col min="4615" max="4615" width="12.42578125" style="1380" customWidth="1"/>
    <col min="4616" max="4616" width="15.140625" style="1380" customWidth="1"/>
    <col min="4617" max="4864" width="9.140625" style="1380"/>
    <col min="4865" max="4865" width="5.7109375" style="1380" customWidth="1"/>
    <col min="4866" max="4866" width="45.5703125" style="1380" customWidth="1"/>
    <col min="4867" max="4867" width="6" style="1380" customWidth="1"/>
    <col min="4868" max="4868" width="10.140625" style="1380" customWidth="1"/>
    <col min="4869" max="4869" width="13.140625" style="1380" customWidth="1"/>
    <col min="4870" max="4870" width="11.7109375" style="1380" customWidth="1"/>
    <col min="4871" max="4871" width="12.42578125" style="1380" customWidth="1"/>
    <col min="4872" max="4872" width="15.140625" style="1380" customWidth="1"/>
    <col min="4873" max="5120" width="9.140625" style="1380"/>
    <col min="5121" max="5121" width="5.7109375" style="1380" customWidth="1"/>
    <col min="5122" max="5122" width="45.5703125" style="1380" customWidth="1"/>
    <col min="5123" max="5123" width="6" style="1380" customWidth="1"/>
    <col min="5124" max="5124" width="10.140625" style="1380" customWidth="1"/>
    <col min="5125" max="5125" width="13.140625" style="1380" customWidth="1"/>
    <col min="5126" max="5126" width="11.7109375" style="1380" customWidth="1"/>
    <col min="5127" max="5127" width="12.42578125" style="1380" customWidth="1"/>
    <col min="5128" max="5128" width="15.140625" style="1380" customWidth="1"/>
    <col min="5129" max="5376" width="9.140625" style="1380"/>
    <col min="5377" max="5377" width="5.7109375" style="1380" customWidth="1"/>
    <col min="5378" max="5378" width="45.5703125" style="1380" customWidth="1"/>
    <col min="5379" max="5379" width="6" style="1380" customWidth="1"/>
    <col min="5380" max="5380" width="10.140625" style="1380" customWidth="1"/>
    <col min="5381" max="5381" width="13.140625" style="1380" customWidth="1"/>
    <col min="5382" max="5382" width="11.7109375" style="1380" customWidth="1"/>
    <col min="5383" max="5383" width="12.42578125" style="1380" customWidth="1"/>
    <col min="5384" max="5384" width="15.140625" style="1380" customWidth="1"/>
    <col min="5385" max="5632" width="9.140625" style="1380"/>
    <col min="5633" max="5633" width="5.7109375" style="1380" customWidth="1"/>
    <col min="5634" max="5634" width="45.5703125" style="1380" customWidth="1"/>
    <col min="5635" max="5635" width="6" style="1380" customWidth="1"/>
    <col min="5636" max="5636" width="10.140625" style="1380" customWidth="1"/>
    <col min="5637" max="5637" width="13.140625" style="1380" customWidth="1"/>
    <col min="5638" max="5638" width="11.7109375" style="1380" customWidth="1"/>
    <col min="5639" max="5639" width="12.42578125" style="1380" customWidth="1"/>
    <col min="5640" max="5640" width="15.140625" style="1380" customWidth="1"/>
    <col min="5641" max="5888" width="9.140625" style="1380"/>
    <col min="5889" max="5889" width="5.7109375" style="1380" customWidth="1"/>
    <col min="5890" max="5890" width="45.5703125" style="1380" customWidth="1"/>
    <col min="5891" max="5891" width="6" style="1380" customWidth="1"/>
    <col min="5892" max="5892" width="10.140625" style="1380" customWidth="1"/>
    <col min="5893" max="5893" width="13.140625" style="1380" customWidth="1"/>
    <col min="5894" max="5894" width="11.7109375" style="1380" customWidth="1"/>
    <col min="5895" max="5895" width="12.42578125" style="1380" customWidth="1"/>
    <col min="5896" max="5896" width="15.140625" style="1380" customWidth="1"/>
    <col min="5897" max="6144" width="9.140625" style="1380"/>
    <col min="6145" max="6145" width="5.7109375" style="1380" customWidth="1"/>
    <col min="6146" max="6146" width="45.5703125" style="1380" customWidth="1"/>
    <col min="6147" max="6147" width="6" style="1380" customWidth="1"/>
    <col min="6148" max="6148" width="10.140625" style="1380" customWidth="1"/>
    <col min="6149" max="6149" width="13.140625" style="1380" customWidth="1"/>
    <col min="6150" max="6150" width="11.7109375" style="1380" customWidth="1"/>
    <col min="6151" max="6151" width="12.42578125" style="1380" customWidth="1"/>
    <col min="6152" max="6152" width="15.140625" style="1380" customWidth="1"/>
    <col min="6153" max="6400" width="9.140625" style="1380"/>
    <col min="6401" max="6401" width="5.7109375" style="1380" customWidth="1"/>
    <col min="6402" max="6402" width="45.5703125" style="1380" customWidth="1"/>
    <col min="6403" max="6403" width="6" style="1380" customWidth="1"/>
    <col min="6404" max="6404" width="10.140625" style="1380" customWidth="1"/>
    <col min="6405" max="6405" width="13.140625" style="1380" customWidth="1"/>
    <col min="6406" max="6406" width="11.7109375" style="1380" customWidth="1"/>
    <col min="6407" max="6407" width="12.42578125" style="1380" customWidth="1"/>
    <col min="6408" max="6408" width="15.140625" style="1380" customWidth="1"/>
    <col min="6409" max="6656" width="9.140625" style="1380"/>
    <col min="6657" max="6657" width="5.7109375" style="1380" customWidth="1"/>
    <col min="6658" max="6658" width="45.5703125" style="1380" customWidth="1"/>
    <col min="6659" max="6659" width="6" style="1380" customWidth="1"/>
    <col min="6660" max="6660" width="10.140625" style="1380" customWidth="1"/>
    <col min="6661" max="6661" width="13.140625" style="1380" customWidth="1"/>
    <col min="6662" max="6662" width="11.7109375" style="1380" customWidth="1"/>
    <col min="6663" max="6663" width="12.42578125" style="1380" customWidth="1"/>
    <col min="6664" max="6664" width="15.140625" style="1380" customWidth="1"/>
    <col min="6665" max="6912" width="9.140625" style="1380"/>
    <col min="6913" max="6913" width="5.7109375" style="1380" customWidth="1"/>
    <col min="6914" max="6914" width="45.5703125" style="1380" customWidth="1"/>
    <col min="6915" max="6915" width="6" style="1380" customWidth="1"/>
    <col min="6916" max="6916" width="10.140625" style="1380" customWidth="1"/>
    <col min="6917" max="6917" width="13.140625" style="1380" customWidth="1"/>
    <col min="6918" max="6918" width="11.7109375" style="1380" customWidth="1"/>
    <col min="6919" max="6919" width="12.42578125" style="1380" customWidth="1"/>
    <col min="6920" max="6920" width="15.140625" style="1380" customWidth="1"/>
    <col min="6921" max="7168" width="9.140625" style="1380"/>
    <col min="7169" max="7169" width="5.7109375" style="1380" customWidth="1"/>
    <col min="7170" max="7170" width="45.5703125" style="1380" customWidth="1"/>
    <col min="7171" max="7171" width="6" style="1380" customWidth="1"/>
    <col min="7172" max="7172" width="10.140625" style="1380" customWidth="1"/>
    <col min="7173" max="7173" width="13.140625" style="1380" customWidth="1"/>
    <col min="7174" max="7174" width="11.7109375" style="1380" customWidth="1"/>
    <col min="7175" max="7175" width="12.42578125" style="1380" customWidth="1"/>
    <col min="7176" max="7176" width="15.140625" style="1380" customWidth="1"/>
    <col min="7177" max="7424" width="9.140625" style="1380"/>
    <col min="7425" max="7425" width="5.7109375" style="1380" customWidth="1"/>
    <col min="7426" max="7426" width="45.5703125" style="1380" customWidth="1"/>
    <col min="7427" max="7427" width="6" style="1380" customWidth="1"/>
    <col min="7428" max="7428" width="10.140625" style="1380" customWidth="1"/>
    <col min="7429" max="7429" width="13.140625" style="1380" customWidth="1"/>
    <col min="7430" max="7430" width="11.7109375" style="1380" customWidth="1"/>
    <col min="7431" max="7431" width="12.42578125" style="1380" customWidth="1"/>
    <col min="7432" max="7432" width="15.140625" style="1380" customWidth="1"/>
    <col min="7433" max="7680" width="9.140625" style="1380"/>
    <col min="7681" max="7681" width="5.7109375" style="1380" customWidth="1"/>
    <col min="7682" max="7682" width="45.5703125" style="1380" customWidth="1"/>
    <col min="7683" max="7683" width="6" style="1380" customWidth="1"/>
    <col min="7684" max="7684" width="10.140625" style="1380" customWidth="1"/>
    <col min="7685" max="7685" width="13.140625" style="1380" customWidth="1"/>
    <col min="7686" max="7686" width="11.7109375" style="1380" customWidth="1"/>
    <col min="7687" max="7687" width="12.42578125" style="1380" customWidth="1"/>
    <col min="7688" max="7688" width="15.140625" style="1380" customWidth="1"/>
    <col min="7689" max="7936" width="9.140625" style="1380"/>
    <col min="7937" max="7937" width="5.7109375" style="1380" customWidth="1"/>
    <col min="7938" max="7938" width="45.5703125" style="1380" customWidth="1"/>
    <col min="7939" max="7939" width="6" style="1380" customWidth="1"/>
    <col min="7940" max="7940" width="10.140625" style="1380" customWidth="1"/>
    <col min="7941" max="7941" width="13.140625" style="1380" customWidth="1"/>
    <col min="7942" max="7942" width="11.7109375" style="1380" customWidth="1"/>
    <col min="7943" max="7943" width="12.42578125" style="1380" customWidth="1"/>
    <col min="7944" max="7944" width="15.140625" style="1380" customWidth="1"/>
    <col min="7945" max="8192" width="9.140625" style="1380"/>
    <col min="8193" max="8193" width="5.7109375" style="1380" customWidth="1"/>
    <col min="8194" max="8194" width="45.5703125" style="1380" customWidth="1"/>
    <col min="8195" max="8195" width="6" style="1380" customWidth="1"/>
    <col min="8196" max="8196" width="10.140625" style="1380" customWidth="1"/>
    <col min="8197" max="8197" width="13.140625" style="1380" customWidth="1"/>
    <col min="8198" max="8198" width="11.7109375" style="1380" customWidth="1"/>
    <col min="8199" max="8199" width="12.42578125" style="1380" customWidth="1"/>
    <col min="8200" max="8200" width="15.140625" style="1380" customWidth="1"/>
    <col min="8201" max="8448" width="9.140625" style="1380"/>
    <col min="8449" max="8449" width="5.7109375" style="1380" customWidth="1"/>
    <col min="8450" max="8450" width="45.5703125" style="1380" customWidth="1"/>
    <col min="8451" max="8451" width="6" style="1380" customWidth="1"/>
    <col min="8452" max="8452" width="10.140625" style="1380" customWidth="1"/>
    <col min="8453" max="8453" width="13.140625" style="1380" customWidth="1"/>
    <col min="8454" max="8454" width="11.7109375" style="1380" customWidth="1"/>
    <col min="8455" max="8455" width="12.42578125" style="1380" customWidth="1"/>
    <col min="8456" max="8456" width="15.140625" style="1380" customWidth="1"/>
    <col min="8457" max="8704" width="9.140625" style="1380"/>
    <col min="8705" max="8705" width="5.7109375" style="1380" customWidth="1"/>
    <col min="8706" max="8706" width="45.5703125" style="1380" customWidth="1"/>
    <col min="8707" max="8707" width="6" style="1380" customWidth="1"/>
    <col min="8708" max="8708" width="10.140625" style="1380" customWidth="1"/>
    <col min="8709" max="8709" width="13.140625" style="1380" customWidth="1"/>
    <col min="8710" max="8710" width="11.7109375" style="1380" customWidth="1"/>
    <col min="8711" max="8711" width="12.42578125" style="1380" customWidth="1"/>
    <col min="8712" max="8712" width="15.140625" style="1380" customWidth="1"/>
    <col min="8713" max="8960" width="9.140625" style="1380"/>
    <col min="8961" max="8961" width="5.7109375" style="1380" customWidth="1"/>
    <col min="8962" max="8962" width="45.5703125" style="1380" customWidth="1"/>
    <col min="8963" max="8963" width="6" style="1380" customWidth="1"/>
    <col min="8964" max="8964" width="10.140625" style="1380" customWidth="1"/>
    <col min="8965" max="8965" width="13.140625" style="1380" customWidth="1"/>
    <col min="8966" max="8966" width="11.7109375" style="1380" customWidth="1"/>
    <col min="8967" max="8967" width="12.42578125" style="1380" customWidth="1"/>
    <col min="8968" max="8968" width="15.140625" style="1380" customWidth="1"/>
    <col min="8969" max="9216" width="9.140625" style="1380"/>
    <col min="9217" max="9217" width="5.7109375" style="1380" customWidth="1"/>
    <col min="9218" max="9218" width="45.5703125" style="1380" customWidth="1"/>
    <col min="9219" max="9219" width="6" style="1380" customWidth="1"/>
    <col min="9220" max="9220" width="10.140625" style="1380" customWidth="1"/>
    <col min="9221" max="9221" width="13.140625" style="1380" customWidth="1"/>
    <col min="9222" max="9222" width="11.7109375" style="1380" customWidth="1"/>
    <col min="9223" max="9223" width="12.42578125" style="1380" customWidth="1"/>
    <col min="9224" max="9224" width="15.140625" style="1380" customWidth="1"/>
    <col min="9225" max="9472" width="9.140625" style="1380"/>
    <col min="9473" max="9473" width="5.7109375" style="1380" customWidth="1"/>
    <col min="9474" max="9474" width="45.5703125" style="1380" customWidth="1"/>
    <col min="9475" max="9475" width="6" style="1380" customWidth="1"/>
    <col min="9476" max="9476" width="10.140625" style="1380" customWidth="1"/>
    <col min="9477" max="9477" width="13.140625" style="1380" customWidth="1"/>
    <col min="9478" max="9478" width="11.7109375" style="1380" customWidth="1"/>
    <col min="9479" max="9479" width="12.42578125" style="1380" customWidth="1"/>
    <col min="9480" max="9480" width="15.140625" style="1380" customWidth="1"/>
    <col min="9481" max="9728" width="9.140625" style="1380"/>
    <col min="9729" max="9729" width="5.7109375" style="1380" customWidth="1"/>
    <col min="9730" max="9730" width="45.5703125" style="1380" customWidth="1"/>
    <col min="9731" max="9731" width="6" style="1380" customWidth="1"/>
    <col min="9732" max="9732" width="10.140625" style="1380" customWidth="1"/>
    <col min="9733" max="9733" width="13.140625" style="1380" customWidth="1"/>
    <col min="9734" max="9734" width="11.7109375" style="1380" customWidth="1"/>
    <col min="9735" max="9735" width="12.42578125" style="1380" customWidth="1"/>
    <col min="9736" max="9736" width="15.140625" style="1380" customWidth="1"/>
    <col min="9737" max="9984" width="9.140625" style="1380"/>
    <col min="9985" max="9985" width="5.7109375" style="1380" customWidth="1"/>
    <col min="9986" max="9986" width="45.5703125" style="1380" customWidth="1"/>
    <col min="9987" max="9987" width="6" style="1380" customWidth="1"/>
    <col min="9988" max="9988" width="10.140625" style="1380" customWidth="1"/>
    <col min="9989" max="9989" width="13.140625" style="1380" customWidth="1"/>
    <col min="9990" max="9990" width="11.7109375" style="1380" customWidth="1"/>
    <col min="9991" max="9991" width="12.42578125" style="1380" customWidth="1"/>
    <col min="9992" max="9992" width="15.140625" style="1380" customWidth="1"/>
    <col min="9993" max="10240" width="9.140625" style="1380"/>
    <col min="10241" max="10241" width="5.7109375" style="1380" customWidth="1"/>
    <col min="10242" max="10242" width="45.5703125" style="1380" customWidth="1"/>
    <col min="10243" max="10243" width="6" style="1380" customWidth="1"/>
    <col min="10244" max="10244" width="10.140625" style="1380" customWidth="1"/>
    <col min="10245" max="10245" width="13.140625" style="1380" customWidth="1"/>
    <col min="10246" max="10246" width="11.7109375" style="1380" customWidth="1"/>
    <col min="10247" max="10247" width="12.42578125" style="1380" customWidth="1"/>
    <col min="10248" max="10248" width="15.140625" style="1380" customWidth="1"/>
    <col min="10249" max="10496" width="9.140625" style="1380"/>
    <col min="10497" max="10497" width="5.7109375" style="1380" customWidth="1"/>
    <col min="10498" max="10498" width="45.5703125" style="1380" customWidth="1"/>
    <col min="10499" max="10499" width="6" style="1380" customWidth="1"/>
    <col min="10500" max="10500" width="10.140625" style="1380" customWidth="1"/>
    <col min="10501" max="10501" width="13.140625" style="1380" customWidth="1"/>
    <col min="10502" max="10502" width="11.7109375" style="1380" customWidth="1"/>
    <col min="10503" max="10503" width="12.42578125" style="1380" customWidth="1"/>
    <col min="10504" max="10504" width="15.140625" style="1380" customWidth="1"/>
    <col min="10505" max="10752" width="9.140625" style="1380"/>
    <col min="10753" max="10753" width="5.7109375" style="1380" customWidth="1"/>
    <col min="10754" max="10754" width="45.5703125" style="1380" customWidth="1"/>
    <col min="10755" max="10755" width="6" style="1380" customWidth="1"/>
    <col min="10756" max="10756" width="10.140625" style="1380" customWidth="1"/>
    <col min="10757" max="10757" width="13.140625" style="1380" customWidth="1"/>
    <col min="10758" max="10758" width="11.7109375" style="1380" customWidth="1"/>
    <col min="10759" max="10759" width="12.42578125" style="1380" customWidth="1"/>
    <col min="10760" max="10760" width="15.140625" style="1380" customWidth="1"/>
    <col min="10761" max="11008" width="9.140625" style="1380"/>
    <col min="11009" max="11009" width="5.7109375" style="1380" customWidth="1"/>
    <col min="11010" max="11010" width="45.5703125" style="1380" customWidth="1"/>
    <col min="11011" max="11011" width="6" style="1380" customWidth="1"/>
    <col min="11012" max="11012" width="10.140625" style="1380" customWidth="1"/>
    <col min="11013" max="11013" width="13.140625" style="1380" customWidth="1"/>
    <col min="11014" max="11014" width="11.7109375" style="1380" customWidth="1"/>
    <col min="11015" max="11015" width="12.42578125" style="1380" customWidth="1"/>
    <col min="11016" max="11016" width="15.140625" style="1380" customWidth="1"/>
    <col min="11017" max="11264" width="9.140625" style="1380"/>
    <col min="11265" max="11265" width="5.7109375" style="1380" customWidth="1"/>
    <col min="11266" max="11266" width="45.5703125" style="1380" customWidth="1"/>
    <col min="11267" max="11267" width="6" style="1380" customWidth="1"/>
    <col min="11268" max="11268" width="10.140625" style="1380" customWidth="1"/>
    <col min="11269" max="11269" width="13.140625" style="1380" customWidth="1"/>
    <col min="11270" max="11270" width="11.7109375" style="1380" customWidth="1"/>
    <col min="11271" max="11271" width="12.42578125" style="1380" customWidth="1"/>
    <col min="11272" max="11272" width="15.140625" style="1380" customWidth="1"/>
    <col min="11273" max="11520" width="9.140625" style="1380"/>
    <col min="11521" max="11521" width="5.7109375" style="1380" customWidth="1"/>
    <col min="11522" max="11522" width="45.5703125" style="1380" customWidth="1"/>
    <col min="11523" max="11523" width="6" style="1380" customWidth="1"/>
    <col min="11524" max="11524" width="10.140625" style="1380" customWidth="1"/>
    <col min="11525" max="11525" width="13.140625" style="1380" customWidth="1"/>
    <col min="11526" max="11526" width="11.7109375" style="1380" customWidth="1"/>
    <col min="11527" max="11527" width="12.42578125" style="1380" customWidth="1"/>
    <col min="11528" max="11528" width="15.140625" style="1380" customWidth="1"/>
    <col min="11529" max="11776" width="9.140625" style="1380"/>
    <col min="11777" max="11777" width="5.7109375" style="1380" customWidth="1"/>
    <col min="11778" max="11778" width="45.5703125" style="1380" customWidth="1"/>
    <col min="11779" max="11779" width="6" style="1380" customWidth="1"/>
    <col min="11780" max="11780" width="10.140625" style="1380" customWidth="1"/>
    <col min="11781" max="11781" width="13.140625" style="1380" customWidth="1"/>
    <col min="11782" max="11782" width="11.7109375" style="1380" customWidth="1"/>
    <col min="11783" max="11783" width="12.42578125" style="1380" customWidth="1"/>
    <col min="11784" max="11784" width="15.140625" style="1380" customWidth="1"/>
    <col min="11785" max="12032" width="9.140625" style="1380"/>
    <col min="12033" max="12033" width="5.7109375" style="1380" customWidth="1"/>
    <col min="12034" max="12034" width="45.5703125" style="1380" customWidth="1"/>
    <col min="12035" max="12035" width="6" style="1380" customWidth="1"/>
    <col min="12036" max="12036" width="10.140625" style="1380" customWidth="1"/>
    <col min="12037" max="12037" width="13.140625" style="1380" customWidth="1"/>
    <col min="12038" max="12038" width="11.7109375" style="1380" customWidth="1"/>
    <col min="12039" max="12039" width="12.42578125" style="1380" customWidth="1"/>
    <col min="12040" max="12040" width="15.140625" style="1380" customWidth="1"/>
    <col min="12041" max="12288" width="9.140625" style="1380"/>
    <col min="12289" max="12289" width="5.7109375" style="1380" customWidth="1"/>
    <col min="12290" max="12290" width="45.5703125" style="1380" customWidth="1"/>
    <col min="12291" max="12291" width="6" style="1380" customWidth="1"/>
    <col min="12292" max="12292" width="10.140625" style="1380" customWidth="1"/>
    <col min="12293" max="12293" width="13.140625" style="1380" customWidth="1"/>
    <col min="12294" max="12294" width="11.7109375" style="1380" customWidth="1"/>
    <col min="12295" max="12295" width="12.42578125" style="1380" customWidth="1"/>
    <col min="12296" max="12296" width="15.140625" style="1380" customWidth="1"/>
    <col min="12297" max="12544" width="9.140625" style="1380"/>
    <col min="12545" max="12545" width="5.7109375" style="1380" customWidth="1"/>
    <col min="12546" max="12546" width="45.5703125" style="1380" customWidth="1"/>
    <col min="12547" max="12547" width="6" style="1380" customWidth="1"/>
    <col min="12548" max="12548" width="10.140625" style="1380" customWidth="1"/>
    <col min="12549" max="12549" width="13.140625" style="1380" customWidth="1"/>
    <col min="12550" max="12550" width="11.7109375" style="1380" customWidth="1"/>
    <col min="12551" max="12551" width="12.42578125" style="1380" customWidth="1"/>
    <col min="12552" max="12552" width="15.140625" style="1380" customWidth="1"/>
    <col min="12553" max="12800" width="9.140625" style="1380"/>
    <col min="12801" max="12801" width="5.7109375" style="1380" customWidth="1"/>
    <col min="12802" max="12802" width="45.5703125" style="1380" customWidth="1"/>
    <col min="12803" max="12803" width="6" style="1380" customWidth="1"/>
    <col min="12804" max="12804" width="10.140625" style="1380" customWidth="1"/>
    <col min="12805" max="12805" width="13.140625" style="1380" customWidth="1"/>
    <col min="12806" max="12806" width="11.7109375" style="1380" customWidth="1"/>
    <col min="12807" max="12807" width="12.42578125" style="1380" customWidth="1"/>
    <col min="12808" max="12808" width="15.140625" style="1380" customWidth="1"/>
    <col min="12809" max="13056" width="9.140625" style="1380"/>
    <col min="13057" max="13057" width="5.7109375" style="1380" customWidth="1"/>
    <col min="13058" max="13058" width="45.5703125" style="1380" customWidth="1"/>
    <col min="13059" max="13059" width="6" style="1380" customWidth="1"/>
    <col min="13060" max="13060" width="10.140625" style="1380" customWidth="1"/>
    <col min="13061" max="13061" width="13.140625" style="1380" customWidth="1"/>
    <col min="13062" max="13062" width="11.7109375" style="1380" customWidth="1"/>
    <col min="13063" max="13063" width="12.42578125" style="1380" customWidth="1"/>
    <col min="13064" max="13064" width="15.140625" style="1380" customWidth="1"/>
    <col min="13065" max="13312" width="9.140625" style="1380"/>
    <col min="13313" max="13313" width="5.7109375" style="1380" customWidth="1"/>
    <col min="13314" max="13314" width="45.5703125" style="1380" customWidth="1"/>
    <col min="13315" max="13315" width="6" style="1380" customWidth="1"/>
    <col min="13316" max="13316" width="10.140625" style="1380" customWidth="1"/>
    <col min="13317" max="13317" width="13.140625" style="1380" customWidth="1"/>
    <col min="13318" max="13318" width="11.7109375" style="1380" customWidth="1"/>
    <col min="13319" max="13319" width="12.42578125" style="1380" customWidth="1"/>
    <col min="13320" max="13320" width="15.140625" style="1380" customWidth="1"/>
    <col min="13321" max="13568" width="9.140625" style="1380"/>
    <col min="13569" max="13569" width="5.7109375" style="1380" customWidth="1"/>
    <col min="13570" max="13570" width="45.5703125" style="1380" customWidth="1"/>
    <col min="13571" max="13571" width="6" style="1380" customWidth="1"/>
    <col min="13572" max="13572" width="10.140625" style="1380" customWidth="1"/>
    <col min="13573" max="13573" width="13.140625" style="1380" customWidth="1"/>
    <col min="13574" max="13574" width="11.7109375" style="1380" customWidth="1"/>
    <col min="13575" max="13575" width="12.42578125" style="1380" customWidth="1"/>
    <col min="13576" max="13576" width="15.140625" style="1380" customWidth="1"/>
    <col min="13577" max="13824" width="9.140625" style="1380"/>
    <col min="13825" max="13825" width="5.7109375" style="1380" customWidth="1"/>
    <col min="13826" max="13826" width="45.5703125" style="1380" customWidth="1"/>
    <col min="13827" max="13827" width="6" style="1380" customWidth="1"/>
    <col min="13828" max="13828" width="10.140625" style="1380" customWidth="1"/>
    <col min="13829" max="13829" width="13.140625" style="1380" customWidth="1"/>
    <col min="13830" max="13830" width="11.7109375" style="1380" customWidth="1"/>
    <col min="13831" max="13831" width="12.42578125" style="1380" customWidth="1"/>
    <col min="13832" max="13832" width="15.140625" style="1380" customWidth="1"/>
    <col min="13833" max="14080" width="9.140625" style="1380"/>
    <col min="14081" max="14081" width="5.7109375" style="1380" customWidth="1"/>
    <col min="14082" max="14082" width="45.5703125" style="1380" customWidth="1"/>
    <col min="14083" max="14083" width="6" style="1380" customWidth="1"/>
    <col min="14084" max="14084" width="10.140625" style="1380" customWidth="1"/>
    <col min="14085" max="14085" width="13.140625" style="1380" customWidth="1"/>
    <col min="14086" max="14086" width="11.7109375" style="1380" customWidth="1"/>
    <col min="14087" max="14087" width="12.42578125" style="1380" customWidth="1"/>
    <col min="14088" max="14088" width="15.140625" style="1380" customWidth="1"/>
    <col min="14089" max="14336" width="9.140625" style="1380"/>
    <col min="14337" max="14337" width="5.7109375" style="1380" customWidth="1"/>
    <col min="14338" max="14338" width="45.5703125" style="1380" customWidth="1"/>
    <col min="14339" max="14339" width="6" style="1380" customWidth="1"/>
    <col min="14340" max="14340" width="10.140625" style="1380" customWidth="1"/>
    <col min="14341" max="14341" width="13.140625" style="1380" customWidth="1"/>
    <col min="14342" max="14342" width="11.7109375" style="1380" customWidth="1"/>
    <col min="14343" max="14343" width="12.42578125" style="1380" customWidth="1"/>
    <col min="14344" max="14344" width="15.140625" style="1380" customWidth="1"/>
    <col min="14345" max="14592" width="9.140625" style="1380"/>
    <col min="14593" max="14593" width="5.7109375" style="1380" customWidth="1"/>
    <col min="14594" max="14594" width="45.5703125" style="1380" customWidth="1"/>
    <col min="14595" max="14595" width="6" style="1380" customWidth="1"/>
    <col min="14596" max="14596" width="10.140625" style="1380" customWidth="1"/>
    <col min="14597" max="14597" width="13.140625" style="1380" customWidth="1"/>
    <col min="14598" max="14598" width="11.7109375" style="1380" customWidth="1"/>
    <col min="14599" max="14599" width="12.42578125" style="1380" customWidth="1"/>
    <col min="14600" max="14600" width="15.140625" style="1380" customWidth="1"/>
    <col min="14601" max="14848" width="9.140625" style="1380"/>
    <col min="14849" max="14849" width="5.7109375" style="1380" customWidth="1"/>
    <col min="14850" max="14850" width="45.5703125" style="1380" customWidth="1"/>
    <col min="14851" max="14851" width="6" style="1380" customWidth="1"/>
    <col min="14852" max="14852" width="10.140625" style="1380" customWidth="1"/>
    <col min="14853" max="14853" width="13.140625" style="1380" customWidth="1"/>
    <col min="14854" max="14854" width="11.7109375" style="1380" customWidth="1"/>
    <col min="14855" max="14855" width="12.42578125" style="1380" customWidth="1"/>
    <col min="14856" max="14856" width="15.140625" style="1380" customWidth="1"/>
    <col min="14857" max="15104" width="9.140625" style="1380"/>
    <col min="15105" max="15105" width="5.7109375" style="1380" customWidth="1"/>
    <col min="15106" max="15106" width="45.5703125" style="1380" customWidth="1"/>
    <col min="15107" max="15107" width="6" style="1380" customWidth="1"/>
    <col min="15108" max="15108" width="10.140625" style="1380" customWidth="1"/>
    <col min="15109" max="15109" width="13.140625" style="1380" customWidth="1"/>
    <col min="15110" max="15110" width="11.7109375" style="1380" customWidth="1"/>
    <col min="15111" max="15111" width="12.42578125" style="1380" customWidth="1"/>
    <col min="15112" max="15112" width="15.140625" style="1380" customWidth="1"/>
    <col min="15113" max="15360" width="9.140625" style="1380"/>
    <col min="15361" max="15361" width="5.7109375" style="1380" customWidth="1"/>
    <col min="15362" max="15362" width="45.5703125" style="1380" customWidth="1"/>
    <col min="15363" max="15363" width="6" style="1380" customWidth="1"/>
    <col min="15364" max="15364" width="10.140625" style="1380" customWidth="1"/>
    <col min="15365" max="15365" width="13.140625" style="1380" customWidth="1"/>
    <col min="15366" max="15366" width="11.7109375" style="1380" customWidth="1"/>
    <col min="15367" max="15367" width="12.42578125" style="1380" customWidth="1"/>
    <col min="15368" max="15368" width="15.140625" style="1380" customWidth="1"/>
    <col min="15369" max="15616" width="9.140625" style="1380"/>
    <col min="15617" max="15617" width="5.7109375" style="1380" customWidth="1"/>
    <col min="15618" max="15618" width="45.5703125" style="1380" customWidth="1"/>
    <col min="15619" max="15619" width="6" style="1380" customWidth="1"/>
    <col min="15620" max="15620" width="10.140625" style="1380" customWidth="1"/>
    <col min="15621" max="15621" width="13.140625" style="1380" customWidth="1"/>
    <col min="15622" max="15622" width="11.7109375" style="1380" customWidth="1"/>
    <col min="15623" max="15623" width="12.42578125" style="1380" customWidth="1"/>
    <col min="15624" max="15624" width="15.140625" style="1380" customWidth="1"/>
    <col min="15625" max="15872" width="9.140625" style="1380"/>
    <col min="15873" max="15873" width="5.7109375" style="1380" customWidth="1"/>
    <col min="15874" max="15874" width="45.5703125" style="1380" customWidth="1"/>
    <col min="15875" max="15875" width="6" style="1380" customWidth="1"/>
    <col min="15876" max="15876" width="10.140625" style="1380" customWidth="1"/>
    <col min="15877" max="15877" width="13.140625" style="1380" customWidth="1"/>
    <col min="15878" max="15878" width="11.7109375" style="1380" customWidth="1"/>
    <col min="15879" max="15879" width="12.42578125" style="1380" customWidth="1"/>
    <col min="15880" max="15880" width="15.140625" style="1380" customWidth="1"/>
    <col min="15881" max="16128" width="9.140625" style="1380"/>
    <col min="16129" max="16129" width="5.7109375" style="1380" customWidth="1"/>
    <col min="16130" max="16130" width="45.5703125" style="1380" customWidth="1"/>
    <col min="16131" max="16131" width="6" style="1380" customWidth="1"/>
    <col min="16132" max="16132" width="10.140625" style="1380" customWidth="1"/>
    <col min="16133" max="16133" width="13.140625" style="1380" customWidth="1"/>
    <col min="16134" max="16134" width="11.7109375" style="1380" customWidth="1"/>
    <col min="16135" max="16135" width="12.42578125" style="1380" customWidth="1"/>
    <col min="16136" max="16136" width="15.140625" style="1380" customWidth="1"/>
    <col min="16137" max="16384" width="9.140625" style="1380"/>
  </cols>
  <sheetData>
    <row r="1" spans="1:18" s="511" customFormat="1">
      <c r="A1" s="1345" t="s">
        <v>1257</v>
      </c>
      <c r="C1" s="1345"/>
      <c r="D1" s="1345"/>
      <c r="E1" s="1345"/>
      <c r="F1" s="1345"/>
      <c r="G1" s="1345"/>
      <c r="I1" s="1377"/>
      <c r="J1" s="1377"/>
      <c r="P1" s="512"/>
      <c r="Q1" s="512"/>
    </row>
    <row r="2" spans="1:18" s="511" customFormat="1">
      <c r="A2" s="1345" t="s">
        <v>1208</v>
      </c>
      <c r="C2" s="1345"/>
      <c r="D2" s="1345"/>
      <c r="E2" s="1345"/>
      <c r="F2" s="1345" t="s">
        <v>1265</v>
      </c>
      <c r="G2" s="1345"/>
      <c r="P2" s="512"/>
      <c r="Q2" s="512"/>
    </row>
    <row r="3" spans="1:18" s="511" customFormat="1">
      <c r="A3" s="1345" t="s">
        <v>1258</v>
      </c>
      <c r="C3" s="1345"/>
      <c r="D3" s="1345"/>
      <c r="E3" s="1345"/>
      <c r="F3" s="1345" t="s">
        <v>3155</v>
      </c>
      <c r="G3" s="1345"/>
      <c r="I3" s="1345"/>
      <c r="P3" s="1378"/>
      <c r="Q3" s="1378"/>
    </row>
    <row r="4" spans="1:18" s="511" customFormat="1">
      <c r="A4" s="1345" t="s">
        <v>1209</v>
      </c>
      <c r="C4" s="1345"/>
      <c r="D4" s="1345"/>
      <c r="E4" s="1345"/>
      <c r="F4" s="1345"/>
      <c r="G4" s="1345"/>
      <c r="I4" s="1345"/>
      <c r="J4" s="1345"/>
      <c r="P4" s="512"/>
      <c r="Q4" s="512"/>
      <c r="R4" s="512"/>
    </row>
    <row r="5" spans="1:18" s="1379" customFormat="1">
      <c r="A5" s="2369" t="s">
        <v>1492</v>
      </c>
      <c r="B5" s="2369" t="s">
        <v>0</v>
      </c>
      <c r="C5" s="2371" t="s">
        <v>1491</v>
      </c>
      <c r="D5" s="2373" t="s">
        <v>1489</v>
      </c>
      <c r="E5" s="2374"/>
      <c r="F5" s="2375"/>
      <c r="G5" s="2373" t="s">
        <v>1494</v>
      </c>
      <c r="H5" s="2374"/>
    </row>
    <row r="6" spans="1:18" s="1379" customFormat="1">
      <c r="A6" s="2370"/>
      <c r="B6" s="2370"/>
      <c r="C6" s="2372"/>
      <c r="D6" s="1346" t="s">
        <v>1710</v>
      </c>
      <c r="E6" s="1346" t="s">
        <v>1488</v>
      </c>
      <c r="F6" s="1346" t="s">
        <v>1495</v>
      </c>
      <c r="G6" s="1346" t="s">
        <v>1487</v>
      </c>
      <c r="H6" s="1346" t="s">
        <v>1486</v>
      </c>
    </row>
    <row r="7" spans="1:18">
      <c r="A7" s="1347"/>
      <c r="B7" s="1348" t="s">
        <v>1485</v>
      </c>
      <c r="C7" s="1347"/>
      <c r="D7" s="1347"/>
      <c r="E7" s="1347"/>
      <c r="F7" s="1347"/>
      <c r="G7" s="1347"/>
      <c r="H7" s="1349"/>
    </row>
    <row r="8" spans="1:18">
      <c r="A8" s="1350"/>
      <c r="B8" s="1351" t="s">
        <v>1484</v>
      </c>
      <c r="C8" s="1350"/>
      <c r="D8" s="1350"/>
      <c r="E8" s="1350"/>
      <c r="F8" s="1350"/>
      <c r="G8" s="1350"/>
      <c r="H8" s="1352"/>
    </row>
    <row r="9" spans="1:18" ht="21">
      <c r="A9" s="1353">
        <v>1.1000000000000001</v>
      </c>
      <c r="B9" s="1354" t="s">
        <v>1483</v>
      </c>
      <c r="C9" s="1354" t="s">
        <v>3264</v>
      </c>
      <c r="D9" s="1354">
        <v>42</v>
      </c>
      <c r="E9" s="1354">
        <v>8</v>
      </c>
      <c r="F9" s="1354">
        <f>D9*E9</f>
        <v>336</v>
      </c>
      <c r="G9" s="1354">
        <f>'Mor. Sub TOS'!D13</f>
        <v>35.28</v>
      </c>
      <c r="H9" s="1355">
        <f>E9*G9</f>
        <v>282.24</v>
      </c>
    </row>
    <row r="10" spans="1:18" ht="21">
      <c r="A10" s="1356">
        <v>1.2</v>
      </c>
      <c r="B10" s="1357" t="s">
        <v>1482</v>
      </c>
      <c r="C10" s="1354" t="s">
        <v>3265</v>
      </c>
      <c r="D10" s="1354">
        <f>D9*1.5</f>
        <v>63</v>
      </c>
      <c r="E10" s="1354">
        <v>70</v>
      </c>
      <c r="F10" s="1354">
        <f t="shared" ref="F10:F69" si="0">D10*E10</f>
        <v>4410</v>
      </c>
      <c r="G10" s="1354">
        <f>'Mor. Sub TOS'!D18+'Mor. Sub TOS'!D29</f>
        <v>25.676000000000002</v>
      </c>
      <c r="H10" s="1355">
        <f t="shared" ref="H10:H69" si="1">E10*G10</f>
        <v>1797.3200000000002</v>
      </c>
    </row>
    <row r="11" spans="1:18" ht="21">
      <c r="A11" s="1356">
        <v>1.3</v>
      </c>
      <c r="B11" s="1357"/>
      <c r="C11" s="1354" t="s">
        <v>3265</v>
      </c>
      <c r="D11" s="1354">
        <f>D9*0.5</f>
        <v>21</v>
      </c>
      <c r="E11" s="1354">
        <v>70</v>
      </c>
      <c r="F11" s="1354">
        <f t="shared" si="0"/>
        <v>1470</v>
      </c>
      <c r="G11" s="1354">
        <f>'Mor. Sub TOS'!D29-'Mor. Sub TOS'!D34</f>
        <v>1.6960000000000002</v>
      </c>
      <c r="H11" s="1355">
        <f t="shared" si="1"/>
        <v>118.72000000000001</v>
      </c>
    </row>
    <row r="12" spans="1:18" ht="21">
      <c r="A12" s="1353">
        <v>1.3</v>
      </c>
      <c r="B12" s="1354" t="s">
        <v>1480</v>
      </c>
      <c r="C12" s="1354" t="s">
        <v>3265</v>
      </c>
      <c r="D12" s="1354">
        <f>D10+D11</f>
        <v>84</v>
      </c>
      <c r="E12" s="1354">
        <v>150</v>
      </c>
      <c r="F12" s="1354">
        <f t="shared" si="0"/>
        <v>12600</v>
      </c>
      <c r="G12" s="1354">
        <f>'Mor. Sub TOS'!D34</f>
        <v>1.04</v>
      </c>
      <c r="H12" s="1355">
        <f t="shared" si="1"/>
        <v>156</v>
      </c>
    </row>
    <row r="13" spans="1:18" ht="21">
      <c r="A13" s="1353">
        <v>1.4</v>
      </c>
      <c r="B13" s="1354" t="s">
        <v>1479</v>
      </c>
      <c r="C13" s="1354" t="s">
        <v>3265</v>
      </c>
      <c r="D13" s="1354">
        <f>D12+(D9*0.3)</f>
        <v>96.6</v>
      </c>
      <c r="E13" s="1354">
        <v>70</v>
      </c>
      <c r="F13" s="1354">
        <f t="shared" si="0"/>
        <v>6762</v>
      </c>
      <c r="G13" s="1354">
        <f>'Mor. Sub TOS'!D44</f>
        <v>0</v>
      </c>
      <c r="H13" s="1355">
        <f t="shared" si="1"/>
        <v>0</v>
      </c>
    </row>
    <row r="14" spans="1:18" ht="21">
      <c r="A14" s="1353">
        <v>1.5</v>
      </c>
      <c r="B14" s="1354" t="s">
        <v>1497</v>
      </c>
      <c r="C14" s="1354" t="s">
        <v>3264</v>
      </c>
      <c r="D14" s="1354">
        <v>46</v>
      </c>
      <c r="E14" s="1354">
        <v>200</v>
      </c>
      <c r="F14" s="1354">
        <f t="shared" si="0"/>
        <v>9200</v>
      </c>
      <c r="G14" s="1354">
        <f>'Mor. Sub TOS'!D47</f>
        <v>12</v>
      </c>
      <c r="H14" s="1355">
        <f t="shared" si="1"/>
        <v>2400</v>
      </c>
    </row>
    <row r="15" spans="1:18" ht="19.5" thickBot="1">
      <c r="A15" s="1381"/>
      <c r="B15" s="1382" t="s">
        <v>1330</v>
      </c>
      <c r="C15" s="1322"/>
      <c r="D15" s="1322"/>
      <c r="E15" s="1383"/>
      <c r="F15" s="1322">
        <f>SUM(F9:F14)</f>
        <v>34778</v>
      </c>
      <c r="G15" s="1322"/>
      <c r="H15" s="1384">
        <f>SUM(H9:H14)</f>
        <v>4754.2800000000007</v>
      </c>
    </row>
    <row r="16" spans="1:18" ht="19.5" thickTop="1">
      <c r="A16" s="1354"/>
      <c r="B16" s="1358" t="s">
        <v>1477</v>
      </c>
      <c r="C16" s="1354"/>
      <c r="D16" s="1354"/>
      <c r="E16" s="1354"/>
      <c r="F16" s="1354"/>
      <c r="G16" s="1354"/>
      <c r="H16" s="1355"/>
    </row>
    <row r="17" spans="1:8" ht="21">
      <c r="A17" s="1353">
        <v>2.1</v>
      </c>
      <c r="B17" s="1354" t="s">
        <v>1476</v>
      </c>
      <c r="C17" s="1354" t="s">
        <v>3264</v>
      </c>
      <c r="D17" s="1354">
        <v>14</v>
      </c>
      <c r="E17" s="1354">
        <v>150</v>
      </c>
      <c r="F17" s="1354">
        <f t="shared" si="0"/>
        <v>2100</v>
      </c>
      <c r="G17" s="1354">
        <f>'Mor. Sub TOS'!D59</f>
        <v>7.5</v>
      </c>
      <c r="H17" s="1355">
        <f t="shared" si="1"/>
        <v>1125</v>
      </c>
    </row>
    <row r="18" spans="1:8" ht="21">
      <c r="A18" s="1356">
        <v>2.2000000000000002</v>
      </c>
      <c r="B18" s="1357" t="s">
        <v>1475</v>
      </c>
      <c r="C18" s="1357" t="s">
        <v>3264</v>
      </c>
      <c r="D18" s="1354">
        <v>8</v>
      </c>
      <c r="E18" s="1354">
        <v>150</v>
      </c>
      <c r="F18" s="1354">
        <f t="shared" si="0"/>
        <v>1200</v>
      </c>
      <c r="G18" s="1354"/>
      <c r="H18" s="1355">
        <f t="shared" si="1"/>
        <v>0</v>
      </c>
    </row>
    <row r="19" spans="1:8" ht="21">
      <c r="A19" s="1359">
        <v>2.2999999999999998</v>
      </c>
      <c r="B19" s="1360" t="s">
        <v>1474</v>
      </c>
      <c r="C19" s="1360" t="s">
        <v>3264</v>
      </c>
      <c r="D19" s="1360">
        <v>46</v>
      </c>
      <c r="E19" s="1354">
        <v>400</v>
      </c>
      <c r="F19" s="1354">
        <f t="shared" si="0"/>
        <v>18400</v>
      </c>
      <c r="G19" s="1354">
        <f>'Mor. Sub TOS'!H11</f>
        <v>2.94</v>
      </c>
      <c r="H19" s="1355">
        <f t="shared" si="1"/>
        <v>1176</v>
      </c>
    </row>
    <row r="20" spans="1:8" ht="21">
      <c r="A20" s="1353">
        <v>2.4</v>
      </c>
      <c r="B20" s="1354" t="s">
        <v>1526</v>
      </c>
      <c r="C20" s="1354" t="s">
        <v>3265</v>
      </c>
      <c r="D20" s="1354">
        <v>6</v>
      </c>
      <c r="E20" s="1354">
        <v>3200</v>
      </c>
      <c r="F20" s="1354">
        <f t="shared" si="0"/>
        <v>19200</v>
      </c>
      <c r="G20" s="1354">
        <f>'Mor. Sub TOS'!H24</f>
        <v>1.56</v>
      </c>
      <c r="H20" s="1355">
        <f t="shared" si="1"/>
        <v>4992</v>
      </c>
    </row>
    <row r="21" spans="1:8" ht="21">
      <c r="A21" s="1356">
        <v>2.5</v>
      </c>
      <c r="B21" s="1357" t="s">
        <v>1471</v>
      </c>
      <c r="C21" s="1357" t="s">
        <v>3265</v>
      </c>
      <c r="D21" s="1354">
        <v>1.8</v>
      </c>
      <c r="E21" s="1354">
        <v>3200</v>
      </c>
      <c r="F21" s="1354">
        <f t="shared" si="0"/>
        <v>5760</v>
      </c>
      <c r="G21" s="1354"/>
      <c r="H21" s="1355">
        <f t="shared" si="1"/>
        <v>0</v>
      </c>
    </row>
    <row r="22" spans="1:8" ht="21">
      <c r="A22" s="1356">
        <v>2.6</v>
      </c>
      <c r="B22" s="1357" t="s">
        <v>1470</v>
      </c>
      <c r="C22" s="1357" t="s">
        <v>3265</v>
      </c>
      <c r="D22" s="1354">
        <v>1.4</v>
      </c>
      <c r="E22" s="1354">
        <v>3200</v>
      </c>
      <c r="F22" s="1354">
        <f t="shared" si="0"/>
        <v>4480</v>
      </c>
      <c r="G22" s="1354"/>
      <c r="H22" s="1355">
        <f t="shared" si="1"/>
        <v>0</v>
      </c>
    </row>
    <row r="23" spans="1:8">
      <c r="A23" s="1353"/>
      <c r="B23" s="1354" t="s">
        <v>1625</v>
      </c>
      <c r="C23" s="1354"/>
      <c r="D23" s="1354"/>
      <c r="E23" s="1354"/>
      <c r="F23" s="1354"/>
      <c r="G23" s="1354"/>
      <c r="H23" s="1355"/>
    </row>
    <row r="24" spans="1:8" ht="21">
      <c r="A24" s="1353">
        <v>2.7</v>
      </c>
      <c r="B24" s="1354" t="s">
        <v>1</v>
      </c>
      <c r="C24" s="1354" t="s">
        <v>3264</v>
      </c>
      <c r="D24" s="1354">
        <v>32</v>
      </c>
      <c r="E24" s="1354">
        <v>120</v>
      </c>
      <c r="F24" s="1354">
        <f t="shared" si="0"/>
        <v>3840</v>
      </c>
      <c r="G24" s="1354">
        <f>'Mor. Sub TOS'!H40</f>
        <v>12.48</v>
      </c>
      <c r="H24" s="1355">
        <f t="shared" si="1"/>
        <v>1497.6000000000001</v>
      </c>
    </row>
    <row r="25" spans="1:8" ht="21">
      <c r="A25" s="1356">
        <v>2.8</v>
      </c>
      <c r="B25" s="1357" t="s">
        <v>1471</v>
      </c>
      <c r="C25" s="1357" t="s">
        <v>3264</v>
      </c>
      <c r="D25" s="1354">
        <v>7</v>
      </c>
      <c r="E25" s="1354">
        <v>120</v>
      </c>
      <c r="F25" s="1354">
        <f t="shared" si="0"/>
        <v>840</v>
      </c>
      <c r="G25" s="1354"/>
      <c r="H25" s="1355">
        <f t="shared" si="1"/>
        <v>0</v>
      </c>
    </row>
    <row r="26" spans="1:8" ht="21">
      <c r="A26" s="1356">
        <v>2.9</v>
      </c>
      <c r="B26" s="1357" t="s">
        <v>1470</v>
      </c>
      <c r="C26" s="1357" t="s">
        <v>3264</v>
      </c>
      <c r="D26" s="1354">
        <v>27</v>
      </c>
      <c r="E26" s="1354">
        <v>120</v>
      </c>
      <c r="F26" s="1354">
        <f t="shared" si="0"/>
        <v>3240</v>
      </c>
      <c r="G26" s="1354"/>
      <c r="H26" s="1355">
        <f t="shared" si="1"/>
        <v>0</v>
      </c>
    </row>
    <row r="27" spans="1:8" ht="21">
      <c r="A27" s="1354">
        <v>2.1</v>
      </c>
      <c r="B27" s="1354" t="s">
        <v>1528</v>
      </c>
      <c r="C27" s="1354" t="s">
        <v>3264</v>
      </c>
      <c r="D27" s="1354">
        <v>2</v>
      </c>
      <c r="E27" s="1354">
        <v>120</v>
      </c>
      <c r="F27" s="1354">
        <f t="shared" si="0"/>
        <v>240</v>
      </c>
      <c r="G27" s="1354"/>
      <c r="H27" s="1355">
        <f t="shared" si="1"/>
        <v>0</v>
      </c>
    </row>
    <row r="28" spans="1:8">
      <c r="A28" s="1354"/>
      <c r="B28" s="1354" t="s">
        <v>1454</v>
      </c>
      <c r="C28" s="1354"/>
      <c r="D28" s="1354"/>
      <c r="E28" s="1354"/>
      <c r="F28" s="1354">
        <f t="shared" si="0"/>
        <v>0</v>
      </c>
      <c r="G28" s="1354"/>
      <c r="H28" s="1355">
        <f t="shared" si="1"/>
        <v>0</v>
      </c>
    </row>
    <row r="29" spans="1:8">
      <c r="A29" s="1354">
        <v>2.11</v>
      </c>
      <c r="B29" s="1354" t="s">
        <v>1682</v>
      </c>
      <c r="C29" s="1354" t="s">
        <v>1450</v>
      </c>
      <c r="D29" s="1354">
        <v>675</v>
      </c>
      <c r="E29" s="1354">
        <v>36</v>
      </c>
      <c r="F29" s="1354">
        <f t="shared" si="0"/>
        <v>24300</v>
      </c>
      <c r="G29" s="1354"/>
      <c r="H29" s="1355">
        <f t="shared" si="1"/>
        <v>0</v>
      </c>
    </row>
    <row r="30" spans="1:8">
      <c r="A30" s="1357">
        <v>2.12</v>
      </c>
      <c r="B30" s="1357" t="s">
        <v>1467</v>
      </c>
      <c r="C30" s="1357" t="s">
        <v>1450</v>
      </c>
      <c r="D30" s="1354">
        <v>235</v>
      </c>
      <c r="E30" s="1354">
        <v>36</v>
      </c>
      <c r="F30" s="1354">
        <f t="shared" si="0"/>
        <v>8460</v>
      </c>
      <c r="G30" s="1354">
        <f>'Mor. Reinf'!L33</f>
        <v>94.838399999999993</v>
      </c>
      <c r="H30" s="1355">
        <f t="shared" si="1"/>
        <v>3414.1823999999997</v>
      </c>
    </row>
    <row r="31" spans="1:8">
      <c r="A31" s="1354">
        <v>2.13</v>
      </c>
      <c r="B31" s="1354" t="s">
        <v>1451</v>
      </c>
      <c r="C31" s="1354" t="s">
        <v>1450</v>
      </c>
      <c r="D31" s="1354">
        <v>1120</v>
      </c>
      <c r="E31" s="1354">
        <v>36</v>
      </c>
      <c r="F31" s="1354">
        <f t="shared" si="0"/>
        <v>40320</v>
      </c>
      <c r="G31" s="1354">
        <f>'Mor. Reinf'!J33</f>
        <v>86.33120000000001</v>
      </c>
      <c r="H31" s="1355">
        <f t="shared" si="1"/>
        <v>3107.9232000000002</v>
      </c>
    </row>
    <row r="32" spans="1:8">
      <c r="A32" s="1354">
        <v>2.14</v>
      </c>
      <c r="B32" s="1354" t="s">
        <v>1529</v>
      </c>
      <c r="C32" s="1354" t="s">
        <v>1450</v>
      </c>
      <c r="D32" s="1354">
        <v>5</v>
      </c>
      <c r="E32" s="1354">
        <v>36</v>
      </c>
      <c r="F32" s="1354">
        <f t="shared" si="0"/>
        <v>180</v>
      </c>
      <c r="G32" s="1354"/>
      <c r="H32" s="1355">
        <f t="shared" si="1"/>
        <v>0</v>
      </c>
    </row>
    <row r="33" spans="1:8">
      <c r="A33" s="1354">
        <v>2.16</v>
      </c>
      <c r="B33" s="1354" t="s">
        <v>1466</v>
      </c>
      <c r="C33" s="1354" t="s">
        <v>1406</v>
      </c>
      <c r="D33" s="1354">
        <v>120</v>
      </c>
      <c r="E33" s="1354">
        <v>120</v>
      </c>
      <c r="F33" s="1354">
        <f t="shared" si="0"/>
        <v>14400</v>
      </c>
      <c r="G33" s="1354">
        <f>'Mor. Sub TOS'!H49</f>
        <v>14.600000000000001</v>
      </c>
      <c r="H33" s="1355">
        <f t="shared" si="1"/>
        <v>1752.0000000000002</v>
      </c>
    </row>
    <row r="34" spans="1:8" ht="19.5" thickBot="1">
      <c r="A34" s="1381"/>
      <c r="B34" s="1382" t="s">
        <v>1330</v>
      </c>
      <c r="C34" s="1322"/>
      <c r="D34" s="1322"/>
      <c r="E34" s="1383"/>
      <c r="F34" s="1322">
        <f>SUM(F17:F33)</f>
        <v>146960</v>
      </c>
      <c r="G34" s="1322"/>
      <c r="H34" s="1384">
        <f>SUM(H17:H33)</f>
        <v>17064.705600000001</v>
      </c>
    </row>
    <row r="35" spans="1:8" ht="19.5" thickTop="1">
      <c r="A35" s="1354"/>
      <c r="B35" s="1358" t="s">
        <v>1465</v>
      </c>
      <c r="C35" s="1354"/>
      <c r="D35" s="1354"/>
      <c r="E35" s="1354"/>
      <c r="F35" s="1354"/>
      <c r="G35" s="1354"/>
      <c r="H35" s="1355"/>
    </row>
    <row r="36" spans="1:8" ht="21">
      <c r="A36" s="1353">
        <v>3.1</v>
      </c>
      <c r="B36" s="1354" t="s">
        <v>1464</v>
      </c>
      <c r="C36" s="1354" t="s">
        <v>3265</v>
      </c>
      <c r="D36" s="1354">
        <v>20</v>
      </c>
      <c r="E36" s="1354">
        <v>1250</v>
      </c>
      <c r="F36" s="1354">
        <f t="shared" si="0"/>
        <v>25000</v>
      </c>
      <c r="G36" s="1354">
        <v>3.41</v>
      </c>
      <c r="H36" s="1355">
        <f t="shared" si="1"/>
        <v>4262.5</v>
      </c>
    </row>
    <row r="37" spans="1:8" ht="21">
      <c r="A37" s="1353">
        <v>3.2</v>
      </c>
      <c r="B37" s="1361" t="s">
        <v>1711</v>
      </c>
      <c r="C37" s="1354" t="s">
        <v>3265</v>
      </c>
      <c r="D37" s="1354">
        <v>6</v>
      </c>
      <c r="E37" s="1354">
        <v>1450</v>
      </c>
      <c r="F37" s="1354">
        <f t="shared" si="0"/>
        <v>8700</v>
      </c>
      <c r="G37" s="1354">
        <v>1.7</v>
      </c>
      <c r="H37" s="1355">
        <f t="shared" si="1"/>
        <v>2465</v>
      </c>
    </row>
    <row r="38" spans="1:8" ht="19.5" thickBot="1">
      <c r="A38" s="1381"/>
      <c r="B38" s="1382" t="s">
        <v>1330</v>
      </c>
      <c r="C38" s="1322"/>
      <c r="D38" s="1322"/>
      <c r="E38" s="1383"/>
      <c r="F38" s="1322">
        <f>SUM(F36:F37)</f>
        <v>33700</v>
      </c>
      <c r="G38" s="1322"/>
      <c r="H38" s="1384">
        <f>SUM(H36:H37)</f>
        <v>6727.5</v>
      </c>
    </row>
    <row r="39" spans="1:8" ht="19.5" thickTop="1">
      <c r="A39" s="1354"/>
      <c r="B39" s="1358" t="s">
        <v>1462</v>
      </c>
      <c r="C39" s="1354"/>
      <c r="D39" s="1354"/>
      <c r="E39" s="1354"/>
      <c r="F39" s="1354"/>
      <c r="G39" s="1354"/>
      <c r="H39" s="1355"/>
    </row>
    <row r="40" spans="1:8">
      <c r="A40" s="1354"/>
      <c r="B40" s="1358" t="s">
        <v>1461</v>
      </c>
      <c r="C40" s="1354"/>
      <c r="D40" s="1354"/>
      <c r="E40" s="1354"/>
      <c r="F40" s="1354"/>
      <c r="G40" s="1354"/>
      <c r="H40" s="1355"/>
    </row>
    <row r="41" spans="1:8">
      <c r="A41" s="1354"/>
      <c r="B41" s="1354" t="s">
        <v>1460</v>
      </c>
      <c r="C41" s="1354"/>
      <c r="D41" s="1354"/>
      <c r="E41" s="1354"/>
      <c r="F41" s="1354"/>
      <c r="G41" s="1354"/>
      <c r="H41" s="1355"/>
    </row>
    <row r="42" spans="1:8" ht="21">
      <c r="A42" s="1353">
        <v>1.1000000000000001</v>
      </c>
      <c r="B42" s="1354" t="s">
        <v>1459</v>
      </c>
      <c r="C42" s="1354" t="s">
        <v>3265</v>
      </c>
      <c r="D42" s="1354">
        <v>0.9</v>
      </c>
      <c r="E42" s="1354">
        <v>2400</v>
      </c>
      <c r="F42" s="1354">
        <f t="shared" si="0"/>
        <v>2160</v>
      </c>
      <c r="G42" s="1354">
        <f>'Mor. Super TOS'!D12</f>
        <v>0.43680000000000008</v>
      </c>
      <c r="H42" s="1355">
        <f t="shared" si="1"/>
        <v>1048.3200000000002</v>
      </c>
    </row>
    <row r="43" spans="1:8" ht="21">
      <c r="A43" s="1353">
        <v>1.2</v>
      </c>
      <c r="B43" s="1354" t="s">
        <v>1531</v>
      </c>
      <c r="C43" s="1354" t="s">
        <v>3265</v>
      </c>
      <c r="D43" s="1354">
        <v>1.98</v>
      </c>
      <c r="E43" s="1354">
        <v>2400</v>
      </c>
      <c r="F43" s="1354">
        <f t="shared" si="0"/>
        <v>4752</v>
      </c>
      <c r="G43" s="1354">
        <f>'Mor. Super TOS'!D23</f>
        <v>0.94800000000000018</v>
      </c>
      <c r="H43" s="1355">
        <f t="shared" si="1"/>
        <v>2275.2000000000003</v>
      </c>
    </row>
    <row r="44" spans="1:8">
      <c r="A44" s="1353"/>
      <c r="B44" s="1354" t="s">
        <v>1568</v>
      </c>
      <c r="C44" s="1354"/>
      <c r="D44" s="1354"/>
      <c r="E44" s="1354"/>
      <c r="F44" s="1354"/>
      <c r="G44" s="1354"/>
      <c r="H44" s="1355"/>
    </row>
    <row r="45" spans="1:8" ht="21">
      <c r="A45" s="1353">
        <v>1.3</v>
      </c>
      <c r="B45" s="1354" t="s">
        <v>1456</v>
      </c>
      <c r="C45" s="1354" t="s">
        <v>3264</v>
      </c>
      <c r="D45" s="1354">
        <v>17.920000000000002</v>
      </c>
      <c r="E45" s="1354">
        <v>150</v>
      </c>
      <c r="F45" s="1354">
        <f t="shared" si="0"/>
        <v>2688.0000000000005</v>
      </c>
      <c r="G45" s="1354">
        <f>'Mor. Super TOS'!D29</f>
        <v>8.7360000000000007</v>
      </c>
      <c r="H45" s="1355">
        <f t="shared" si="1"/>
        <v>1310.4000000000001</v>
      </c>
    </row>
    <row r="46" spans="1:8" ht="21">
      <c r="A46" s="1353">
        <v>1.4</v>
      </c>
      <c r="B46" s="1354" t="s">
        <v>1455</v>
      </c>
      <c r="C46" s="1354" t="s">
        <v>3264</v>
      </c>
      <c r="D46" s="1354">
        <v>25.32</v>
      </c>
      <c r="E46" s="1354">
        <v>150</v>
      </c>
      <c r="F46" s="1354">
        <f t="shared" si="0"/>
        <v>3798</v>
      </c>
      <c r="G46" s="1354">
        <f>'Mor. Super TOS'!D47</f>
        <v>12.97</v>
      </c>
      <c r="H46" s="1355">
        <f t="shared" si="1"/>
        <v>1945.5</v>
      </c>
    </row>
    <row r="47" spans="1:8">
      <c r="A47" s="1353"/>
      <c r="B47" s="1354" t="s">
        <v>1454</v>
      </c>
      <c r="C47" s="1354"/>
      <c r="D47" s="1354"/>
      <c r="E47" s="1354"/>
      <c r="F47" s="1354"/>
      <c r="G47" s="1354"/>
      <c r="H47" s="1355">
        <f t="shared" si="1"/>
        <v>0</v>
      </c>
    </row>
    <row r="48" spans="1:8">
      <c r="A48" s="1353">
        <v>1.5</v>
      </c>
      <c r="B48" s="1354" t="s">
        <v>1453</v>
      </c>
      <c r="C48" s="1354" t="s">
        <v>1450</v>
      </c>
      <c r="D48" s="1354"/>
      <c r="E48" s="1354"/>
      <c r="F48" s="1354"/>
      <c r="G48" s="1354"/>
      <c r="H48" s="1355">
        <f t="shared" si="1"/>
        <v>0</v>
      </c>
    </row>
    <row r="49" spans="1:8">
      <c r="A49" s="1353">
        <v>1.6</v>
      </c>
      <c r="B49" s="1354" t="s">
        <v>1452</v>
      </c>
      <c r="C49" s="1354" t="s">
        <v>1450</v>
      </c>
      <c r="D49" s="1354">
        <v>305</v>
      </c>
      <c r="E49" s="1354">
        <v>35</v>
      </c>
      <c r="F49" s="1354">
        <f t="shared" si="0"/>
        <v>10675</v>
      </c>
      <c r="G49" s="1354">
        <f>'Mor. Super TOS'!D50</f>
        <v>172.07663999999997</v>
      </c>
      <c r="H49" s="1355">
        <f t="shared" si="1"/>
        <v>6022.6823999999988</v>
      </c>
    </row>
    <row r="50" spans="1:8">
      <c r="A50" s="1353">
        <v>1.7</v>
      </c>
      <c r="B50" s="1354" t="s">
        <v>1532</v>
      </c>
      <c r="C50" s="1354" t="s">
        <v>1450</v>
      </c>
      <c r="D50" s="1354">
        <v>130</v>
      </c>
      <c r="E50" s="1354">
        <v>40</v>
      </c>
      <c r="F50" s="1354">
        <f t="shared" si="0"/>
        <v>5200</v>
      </c>
      <c r="G50" s="1354">
        <f>'Mor. Super TOS'!D53</f>
        <v>63.405400000000007</v>
      </c>
      <c r="H50" s="1355">
        <f t="shared" si="1"/>
        <v>2536.2160000000003</v>
      </c>
    </row>
    <row r="51" spans="1:8">
      <c r="A51" s="1353">
        <v>1.8</v>
      </c>
      <c r="B51" s="1354" t="s">
        <v>1529</v>
      </c>
      <c r="C51" s="1354" t="s">
        <v>1450</v>
      </c>
      <c r="D51" s="1354"/>
      <c r="E51" s="1354"/>
      <c r="F51" s="1354"/>
      <c r="G51" s="1354"/>
      <c r="H51" s="1355"/>
    </row>
    <row r="52" spans="1:8" ht="19.5" thickBot="1">
      <c r="A52" s="1381"/>
      <c r="B52" s="1382" t="s">
        <v>1330</v>
      </c>
      <c r="C52" s="1322"/>
      <c r="D52" s="1322"/>
      <c r="E52" s="1383"/>
      <c r="F52" s="1322">
        <f>SUM(F42:F50)</f>
        <v>29273</v>
      </c>
      <c r="G52" s="1322"/>
      <c r="H52" s="1384">
        <f>SUM(H42:H50)</f>
        <v>15138.3184</v>
      </c>
    </row>
    <row r="53" spans="1:8" ht="19.5" thickTop="1">
      <c r="A53" s="1360"/>
      <c r="B53" s="1362" t="s">
        <v>1449</v>
      </c>
      <c r="C53" s="1360"/>
      <c r="D53" s="1360"/>
      <c r="E53" s="1360"/>
      <c r="F53" s="1360"/>
      <c r="G53" s="1360"/>
      <c r="H53" s="1363"/>
    </row>
    <row r="54" spans="1:8">
      <c r="A54" s="1354"/>
      <c r="B54" s="1354" t="s">
        <v>1448</v>
      </c>
      <c r="C54" s="1354"/>
      <c r="D54" s="1354"/>
      <c r="E54" s="1354"/>
      <c r="F54" s="1354"/>
      <c r="G54" s="1354"/>
      <c r="H54" s="1355"/>
    </row>
    <row r="55" spans="1:8">
      <c r="A55" s="1353"/>
      <c r="B55" s="1354" t="s">
        <v>1712</v>
      </c>
      <c r="C55" s="1354"/>
      <c r="D55" s="1354"/>
      <c r="E55" s="1354"/>
      <c r="F55" s="1354"/>
      <c r="G55" s="1354"/>
      <c r="H55" s="1355"/>
    </row>
    <row r="56" spans="1:8" ht="21">
      <c r="A56" s="1353">
        <v>2.1</v>
      </c>
      <c r="B56" s="1354" t="s">
        <v>1447</v>
      </c>
      <c r="C56" s="1354" t="s">
        <v>3264</v>
      </c>
      <c r="D56" s="1354">
        <v>120</v>
      </c>
      <c r="E56" s="1354">
        <v>300</v>
      </c>
      <c r="F56" s="1354">
        <f t="shared" si="0"/>
        <v>36000</v>
      </c>
      <c r="G56" s="1354">
        <f>'Mor. Super TOS'!H16</f>
        <v>40.582999999999998</v>
      </c>
      <c r="H56" s="1355">
        <f t="shared" si="1"/>
        <v>12174.9</v>
      </c>
    </row>
    <row r="57" spans="1:8" ht="21">
      <c r="A57" s="1353">
        <v>2.2000000000000002</v>
      </c>
      <c r="B57" s="1354" t="s">
        <v>1446</v>
      </c>
      <c r="C57" s="1354" t="s">
        <v>3264</v>
      </c>
      <c r="D57" s="1354">
        <v>0</v>
      </c>
      <c r="E57" s="1354"/>
      <c r="F57" s="1354"/>
      <c r="G57" s="1354"/>
      <c r="H57" s="1355"/>
    </row>
    <row r="58" spans="1:8" ht="19.5" thickBot="1">
      <c r="A58" s="1381"/>
      <c r="B58" s="1382" t="s">
        <v>1330</v>
      </c>
      <c r="C58" s="1322"/>
      <c r="D58" s="1322"/>
      <c r="E58" s="1383"/>
      <c r="F58" s="1322">
        <f>SUM(F56:F57)</f>
        <v>36000</v>
      </c>
      <c r="G58" s="1322"/>
      <c r="H58" s="1384">
        <f>SUM(H56:H57)</f>
        <v>12174.9</v>
      </c>
    </row>
    <row r="59" spans="1:8" ht="19.5" thickTop="1">
      <c r="A59" s="1354"/>
      <c r="B59" s="1358" t="s">
        <v>1443</v>
      </c>
      <c r="C59" s="1354"/>
      <c r="D59" s="1354"/>
      <c r="E59" s="1354"/>
      <c r="F59" s="1354"/>
      <c r="G59" s="1354"/>
      <c r="H59" s="1355"/>
    </row>
    <row r="60" spans="1:8" ht="21">
      <c r="A60" s="1353">
        <v>3.1</v>
      </c>
      <c r="B60" s="1354" t="s">
        <v>1533</v>
      </c>
      <c r="C60" s="1354" t="s">
        <v>3264</v>
      </c>
      <c r="D60" s="1354">
        <v>60</v>
      </c>
      <c r="E60" s="1354">
        <v>300</v>
      </c>
      <c r="F60" s="1354">
        <f t="shared" si="0"/>
        <v>18000</v>
      </c>
      <c r="G60" s="1354">
        <f>'Mor. Super TOS'!H22</f>
        <v>27.059999999999995</v>
      </c>
      <c r="H60" s="1355">
        <f t="shared" si="1"/>
        <v>8117.9999999999982</v>
      </c>
    </row>
    <row r="61" spans="1:8" ht="21">
      <c r="A61" s="1356">
        <v>3.2</v>
      </c>
      <c r="B61" s="1364" t="s">
        <v>1534</v>
      </c>
      <c r="C61" s="1357" t="s">
        <v>3264</v>
      </c>
      <c r="D61" s="1354">
        <v>7</v>
      </c>
      <c r="E61" s="1354">
        <v>320</v>
      </c>
      <c r="F61" s="1354">
        <f t="shared" si="0"/>
        <v>2240</v>
      </c>
      <c r="G61" s="1354">
        <f>'Mor. Super TOS'!H32</f>
        <v>9.41</v>
      </c>
      <c r="H61" s="1355">
        <f t="shared" si="1"/>
        <v>3011.2</v>
      </c>
    </row>
    <row r="62" spans="1:8">
      <c r="A62" s="1356">
        <v>3.3</v>
      </c>
      <c r="B62" s="1365" t="s">
        <v>1439</v>
      </c>
      <c r="C62" s="1357" t="s">
        <v>1406</v>
      </c>
      <c r="D62" s="1354">
        <v>16</v>
      </c>
      <c r="E62" s="1354">
        <v>200</v>
      </c>
      <c r="F62" s="1354">
        <f t="shared" si="0"/>
        <v>3200</v>
      </c>
      <c r="G62" s="1354">
        <f>'Mor. Super TOS'!H36</f>
        <v>13.2</v>
      </c>
      <c r="H62" s="1355">
        <f t="shared" si="1"/>
        <v>2640</v>
      </c>
    </row>
    <row r="63" spans="1:8">
      <c r="A63" s="1353">
        <v>3.2</v>
      </c>
      <c r="B63" s="1354" t="s">
        <v>1536</v>
      </c>
      <c r="C63" s="1354" t="s">
        <v>1406</v>
      </c>
      <c r="D63" s="1354">
        <v>21</v>
      </c>
      <c r="E63" s="1354">
        <v>90</v>
      </c>
      <c r="F63" s="1354">
        <f t="shared" si="0"/>
        <v>1890</v>
      </c>
      <c r="G63" s="1354">
        <f>'Mor. Super TOS'!H42</f>
        <v>12.04</v>
      </c>
      <c r="H63" s="1355">
        <f t="shared" si="1"/>
        <v>1083.5999999999999</v>
      </c>
    </row>
    <row r="64" spans="1:8" ht="19.5" thickBot="1">
      <c r="A64" s="1381"/>
      <c r="B64" s="1382" t="s">
        <v>1330</v>
      </c>
      <c r="C64" s="1322"/>
      <c r="D64" s="1322"/>
      <c r="E64" s="1383"/>
      <c r="F64" s="1322">
        <f>SUM(F60:F63)</f>
        <v>25330</v>
      </c>
      <c r="G64" s="1322"/>
      <c r="H64" s="1384">
        <f>SUM(H60:H63)</f>
        <v>14852.799999999997</v>
      </c>
    </row>
    <row r="65" spans="1:8" ht="19.5" thickTop="1">
      <c r="A65" s="1354"/>
      <c r="B65" s="1358" t="s">
        <v>1438</v>
      </c>
      <c r="C65" s="1354"/>
      <c r="D65" s="1354"/>
      <c r="E65" s="1354"/>
      <c r="F65" s="1354"/>
      <c r="G65" s="1354"/>
      <c r="H65" s="1355"/>
    </row>
    <row r="66" spans="1:8">
      <c r="A66" s="1353">
        <v>4.0999999999999996</v>
      </c>
      <c r="B66" s="1354" t="s">
        <v>1501</v>
      </c>
      <c r="C66" s="1354" t="s">
        <v>1406</v>
      </c>
      <c r="D66" s="1354">
        <v>100</v>
      </c>
      <c r="E66" s="1354">
        <v>25</v>
      </c>
      <c r="F66" s="1354">
        <f t="shared" si="0"/>
        <v>2500</v>
      </c>
      <c r="G66" s="1354">
        <f>'Mor. Super TOS'!H52</f>
        <v>59</v>
      </c>
      <c r="H66" s="1355">
        <f t="shared" si="1"/>
        <v>1475</v>
      </c>
    </row>
    <row r="67" spans="1:8">
      <c r="A67" s="1353">
        <v>4.2</v>
      </c>
      <c r="B67" s="1361" t="s">
        <v>1713</v>
      </c>
      <c r="C67" s="1354" t="s">
        <v>1406</v>
      </c>
      <c r="D67" s="1354">
        <v>70</v>
      </c>
      <c r="E67" s="1354">
        <v>20</v>
      </c>
      <c r="F67" s="1354">
        <f t="shared" si="0"/>
        <v>1400</v>
      </c>
      <c r="G67" s="1354">
        <f>'Mor. Super TOS'!H61</f>
        <v>33.200000000000003</v>
      </c>
      <c r="H67" s="1355">
        <f t="shared" si="1"/>
        <v>664</v>
      </c>
    </row>
    <row r="68" spans="1:8">
      <c r="A68" s="1353">
        <v>4.3</v>
      </c>
      <c r="B68" s="1354" t="s">
        <v>1435</v>
      </c>
      <c r="C68" s="1354" t="s">
        <v>1406</v>
      </c>
      <c r="D68" s="1354">
        <v>82</v>
      </c>
      <c r="E68" s="1354">
        <v>70</v>
      </c>
      <c r="F68" s="1354">
        <f t="shared" si="0"/>
        <v>5740</v>
      </c>
      <c r="G68" s="1354">
        <f>'Mor. Super TOS'!D69</f>
        <v>52.8</v>
      </c>
      <c r="H68" s="1355">
        <f t="shared" si="1"/>
        <v>3696</v>
      </c>
    </row>
    <row r="69" spans="1:8">
      <c r="A69" s="1353">
        <v>4.4000000000000004</v>
      </c>
      <c r="B69" s="1354" t="s">
        <v>1538</v>
      </c>
      <c r="C69" s="1354" t="s">
        <v>1406</v>
      </c>
      <c r="D69" s="1354">
        <v>10.199999999999999</v>
      </c>
      <c r="E69" s="1354">
        <v>70</v>
      </c>
      <c r="F69" s="1354">
        <f t="shared" si="0"/>
        <v>714</v>
      </c>
      <c r="G69" s="1354">
        <f>'Mor. Super TOS'!D78</f>
        <v>25.200000000000003</v>
      </c>
      <c r="H69" s="1355">
        <f t="shared" si="1"/>
        <v>1764.0000000000002</v>
      </c>
    </row>
    <row r="70" spans="1:8">
      <c r="A70" s="1353"/>
      <c r="B70" s="1354" t="s">
        <v>1433</v>
      </c>
      <c r="C70" s="1354"/>
      <c r="D70" s="1354"/>
      <c r="E70" s="1354"/>
      <c r="F70" s="1354"/>
      <c r="G70" s="1354"/>
      <c r="H70" s="1355"/>
    </row>
    <row r="71" spans="1:8">
      <c r="A71" s="1353">
        <v>4.5</v>
      </c>
      <c r="B71" s="1354" t="s">
        <v>1714</v>
      </c>
      <c r="C71" s="1354" t="s">
        <v>1416</v>
      </c>
      <c r="D71" s="1354">
        <v>0</v>
      </c>
      <c r="E71" s="1354"/>
      <c r="F71" s="1354"/>
      <c r="G71" s="1354"/>
      <c r="H71" s="1355"/>
    </row>
    <row r="72" spans="1:8" ht="19.5" thickBot="1">
      <c r="A72" s="1381"/>
      <c r="B72" s="1382" t="s">
        <v>1330</v>
      </c>
      <c r="C72" s="1322"/>
      <c r="D72" s="1322"/>
      <c r="E72" s="1383"/>
      <c r="F72" s="1322">
        <f>SUM(F66:F71)</f>
        <v>10354</v>
      </c>
      <c r="G72" s="1322"/>
      <c r="H72" s="1384">
        <f>SUM(H66:H71)</f>
        <v>7599</v>
      </c>
    </row>
    <row r="73" spans="1:8" ht="19.5" thickTop="1">
      <c r="A73" s="1354"/>
      <c r="B73" s="1358" t="s">
        <v>1428</v>
      </c>
      <c r="C73" s="1354"/>
      <c r="D73" s="1354"/>
      <c r="E73" s="1354"/>
      <c r="F73" s="1354"/>
      <c r="G73" s="1354"/>
      <c r="H73" s="1355"/>
    </row>
    <row r="74" spans="1:8">
      <c r="A74" s="1354"/>
      <c r="B74" s="1354" t="s">
        <v>1427</v>
      </c>
      <c r="C74" s="1354"/>
      <c r="D74" s="1354"/>
      <c r="E74" s="1354"/>
      <c r="F74" s="1354"/>
      <c r="G74" s="1354"/>
      <c r="H74" s="1355"/>
    </row>
    <row r="75" spans="1:8">
      <c r="A75" s="1353">
        <v>5.0999999999999996</v>
      </c>
      <c r="B75" s="1354" t="s">
        <v>1715</v>
      </c>
      <c r="C75" s="1354" t="s">
        <v>1416</v>
      </c>
      <c r="D75" s="1354">
        <v>3</v>
      </c>
      <c r="E75" s="1354">
        <v>2000</v>
      </c>
      <c r="F75" s="1354">
        <f t="shared" ref="F75:F139" si="2">D75*E75</f>
        <v>6000</v>
      </c>
      <c r="G75" s="1354"/>
      <c r="H75" s="1355">
        <f t="shared" ref="H75:H139" si="3">E75*G75</f>
        <v>0</v>
      </c>
    </row>
    <row r="76" spans="1:8">
      <c r="A76" s="1353"/>
      <c r="B76" s="1354" t="s">
        <v>3157</v>
      </c>
      <c r="C76" s="1354" t="s">
        <v>1416</v>
      </c>
      <c r="D76" s="1354"/>
      <c r="E76" s="1354">
        <v>2000</v>
      </c>
      <c r="F76" s="1354"/>
      <c r="G76" s="1354">
        <f>'Mor. Super TOS'!D82</f>
        <v>3</v>
      </c>
      <c r="H76" s="1355">
        <f t="shared" si="3"/>
        <v>6000</v>
      </c>
    </row>
    <row r="77" spans="1:8">
      <c r="A77" s="1353"/>
      <c r="B77" s="1354" t="s">
        <v>1433</v>
      </c>
      <c r="C77" s="1354"/>
      <c r="D77" s="1354"/>
      <c r="E77" s="1354"/>
      <c r="F77" s="1354">
        <f t="shared" si="2"/>
        <v>0</v>
      </c>
      <c r="G77" s="1354"/>
      <c r="H77" s="1355">
        <f t="shared" si="3"/>
        <v>0</v>
      </c>
    </row>
    <row r="78" spans="1:8">
      <c r="A78" s="1353">
        <v>5.4</v>
      </c>
      <c r="B78" s="1354" t="s">
        <v>1716</v>
      </c>
      <c r="C78" s="1354" t="s">
        <v>1416</v>
      </c>
      <c r="D78" s="1354">
        <v>2</v>
      </c>
      <c r="E78" s="1354">
        <v>2000</v>
      </c>
      <c r="F78" s="1354">
        <f t="shared" si="2"/>
        <v>4000</v>
      </c>
      <c r="G78" s="1354"/>
      <c r="H78" s="1355">
        <f t="shared" si="3"/>
        <v>0</v>
      </c>
    </row>
    <row r="79" spans="1:8" ht="19.5" thickBot="1">
      <c r="A79" s="1381"/>
      <c r="B79" s="1382" t="s">
        <v>1330</v>
      </c>
      <c r="C79" s="1322"/>
      <c r="D79" s="1322"/>
      <c r="E79" s="1383"/>
      <c r="F79" s="1322">
        <f>SUM(F75:F78)</f>
        <v>10000</v>
      </c>
      <c r="G79" s="1322"/>
      <c r="H79" s="1384">
        <f>SUM(H75:H78)</f>
        <v>6000</v>
      </c>
    </row>
    <row r="80" spans="1:8" ht="19.5" thickTop="1">
      <c r="A80" s="1354"/>
      <c r="B80" s="1358" t="s">
        <v>1415</v>
      </c>
      <c r="C80" s="1354"/>
      <c r="D80" s="1354"/>
      <c r="E80" s="1354"/>
      <c r="F80" s="1354"/>
      <c r="G80" s="1354"/>
      <c r="H80" s="1355"/>
    </row>
    <row r="81" spans="1:9" ht="21">
      <c r="A81" s="1354">
        <v>6.1</v>
      </c>
      <c r="B81" s="1354" t="s">
        <v>1414</v>
      </c>
      <c r="C81" s="1354" t="s">
        <v>3264</v>
      </c>
      <c r="D81" s="1354">
        <v>95</v>
      </c>
      <c r="E81" s="1354">
        <v>150</v>
      </c>
      <c r="F81" s="1354">
        <f t="shared" si="2"/>
        <v>14250</v>
      </c>
      <c r="G81" s="1354">
        <f>'Mor. Super TOS'!D101</f>
        <v>38.582999999999998</v>
      </c>
      <c r="H81" s="1355">
        <f t="shared" si="3"/>
        <v>5787.45</v>
      </c>
    </row>
    <row r="82" spans="1:9" ht="21">
      <c r="A82" s="1354">
        <v>6.2</v>
      </c>
      <c r="B82" s="1354" t="s">
        <v>1539</v>
      </c>
      <c r="C82" s="1354" t="s">
        <v>3264</v>
      </c>
      <c r="D82" s="1354">
        <v>130</v>
      </c>
      <c r="E82" s="1354">
        <v>150</v>
      </c>
      <c r="F82" s="1354">
        <f t="shared" si="2"/>
        <v>19500</v>
      </c>
      <c r="G82" s="1354">
        <f>'Mor. Super TOS'!H74</f>
        <v>21.801000000000009</v>
      </c>
      <c r="H82" s="1355">
        <f t="shared" si="3"/>
        <v>3270.1500000000015</v>
      </c>
    </row>
    <row r="83" spans="1:9" ht="21">
      <c r="A83" s="1354">
        <v>6.3</v>
      </c>
      <c r="B83" s="1354" t="s">
        <v>1412</v>
      </c>
      <c r="C83" s="1354" t="s">
        <v>3264</v>
      </c>
      <c r="D83" s="1354">
        <v>45</v>
      </c>
      <c r="E83" s="1354">
        <v>250</v>
      </c>
      <c r="F83" s="1354">
        <f t="shared" si="2"/>
        <v>11250</v>
      </c>
      <c r="G83" s="1354">
        <f>'Mor. Super TOS'!H79</f>
        <v>12.5</v>
      </c>
      <c r="H83" s="1355">
        <f t="shared" si="3"/>
        <v>3125</v>
      </c>
    </row>
    <row r="84" spans="1:9" ht="21">
      <c r="A84" s="1354">
        <v>6.4</v>
      </c>
      <c r="B84" s="1354" t="s">
        <v>1717</v>
      </c>
      <c r="C84" s="1354" t="s">
        <v>3264</v>
      </c>
      <c r="D84" s="1354">
        <v>64</v>
      </c>
      <c r="E84" s="1354">
        <v>320</v>
      </c>
      <c r="F84" s="1354">
        <f t="shared" si="2"/>
        <v>20480</v>
      </c>
      <c r="G84" s="1354"/>
      <c r="H84" s="1355">
        <f t="shared" si="3"/>
        <v>0</v>
      </c>
    </row>
    <row r="85" spans="1:9" ht="21">
      <c r="A85" s="1353">
        <v>6.5</v>
      </c>
      <c r="B85" s="1361" t="s">
        <v>1718</v>
      </c>
      <c r="C85" s="1354" t="s">
        <v>3264</v>
      </c>
      <c r="D85" s="1354">
        <v>12</v>
      </c>
      <c r="E85" s="1354">
        <v>350</v>
      </c>
      <c r="F85" s="1354">
        <f t="shared" si="2"/>
        <v>4200</v>
      </c>
      <c r="G85" s="1354"/>
      <c r="H85" s="1355">
        <f t="shared" si="3"/>
        <v>0</v>
      </c>
    </row>
    <row r="86" spans="1:9" ht="21">
      <c r="A86" s="1357">
        <v>6.1</v>
      </c>
      <c r="B86" s="1364" t="s">
        <v>1719</v>
      </c>
      <c r="C86" s="1357" t="s">
        <v>3264</v>
      </c>
      <c r="D86" s="1354">
        <v>35</v>
      </c>
      <c r="E86" s="1354">
        <v>250</v>
      </c>
      <c r="F86" s="1354">
        <f t="shared" si="2"/>
        <v>8750</v>
      </c>
      <c r="G86" s="1354"/>
      <c r="H86" s="1355">
        <f t="shared" si="3"/>
        <v>0</v>
      </c>
    </row>
    <row r="87" spans="1:9">
      <c r="A87" s="1354">
        <v>6.11</v>
      </c>
      <c r="B87" s="1361" t="s">
        <v>1630</v>
      </c>
      <c r="C87" s="1354" t="s">
        <v>1406</v>
      </c>
      <c r="D87" s="1354">
        <v>42</v>
      </c>
      <c r="E87" s="1354">
        <v>180</v>
      </c>
      <c r="F87" s="1354">
        <f t="shared" si="2"/>
        <v>7560</v>
      </c>
      <c r="G87" s="1354"/>
      <c r="H87" s="1355">
        <f t="shared" si="3"/>
        <v>0</v>
      </c>
      <c r="I87" s="1380">
        <f>18+9+5</f>
        <v>32</v>
      </c>
    </row>
    <row r="88" spans="1:9">
      <c r="A88" s="1357">
        <v>6.16</v>
      </c>
      <c r="B88" s="1364" t="s">
        <v>1631</v>
      </c>
      <c r="C88" s="1354" t="s">
        <v>1406</v>
      </c>
      <c r="D88" s="1354">
        <v>4.5</v>
      </c>
      <c r="E88" s="1354">
        <v>200</v>
      </c>
      <c r="F88" s="1354">
        <f t="shared" si="2"/>
        <v>900</v>
      </c>
      <c r="G88" s="1354"/>
      <c r="H88" s="1355">
        <f t="shared" si="3"/>
        <v>0</v>
      </c>
    </row>
    <row r="89" spans="1:9" ht="21">
      <c r="A89" s="1366">
        <v>6.21</v>
      </c>
      <c r="B89" s="1367" t="s">
        <v>1511</v>
      </c>
      <c r="C89" s="1354" t="s">
        <v>3264</v>
      </c>
      <c r="D89" s="1354">
        <v>51</v>
      </c>
      <c r="E89" s="1354">
        <v>400</v>
      </c>
      <c r="F89" s="1354">
        <f t="shared" si="2"/>
        <v>20400</v>
      </c>
      <c r="G89" s="1354">
        <f>'Mor. Super TOS'!H89</f>
        <v>19.8</v>
      </c>
      <c r="H89" s="1355">
        <f t="shared" si="3"/>
        <v>7920</v>
      </c>
    </row>
    <row r="90" spans="1:9">
      <c r="A90" s="1357"/>
      <c r="B90" s="1368" t="s">
        <v>1602</v>
      </c>
      <c r="C90" s="1357" t="s">
        <v>1402</v>
      </c>
      <c r="D90" s="1354">
        <v>53</v>
      </c>
      <c r="E90" s="1354">
        <v>200</v>
      </c>
      <c r="F90" s="1354">
        <f t="shared" si="2"/>
        <v>10600</v>
      </c>
      <c r="G90" s="1354">
        <f>'Mor. Super TOS'!H100</f>
        <v>26.6</v>
      </c>
      <c r="H90" s="1355">
        <f t="shared" si="3"/>
        <v>5320</v>
      </c>
    </row>
    <row r="91" spans="1:9">
      <c r="A91" s="1357"/>
      <c r="B91" s="1369" t="s">
        <v>1403</v>
      </c>
      <c r="C91" s="1357" t="s">
        <v>1402</v>
      </c>
      <c r="D91" s="1354">
        <v>53</v>
      </c>
      <c r="E91" s="1354">
        <v>250</v>
      </c>
      <c r="F91" s="1354">
        <f t="shared" si="2"/>
        <v>13250</v>
      </c>
      <c r="G91" s="1354"/>
      <c r="H91" s="1355">
        <f t="shared" si="3"/>
        <v>0</v>
      </c>
    </row>
    <row r="92" spans="1:9" ht="19.5" thickBot="1">
      <c r="A92" s="1381"/>
      <c r="B92" s="1382" t="s">
        <v>1330</v>
      </c>
      <c r="C92" s="1322"/>
      <c r="D92" s="1322"/>
      <c r="E92" s="1383"/>
      <c r="F92" s="1322">
        <f>SUM(F81:F91)</f>
        <v>131140</v>
      </c>
      <c r="G92" s="1322"/>
      <c r="H92" s="1384">
        <f>SUM(H81:H91)</f>
        <v>25422.600000000002</v>
      </c>
    </row>
    <row r="93" spans="1:9" ht="19.5" thickTop="1">
      <c r="A93" s="1354"/>
      <c r="B93" s="1358" t="s">
        <v>1401</v>
      </c>
      <c r="C93" s="1354"/>
      <c r="D93" s="1354"/>
      <c r="E93" s="1354"/>
      <c r="F93" s="1354"/>
      <c r="G93" s="1354"/>
      <c r="H93" s="1355"/>
    </row>
    <row r="94" spans="1:9" ht="21">
      <c r="A94" s="1353">
        <v>7.1</v>
      </c>
      <c r="B94" s="1357" t="s">
        <v>1398</v>
      </c>
      <c r="C94" s="1354" t="s">
        <v>3264</v>
      </c>
      <c r="D94" s="1354">
        <v>95</v>
      </c>
      <c r="E94" s="1354">
        <v>30</v>
      </c>
      <c r="F94" s="1354">
        <f t="shared" si="2"/>
        <v>2850</v>
      </c>
      <c r="G94" s="1354">
        <f>'Mor. Super TOS'!H105</f>
        <v>38.582999999999998</v>
      </c>
      <c r="H94" s="1355">
        <f t="shared" si="3"/>
        <v>1157.49</v>
      </c>
    </row>
    <row r="95" spans="1:9" ht="21">
      <c r="A95" s="1356">
        <v>7.1</v>
      </c>
      <c r="B95" s="1357" t="s">
        <v>1400</v>
      </c>
      <c r="C95" s="1354" t="s">
        <v>3264</v>
      </c>
      <c r="D95" s="1354">
        <v>130</v>
      </c>
      <c r="E95" s="1354">
        <v>27</v>
      </c>
      <c r="F95" s="1354">
        <f t="shared" si="2"/>
        <v>3510</v>
      </c>
      <c r="G95" s="1354"/>
      <c r="H95" s="1355">
        <f t="shared" si="3"/>
        <v>0</v>
      </c>
    </row>
    <row r="96" spans="1:9" ht="21">
      <c r="A96" s="1353">
        <v>7.3</v>
      </c>
      <c r="B96" s="1357" t="s">
        <v>1399</v>
      </c>
      <c r="C96" s="1354" t="s">
        <v>3264</v>
      </c>
      <c r="D96" s="1354">
        <v>45</v>
      </c>
      <c r="E96" s="1354">
        <v>25</v>
      </c>
      <c r="F96" s="1354">
        <f t="shared" si="2"/>
        <v>1125</v>
      </c>
      <c r="G96" s="1354"/>
      <c r="H96" s="1355">
        <f t="shared" si="3"/>
        <v>0</v>
      </c>
    </row>
    <row r="97" spans="1:8" ht="19.5" thickBot="1">
      <c r="A97" s="1381"/>
      <c r="B97" s="1382" t="s">
        <v>1330</v>
      </c>
      <c r="C97" s="1322"/>
      <c r="D97" s="1322"/>
      <c r="E97" s="1383"/>
      <c r="F97" s="1322">
        <f>SUM(F94:F96)</f>
        <v>7485</v>
      </c>
      <c r="G97" s="1322"/>
      <c r="H97" s="1384">
        <f>SUM(H94:H96)</f>
        <v>1157.49</v>
      </c>
    </row>
    <row r="98" spans="1:8" ht="19.5" thickTop="1">
      <c r="A98" s="1370"/>
      <c r="B98" s="1358" t="s">
        <v>1397</v>
      </c>
      <c r="C98" s="1354"/>
      <c r="D98" s="1354"/>
      <c r="E98" s="1354"/>
      <c r="F98" s="1354"/>
      <c r="G98" s="1354"/>
      <c r="H98" s="1355"/>
    </row>
    <row r="99" spans="1:8" ht="21">
      <c r="A99" s="1356">
        <v>8.1</v>
      </c>
      <c r="B99" s="1357" t="s">
        <v>1396</v>
      </c>
      <c r="C99" s="1354" t="s">
        <v>3264</v>
      </c>
      <c r="D99" s="1354">
        <v>12</v>
      </c>
      <c r="E99" s="1354">
        <v>280</v>
      </c>
      <c r="F99" s="1354">
        <f t="shared" si="2"/>
        <v>3360</v>
      </c>
      <c r="G99" s="1354"/>
      <c r="H99" s="1355">
        <f t="shared" si="3"/>
        <v>0</v>
      </c>
    </row>
    <row r="100" spans="1:8" ht="19.5" thickBot="1">
      <c r="A100" s="1381"/>
      <c r="B100" s="1382" t="s">
        <v>1330</v>
      </c>
      <c r="C100" s="1322"/>
      <c r="D100" s="1322"/>
      <c r="E100" s="1383"/>
      <c r="F100" s="1322">
        <f>SUM(F99)</f>
        <v>3360</v>
      </c>
      <c r="G100" s="1322"/>
      <c r="H100" s="1384">
        <f>SUM(H99)</f>
        <v>0</v>
      </c>
    </row>
    <row r="101" spans="1:8" ht="19.5" thickTop="1">
      <c r="A101" s="1359"/>
      <c r="B101" s="1362" t="s">
        <v>1395</v>
      </c>
      <c r="C101" s="1360"/>
      <c r="D101" s="1360"/>
      <c r="E101" s="1360"/>
      <c r="F101" s="1360"/>
      <c r="G101" s="1360"/>
      <c r="H101" s="1363"/>
    </row>
    <row r="102" spans="1:8">
      <c r="A102" s="1353">
        <v>9.1</v>
      </c>
      <c r="B102" s="1354" t="s">
        <v>1545</v>
      </c>
      <c r="C102" s="1354"/>
      <c r="D102" s="1354"/>
      <c r="E102" s="1354"/>
      <c r="F102" s="1354"/>
      <c r="G102" s="1354"/>
      <c r="H102" s="1355"/>
    </row>
    <row r="103" spans="1:8">
      <c r="A103" s="1354"/>
      <c r="B103" s="1354" t="s">
        <v>1391</v>
      </c>
      <c r="C103" s="1354" t="s">
        <v>1370</v>
      </c>
      <c r="D103" s="1354">
        <v>10</v>
      </c>
      <c r="E103" s="1354">
        <v>30</v>
      </c>
      <c r="F103" s="1354">
        <f t="shared" si="2"/>
        <v>300</v>
      </c>
      <c r="G103" s="1354"/>
      <c r="H103" s="1355">
        <f t="shared" si="3"/>
        <v>0</v>
      </c>
    </row>
    <row r="104" spans="1:8">
      <c r="A104" s="1354"/>
      <c r="B104" s="1354" t="s">
        <v>1390</v>
      </c>
      <c r="C104" s="1354" t="s">
        <v>1370</v>
      </c>
      <c r="D104" s="1354">
        <v>25</v>
      </c>
      <c r="E104" s="1354">
        <v>35</v>
      </c>
      <c r="F104" s="1354">
        <f t="shared" si="2"/>
        <v>875</v>
      </c>
      <c r="G104" s="1354"/>
      <c r="H104" s="1355">
        <f t="shared" si="3"/>
        <v>0</v>
      </c>
    </row>
    <row r="105" spans="1:8">
      <c r="A105" s="1353">
        <v>9.1999999999999993</v>
      </c>
      <c r="B105" s="1354" t="s">
        <v>1546</v>
      </c>
      <c r="C105" s="1354"/>
      <c r="D105" s="1354"/>
      <c r="E105" s="1354"/>
      <c r="F105" s="1354">
        <f t="shared" si="2"/>
        <v>0</v>
      </c>
      <c r="G105" s="1354"/>
      <c r="H105" s="1355">
        <f t="shared" si="3"/>
        <v>0</v>
      </c>
    </row>
    <row r="106" spans="1:8">
      <c r="A106" s="1353"/>
      <c r="B106" s="1354" t="s">
        <v>1384</v>
      </c>
      <c r="C106" s="1354" t="s">
        <v>4</v>
      </c>
      <c r="D106" s="1354">
        <v>15</v>
      </c>
      <c r="E106" s="1354">
        <v>90</v>
      </c>
      <c r="F106" s="1354">
        <f t="shared" si="2"/>
        <v>1350</v>
      </c>
      <c r="G106" s="1354"/>
      <c r="H106" s="1355">
        <f t="shared" si="3"/>
        <v>0</v>
      </c>
    </row>
    <row r="107" spans="1:8">
      <c r="A107" s="1353">
        <v>9.3000000000000007</v>
      </c>
      <c r="B107" s="1354" t="s">
        <v>1547</v>
      </c>
      <c r="C107" s="1354"/>
      <c r="D107" s="1354"/>
      <c r="E107" s="1354"/>
      <c r="F107" s="1354">
        <f t="shared" si="2"/>
        <v>0</v>
      </c>
      <c r="G107" s="1354"/>
      <c r="H107" s="1355">
        <f t="shared" si="3"/>
        <v>0</v>
      </c>
    </row>
    <row r="108" spans="1:8">
      <c r="A108" s="1353"/>
      <c r="B108" s="1354" t="s">
        <v>1383</v>
      </c>
      <c r="C108" s="1354" t="s">
        <v>4</v>
      </c>
      <c r="D108" s="1354">
        <v>2</v>
      </c>
      <c r="E108" s="1354">
        <v>120</v>
      </c>
      <c r="F108" s="1354">
        <f t="shared" si="2"/>
        <v>240</v>
      </c>
      <c r="G108" s="1354"/>
      <c r="H108" s="1355">
        <f t="shared" si="3"/>
        <v>0</v>
      </c>
    </row>
    <row r="109" spans="1:8">
      <c r="A109" s="1353">
        <v>9.4</v>
      </c>
      <c r="B109" s="1354" t="s">
        <v>1381</v>
      </c>
      <c r="C109" s="1354" t="s">
        <v>4</v>
      </c>
      <c r="D109" s="1354">
        <v>1</v>
      </c>
      <c r="E109" s="1354">
        <v>130</v>
      </c>
      <c r="F109" s="1354">
        <f t="shared" si="2"/>
        <v>130</v>
      </c>
      <c r="G109" s="1354"/>
      <c r="H109" s="1355">
        <f t="shared" si="3"/>
        <v>0</v>
      </c>
    </row>
    <row r="110" spans="1:8">
      <c r="A110" s="1353">
        <v>9.5</v>
      </c>
      <c r="B110" s="1354" t="s">
        <v>1548</v>
      </c>
      <c r="C110" s="1354"/>
      <c r="D110" s="1354"/>
      <c r="E110" s="1354"/>
      <c r="F110" s="1354">
        <f t="shared" si="2"/>
        <v>0</v>
      </c>
      <c r="G110" s="1354"/>
      <c r="H110" s="1355">
        <f t="shared" si="3"/>
        <v>0</v>
      </c>
    </row>
    <row r="111" spans="1:8">
      <c r="A111" s="1353"/>
      <c r="B111" s="1354" t="s">
        <v>1549</v>
      </c>
      <c r="C111" s="1354" t="s">
        <v>1370</v>
      </c>
      <c r="D111" s="1354">
        <v>5</v>
      </c>
      <c r="E111" s="1354">
        <v>40</v>
      </c>
      <c r="F111" s="1354">
        <f t="shared" si="2"/>
        <v>200</v>
      </c>
      <c r="G111" s="1354"/>
      <c r="H111" s="1355">
        <f t="shared" si="3"/>
        <v>0</v>
      </c>
    </row>
    <row r="112" spans="1:8">
      <c r="A112" s="1353"/>
      <c r="B112" s="1354" t="s">
        <v>1550</v>
      </c>
      <c r="C112" s="1354" t="s">
        <v>1370</v>
      </c>
      <c r="D112" s="1354">
        <v>8</v>
      </c>
      <c r="E112" s="1354">
        <v>45</v>
      </c>
      <c r="F112" s="1354">
        <f t="shared" si="2"/>
        <v>360</v>
      </c>
      <c r="G112" s="1354"/>
      <c r="H112" s="1355">
        <f t="shared" si="3"/>
        <v>0</v>
      </c>
    </row>
    <row r="113" spans="1:8">
      <c r="A113" s="1353"/>
      <c r="B113" s="1354" t="s">
        <v>1551</v>
      </c>
      <c r="C113" s="1354" t="s">
        <v>1370</v>
      </c>
      <c r="D113" s="1354">
        <v>12</v>
      </c>
      <c r="E113" s="1354">
        <v>50</v>
      </c>
      <c r="F113" s="1354">
        <f t="shared" si="2"/>
        <v>600</v>
      </c>
      <c r="G113" s="1354"/>
      <c r="H113" s="1355">
        <f t="shared" si="3"/>
        <v>0</v>
      </c>
    </row>
    <row r="114" spans="1:8">
      <c r="A114" s="1353">
        <v>9.6</v>
      </c>
      <c r="B114" s="1354" t="s">
        <v>1552</v>
      </c>
      <c r="C114" s="1354" t="s">
        <v>4</v>
      </c>
      <c r="D114" s="1354">
        <v>1</v>
      </c>
      <c r="E114" s="1354">
        <v>900</v>
      </c>
      <c r="F114" s="1354">
        <f t="shared" si="2"/>
        <v>900</v>
      </c>
      <c r="G114" s="1354"/>
      <c r="H114" s="1355">
        <f t="shared" si="3"/>
        <v>0</v>
      </c>
    </row>
    <row r="115" spans="1:8">
      <c r="A115" s="1353">
        <v>9.6999999999999993</v>
      </c>
      <c r="B115" s="1354" t="s">
        <v>1553</v>
      </c>
      <c r="C115" s="1354" t="s">
        <v>4</v>
      </c>
      <c r="D115" s="1354">
        <v>1</v>
      </c>
      <c r="E115" s="1354">
        <v>1200</v>
      </c>
      <c r="F115" s="1354">
        <f t="shared" si="2"/>
        <v>1200</v>
      </c>
      <c r="G115" s="1354"/>
      <c r="H115" s="1355">
        <f t="shared" si="3"/>
        <v>0</v>
      </c>
    </row>
    <row r="116" spans="1:8">
      <c r="A116" s="1353">
        <v>9.9</v>
      </c>
      <c r="B116" s="1354" t="s">
        <v>1554</v>
      </c>
      <c r="C116" s="1354" t="s">
        <v>4</v>
      </c>
      <c r="D116" s="1354">
        <v>1</v>
      </c>
      <c r="E116" s="1354">
        <v>150</v>
      </c>
      <c r="F116" s="1354">
        <f t="shared" si="2"/>
        <v>150</v>
      </c>
      <c r="G116" s="1354"/>
      <c r="H116" s="1355">
        <f t="shared" si="3"/>
        <v>0</v>
      </c>
    </row>
    <row r="117" spans="1:8">
      <c r="A117" s="1354">
        <v>9.1</v>
      </c>
      <c r="B117" s="1354" t="s">
        <v>1555</v>
      </c>
      <c r="C117" s="1354" t="s">
        <v>4</v>
      </c>
      <c r="D117" s="1354">
        <v>2</v>
      </c>
      <c r="E117" s="1354">
        <v>400</v>
      </c>
      <c r="F117" s="1354">
        <f t="shared" si="2"/>
        <v>800</v>
      </c>
      <c r="G117" s="1354"/>
      <c r="H117" s="1355">
        <f t="shared" si="3"/>
        <v>0</v>
      </c>
    </row>
    <row r="118" spans="1:8">
      <c r="A118" s="1354">
        <v>9.11</v>
      </c>
      <c r="B118" s="1354" t="s">
        <v>1556</v>
      </c>
      <c r="C118" s="1354" t="s">
        <v>4</v>
      </c>
      <c r="D118" s="1354">
        <v>2</v>
      </c>
      <c r="E118" s="1354">
        <v>150</v>
      </c>
      <c r="F118" s="1354">
        <f t="shared" si="2"/>
        <v>300</v>
      </c>
      <c r="G118" s="1354"/>
      <c r="H118" s="1355">
        <f t="shared" si="3"/>
        <v>0</v>
      </c>
    </row>
    <row r="119" spans="1:8">
      <c r="A119" s="1354">
        <v>9.1199999999999992</v>
      </c>
      <c r="B119" s="1354" t="s">
        <v>1557</v>
      </c>
      <c r="C119" s="1354" t="s">
        <v>4</v>
      </c>
      <c r="D119" s="1354">
        <v>2</v>
      </c>
      <c r="E119" s="1354">
        <v>900</v>
      </c>
      <c r="F119" s="1354">
        <f t="shared" si="2"/>
        <v>1800</v>
      </c>
      <c r="G119" s="1354"/>
      <c r="H119" s="1355">
        <f t="shared" si="3"/>
        <v>0</v>
      </c>
    </row>
    <row r="120" spans="1:8">
      <c r="A120" s="1354">
        <v>9.1300000000000008</v>
      </c>
      <c r="B120" s="1354" t="s">
        <v>1558</v>
      </c>
      <c r="C120" s="1354"/>
      <c r="D120" s="1354"/>
      <c r="E120" s="1354"/>
      <c r="F120" s="1354">
        <f t="shared" si="2"/>
        <v>0</v>
      </c>
      <c r="G120" s="1354"/>
      <c r="H120" s="1355">
        <f t="shared" si="3"/>
        <v>0</v>
      </c>
    </row>
    <row r="121" spans="1:8">
      <c r="A121" s="1354"/>
      <c r="B121" s="1354" t="s">
        <v>1720</v>
      </c>
      <c r="C121" s="1354" t="s">
        <v>4</v>
      </c>
      <c r="D121" s="1354">
        <v>1</v>
      </c>
      <c r="E121" s="1354">
        <v>2000</v>
      </c>
      <c r="F121" s="1354">
        <f t="shared" si="2"/>
        <v>2000</v>
      </c>
      <c r="G121" s="1354"/>
      <c r="H121" s="1355">
        <f t="shared" si="3"/>
        <v>0</v>
      </c>
    </row>
    <row r="122" spans="1:8">
      <c r="A122" s="1354">
        <v>9.15</v>
      </c>
      <c r="B122" s="1354" t="s">
        <v>1721</v>
      </c>
      <c r="C122" s="1354" t="s">
        <v>4</v>
      </c>
      <c r="D122" s="1354">
        <v>2</v>
      </c>
      <c r="E122" s="1354">
        <v>110</v>
      </c>
      <c r="F122" s="1354">
        <f t="shared" si="2"/>
        <v>220</v>
      </c>
      <c r="G122" s="1354"/>
      <c r="H122" s="1355">
        <f t="shared" si="3"/>
        <v>0</v>
      </c>
    </row>
    <row r="123" spans="1:8">
      <c r="A123" s="1354">
        <v>9.17</v>
      </c>
      <c r="B123" s="1354" t="s">
        <v>1559</v>
      </c>
      <c r="C123" s="1354" t="s">
        <v>1370</v>
      </c>
      <c r="D123" s="1354">
        <v>32</v>
      </c>
      <c r="E123" s="1354">
        <v>80</v>
      </c>
      <c r="F123" s="1354">
        <f t="shared" si="2"/>
        <v>2560</v>
      </c>
      <c r="G123" s="1354"/>
      <c r="H123" s="1355">
        <f t="shared" si="3"/>
        <v>0</v>
      </c>
    </row>
    <row r="124" spans="1:8">
      <c r="A124" s="1354">
        <v>9.18</v>
      </c>
      <c r="B124" s="1354" t="s">
        <v>1560</v>
      </c>
      <c r="C124" s="1354" t="s">
        <v>4</v>
      </c>
      <c r="D124" s="1354">
        <v>1</v>
      </c>
      <c r="E124" s="1354">
        <v>3000</v>
      </c>
      <c r="F124" s="1354">
        <f t="shared" si="2"/>
        <v>3000</v>
      </c>
      <c r="G124" s="1354"/>
      <c r="H124" s="1355">
        <f t="shared" si="3"/>
        <v>0</v>
      </c>
    </row>
    <row r="125" spans="1:8" ht="19.5" thickBot="1">
      <c r="A125" s="1381"/>
      <c r="B125" s="1382" t="s">
        <v>1330</v>
      </c>
      <c r="C125" s="1322"/>
      <c r="D125" s="1322"/>
      <c r="E125" s="1383"/>
      <c r="F125" s="1322">
        <f>SUM(F103:F124)</f>
        <v>16985</v>
      </c>
      <c r="G125" s="1322"/>
      <c r="H125" s="1384">
        <f>SUM(H103:H124)</f>
        <v>0</v>
      </c>
    </row>
    <row r="126" spans="1:8" ht="19.5" thickTop="1">
      <c r="A126" s="1354"/>
      <c r="B126" s="1358" t="s">
        <v>1561</v>
      </c>
      <c r="C126" s="1354"/>
      <c r="D126" s="1354"/>
      <c r="E126" s="1354"/>
      <c r="F126" s="1354"/>
      <c r="G126" s="1354"/>
      <c r="H126" s="1355"/>
    </row>
    <row r="127" spans="1:8">
      <c r="A127" s="1353">
        <v>1</v>
      </c>
      <c r="B127" s="1354" t="s">
        <v>1255</v>
      </c>
      <c r="C127" s="1354"/>
      <c r="D127" s="1354"/>
      <c r="E127" s="1354"/>
      <c r="F127" s="1354"/>
      <c r="G127" s="1354"/>
      <c r="H127" s="1355"/>
    </row>
    <row r="128" spans="1:8">
      <c r="A128" s="1353" t="s">
        <v>1722</v>
      </c>
      <c r="B128" s="1354" t="s">
        <v>1723</v>
      </c>
      <c r="C128" s="1354" t="s">
        <v>1406</v>
      </c>
      <c r="D128" s="1354">
        <v>100</v>
      </c>
      <c r="E128" s="1354">
        <v>70</v>
      </c>
      <c r="F128" s="1354">
        <f t="shared" si="2"/>
        <v>7000</v>
      </c>
      <c r="G128" s="1354"/>
      <c r="H128" s="1355">
        <f t="shared" si="3"/>
        <v>0</v>
      </c>
    </row>
    <row r="129" spans="1:8">
      <c r="A129" s="1353" t="s">
        <v>1724</v>
      </c>
      <c r="B129" s="1354" t="s">
        <v>1725</v>
      </c>
      <c r="C129" s="1354" t="s">
        <v>1406</v>
      </c>
      <c r="D129" s="1354">
        <v>200</v>
      </c>
      <c r="E129" s="1354">
        <v>90</v>
      </c>
      <c r="F129" s="1354">
        <f t="shared" si="2"/>
        <v>18000</v>
      </c>
      <c r="G129" s="1354"/>
      <c r="H129" s="1355">
        <f t="shared" si="3"/>
        <v>0</v>
      </c>
    </row>
    <row r="130" spans="1:8">
      <c r="A130" s="1353" t="s">
        <v>1726</v>
      </c>
      <c r="B130" s="1354" t="s">
        <v>1727</v>
      </c>
      <c r="C130" s="1354" t="s">
        <v>1406</v>
      </c>
      <c r="D130" s="1354">
        <v>100</v>
      </c>
      <c r="E130" s="1354">
        <v>150</v>
      </c>
      <c r="F130" s="1354">
        <f t="shared" si="2"/>
        <v>15000</v>
      </c>
      <c r="H130" s="1355">
        <f t="shared" si="3"/>
        <v>0</v>
      </c>
    </row>
    <row r="131" spans="1:8">
      <c r="A131" s="1353">
        <v>2</v>
      </c>
      <c r="B131" s="1354" t="s">
        <v>1562</v>
      </c>
      <c r="C131" s="1354"/>
      <c r="D131" s="1354"/>
      <c r="E131" s="1354"/>
      <c r="F131" s="1354">
        <f t="shared" si="2"/>
        <v>0</v>
      </c>
      <c r="G131" s="1354"/>
      <c r="H131" s="1355">
        <f t="shared" si="3"/>
        <v>0</v>
      </c>
    </row>
    <row r="132" spans="1:8">
      <c r="A132" s="1353"/>
      <c r="B132" s="1354" t="s">
        <v>1728</v>
      </c>
      <c r="C132" s="1354"/>
      <c r="D132" s="1354"/>
      <c r="E132" s="1354"/>
      <c r="F132" s="1354">
        <f t="shared" si="2"/>
        <v>0</v>
      </c>
      <c r="G132" s="1354"/>
      <c r="H132" s="1355">
        <f t="shared" si="3"/>
        <v>0</v>
      </c>
    </row>
    <row r="133" spans="1:8">
      <c r="A133" s="1353" t="s">
        <v>1722</v>
      </c>
      <c r="B133" s="1354" t="s">
        <v>1729</v>
      </c>
      <c r="C133" s="1354" t="s">
        <v>1730</v>
      </c>
      <c r="D133" s="1354">
        <v>1</v>
      </c>
      <c r="E133" s="1354">
        <v>5000</v>
      </c>
      <c r="F133" s="1354">
        <f t="shared" si="2"/>
        <v>5000</v>
      </c>
      <c r="G133" s="1354"/>
      <c r="H133" s="1355">
        <f t="shared" si="3"/>
        <v>0</v>
      </c>
    </row>
    <row r="134" spans="1:8">
      <c r="A134" s="1353" t="s">
        <v>1731</v>
      </c>
      <c r="B134" s="1354" t="s">
        <v>1729</v>
      </c>
      <c r="C134" s="1354" t="s">
        <v>1730</v>
      </c>
      <c r="D134" s="1354">
        <v>1</v>
      </c>
      <c r="E134" s="1354">
        <v>5000</v>
      </c>
      <c r="F134" s="1354">
        <f t="shared" si="2"/>
        <v>5000</v>
      </c>
      <c r="G134" s="1354"/>
      <c r="H134" s="1355">
        <f t="shared" si="3"/>
        <v>0</v>
      </c>
    </row>
    <row r="135" spans="1:8">
      <c r="A135" s="1353" t="s">
        <v>1724</v>
      </c>
      <c r="B135" s="1354" t="s">
        <v>1732</v>
      </c>
      <c r="C135" s="1354" t="s">
        <v>1730</v>
      </c>
      <c r="D135" s="1354">
        <v>1</v>
      </c>
      <c r="E135" s="1354">
        <v>5000</v>
      </c>
      <c r="F135" s="1354">
        <f t="shared" si="2"/>
        <v>5000</v>
      </c>
      <c r="G135" s="1354"/>
      <c r="H135" s="1355">
        <f t="shared" si="3"/>
        <v>0</v>
      </c>
    </row>
    <row r="136" spans="1:8">
      <c r="A136" s="1353">
        <v>3</v>
      </c>
      <c r="B136" s="1354" t="s">
        <v>1733</v>
      </c>
      <c r="C136" s="1354"/>
      <c r="D136" s="1354"/>
      <c r="E136" s="1354"/>
      <c r="F136" s="1354">
        <f t="shared" si="2"/>
        <v>0</v>
      </c>
      <c r="G136" s="1354"/>
      <c r="H136" s="1355">
        <f t="shared" si="3"/>
        <v>0</v>
      </c>
    </row>
    <row r="137" spans="1:8">
      <c r="A137" s="1353" t="s">
        <v>1722</v>
      </c>
      <c r="B137" s="1354" t="s">
        <v>1734</v>
      </c>
      <c r="C137" s="1354" t="s">
        <v>1730</v>
      </c>
      <c r="D137" s="1354">
        <v>3</v>
      </c>
      <c r="E137" s="1354">
        <v>400</v>
      </c>
      <c r="F137" s="1354">
        <f t="shared" si="2"/>
        <v>1200</v>
      </c>
      <c r="G137" s="1354"/>
      <c r="H137" s="1355">
        <f t="shared" si="3"/>
        <v>0</v>
      </c>
    </row>
    <row r="138" spans="1:8">
      <c r="A138" s="1353" t="s">
        <v>1731</v>
      </c>
      <c r="B138" s="1354" t="s">
        <v>1735</v>
      </c>
      <c r="C138" s="1354" t="s">
        <v>1730</v>
      </c>
      <c r="D138" s="1354">
        <v>6</v>
      </c>
      <c r="E138" s="1354">
        <v>300</v>
      </c>
      <c r="F138" s="1354">
        <f t="shared" si="2"/>
        <v>1800</v>
      </c>
      <c r="G138" s="1354"/>
      <c r="H138" s="1355">
        <f t="shared" si="3"/>
        <v>0</v>
      </c>
    </row>
    <row r="139" spans="1:8">
      <c r="A139" s="1353" t="s">
        <v>1724</v>
      </c>
      <c r="B139" s="1354" t="s">
        <v>1736</v>
      </c>
      <c r="C139" s="1354" t="s">
        <v>1730</v>
      </c>
      <c r="D139" s="1354">
        <v>20</v>
      </c>
      <c r="E139" s="1354">
        <v>250</v>
      </c>
      <c r="F139" s="1354">
        <f t="shared" si="2"/>
        <v>5000</v>
      </c>
      <c r="G139" s="1354"/>
      <c r="H139" s="1355">
        <f t="shared" si="3"/>
        <v>0</v>
      </c>
    </row>
    <row r="140" spans="1:8">
      <c r="A140" s="1353" t="s">
        <v>526</v>
      </c>
      <c r="B140" s="1354" t="s">
        <v>1737</v>
      </c>
      <c r="C140" s="1354" t="s">
        <v>1730</v>
      </c>
      <c r="D140" s="1354">
        <v>12</v>
      </c>
      <c r="E140" s="1354">
        <v>300</v>
      </c>
      <c r="F140" s="1354">
        <f t="shared" ref="F140:F167" si="4">D140*E140</f>
        <v>3600</v>
      </c>
      <c r="G140" s="1354"/>
      <c r="H140" s="1355">
        <f t="shared" ref="H140:H167" si="5">E140*G140</f>
        <v>0</v>
      </c>
    </row>
    <row r="141" spans="1:8">
      <c r="A141" s="1353" t="s">
        <v>1726</v>
      </c>
      <c r="B141" s="1354" t="s">
        <v>1738</v>
      </c>
      <c r="C141" s="1354" t="s">
        <v>1730</v>
      </c>
      <c r="D141" s="1354">
        <v>16</v>
      </c>
      <c r="E141" s="1354">
        <v>400</v>
      </c>
      <c r="F141" s="1354">
        <f t="shared" si="4"/>
        <v>6400</v>
      </c>
      <c r="G141" s="1354"/>
      <c r="H141" s="1355">
        <f t="shared" si="5"/>
        <v>0</v>
      </c>
    </row>
    <row r="142" spans="1:8">
      <c r="A142" s="1353" t="s">
        <v>1739</v>
      </c>
      <c r="B142" s="1354" t="s">
        <v>1740</v>
      </c>
      <c r="C142" s="1354" t="s">
        <v>1730</v>
      </c>
      <c r="D142" s="1354">
        <v>4</v>
      </c>
      <c r="E142" s="1354">
        <v>400</v>
      </c>
      <c r="F142" s="1354">
        <f t="shared" si="4"/>
        <v>1600</v>
      </c>
      <c r="G142" s="1354"/>
      <c r="H142" s="1355">
        <f t="shared" si="5"/>
        <v>0</v>
      </c>
    </row>
    <row r="143" spans="1:8">
      <c r="A143" s="1353" t="s">
        <v>1741</v>
      </c>
      <c r="B143" s="1354" t="s">
        <v>1742</v>
      </c>
      <c r="C143" s="1354" t="s">
        <v>1730</v>
      </c>
      <c r="D143" s="1354">
        <v>12</v>
      </c>
      <c r="E143" s="1354">
        <v>300</v>
      </c>
      <c r="F143" s="1354">
        <f t="shared" si="4"/>
        <v>3600</v>
      </c>
      <c r="G143" s="1354"/>
      <c r="H143" s="1355">
        <f t="shared" si="5"/>
        <v>0</v>
      </c>
    </row>
    <row r="144" spans="1:8">
      <c r="A144" s="1353" t="s">
        <v>1743</v>
      </c>
      <c r="B144" s="1354" t="s">
        <v>1744</v>
      </c>
      <c r="C144" s="1354" t="s">
        <v>1730</v>
      </c>
      <c r="D144" s="1354">
        <v>12</v>
      </c>
      <c r="E144" s="1354">
        <v>300</v>
      </c>
      <c r="F144" s="1354">
        <f t="shared" si="4"/>
        <v>3600</v>
      </c>
      <c r="G144" s="1354"/>
      <c r="H144" s="1355">
        <f t="shared" si="5"/>
        <v>0</v>
      </c>
    </row>
    <row r="145" spans="1:8">
      <c r="A145" s="1353" t="s">
        <v>1745</v>
      </c>
      <c r="B145" s="1354" t="s">
        <v>1746</v>
      </c>
      <c r="C145" s="1354" t="s">
        <v>1730</v>
      </c>
      <c r="D145" s="1354">
        <v>12</v>
      </c>
      <c r="E145" s="1354">
        <v>300</v>
      </c>
      <c r="F145" s="1354">
        <f t="shared" si="4"/>
        <v>3600</v>
      </c>
      <c r="G145" s="1354"/>
      <c r="H145" s="1355">
        <f t="shared" si="5"/>
        <v>0</v>
      </c>
    </row>
    <row r="146" spans="1:8">
      <c r="A146" s="1353"/>
      <c r="B146" s="1354" t="s">
        <v>1747</v>
      </c>
      <c r="C146" s="1354"/>
      <c r="D146" s="1354"/>
      <c r="E146" s="1354"/>
      <c r="F146" s="1354">
        <f t="shared" si="4"/>
        <v>0</v>
      </c>
      <c r="G146" s="1354"/>
      <c r="H146" s="1355">
        <f t="shared" si="5"/>
        <v>0</v>
      </c>
    </row>
    <row r="147" spans="1:8">
      <c r="A147" s="1353">
        <v>4</v>
      </c>
      <c r="B147" s="1354" t="s">
        <v>1748</v>
      </c>
      <c r="C147" s="1354"/>
      <c r="D147" s="1354"/>
      <c r="E147" s="1354"/>
      <c r="F147" s="1354">
        <f t="shared" si="4"/>
        <v>0</v>
      </c>
      <c r="G147" s="1354"/>
      <c r="H147" s="1355">
        <f t="shared" si="5"/>
        <v>0</v>
      </c>
    </row>
    <row r="148" spans="1:8">
      <c r="A148" s="1353" t="s">
        <v>1722</v>
      </c>
      <c r="B148" s="1354" t="s">
        <v>1749</v>
      </c>
      <c r="C148" s="1354" t="s">
        <v>1730</v>
      </c>
      <c r="D148" s="1354">
        <v>12</v>
      </c>
      <c r="E148" s="1354">
        <v>100</v>
      </c>
      <c r="F148" s="1354">
        <f t="shared" si="4"/>
        <v>1200</v>
      </c>
      <c r="G148" s="1354"/>
      <c r="H148" s="1355">
        <f t="shared" si="5"/>
        <v>0</v>
      </c>
    </row>
    <row r="149" spans="1:8">
      <c r="A149" s="1353" t="s">
        <v>1731</v>
      </c>
      <c r="B149" s="1354" t="s">
        <v>1750</v>
      </c>
      <c r="C149" s="1354" t="s">
        <v>1730</v>
      </c>
      <c r="D149" s="1354">
        <v>26</v>
      </c>
      <c r="E149" s="1354">
        <v>40</v>
      </c>
      <c r="F149" s="1354">
        <f t="shared" si="4"/>
        <v>1040</v>
      </c>
      <c r="G149" s="1354"/>
      <c r="H149" s="1355">
        <f t="shared" si="5"/>
        <v>0</v>
      </c>
    </row>
    <row r="150" spans="1:8">
      <c r="A150" s="1353" t="s">
        <v>1724</v>
      </c>
      <c r="B150" s="1354" t="s">
        <v>1751</v>
      </c>
      <c r="C150" s="1354" t="s">
        <v>1730</v>
      </c>
      <c r="D150" s="1354">
        <v>12</v>
      </c>
      <c r="E150" s="1354">
        <v>40</v>
      </c>
      <c r="F150" s="1354">
        <f t="shared" si="4"/>
        <v>480</v>
      </c>
      <c r="G150" s="1354"/>
      <c r="H150" s="1355">
        <f t="shared" si="5"/>
        <v>0</v>
      </c>
    </row>
    <row r="151" spans="1:8">
      <c r="A151" s="1353" t="s">
        <v>526</v>
      </c>
      <c r="B151" s="1354" t="s">
        <v>1752</v>
      </c>
      <c r="C151" s="1354" t="s">
        <v>1730</v>
      </c>
      <c r="D151" s="1354">
        <v>40</v>
      </c>
      <c r="E151" s="1354">
        <v>40</v>
      </c>
      <c r="F151" s="1354">
        <f t="shared" si="4"/>
        <v>1600</v>
      </c>
      <c r="G151" s="1354"/>
      <c r="H151" s="1355">
        <f t="shared" si="5"/>
        <v>0</v>
      </c>
    </row>
    <row r="152" spans="1:8" ht="19.5" thickBot="1">
      <c r="A152" s="1372" t="s">
        <v>1726</v>
      </c>
      <c r="B152" s="1373" t="s">
        <v>1753</v>
      </c>
      <c r="C152" s="1373" t="s">
        <v>1730</v>
      </c>
      <c r="D152" s="1373">
        <v>16</v>
      </c>
      <c r="E152" s="1373">
        <v>40</v>
      </c>
      <c r="F152" s="1373">
        <f t="shared" si="4"/>
        <v>640</v>
      </c>
      <c r="G152" s="1373"/>
      <c r="H152" s="1374">
        <f t="shared" si="5"/>
        <v>0</v>
      </c>
    </row>
    <row r="153" spans="1:8" ht="19.5" thickTop="1">
      <c r="A153" s="1359">
        <v>5</v>
      </c>
      <c r="B153" s="1360" t="s">
        <v>1754</v>
      </c>
      <c r="C153" s="1360"/>
      <c r="D153" s="1360"/>
      <c r="E153" s="1360"/>
      <c r="F153" s="1360">
        <f t="shared" si="4"/>
        <v>0</v>
      </c>
      <c r="G153" s="1360"/>
      <c r="H153" s="1363">
        <f t="shared" si="5"/>
        <v>0</v>
      </c>
    </row>
    <row r="154" spans="1:8">
      <c r="A154" s="1353" t="s">
        <v>1722</v>
      </c>
      <c r="B154" s="1354" t="s">
        <v>1755</v>
      </c>
      <c r="C154" s="1354" t="s">
        <v>1730</v>
      </c>
      <c r="D154" s="1354"/>
      <c r="E154" s="1354"/>
      <c r="F154" s="1354">
        <f t="shared" si="4"/>
        <v>0</v>
      </c>
      <c r="G154" s="1354"/>
      <c r="H154" s="1355">
        <f t="shared" si="5"/>
        <v>0</v>
      </c>
    </row>
    <row r="155" spans="1:8">
      <c r="A155" s="1353" t="s">
        <v>1731</v>
      </c>
      <c r="B155" s="1354" t="s">
        <v>1756</v>
      </c>
      <c r="C155" s="1354" t="s">
        <v>1730</v>
      </c>
      <c r="D155" s="1354">
        <v>46</v>
      </c>
      <c r="E155" s="1354">
        <v>100</v>
      </c>
      <c r="F155" s="1354">
        <f t="shared" si="4"/>
        <v>4600</v>
      </c>
      <c r="G155" s="1354"/>
      <c r="H155" s="1355">
        <f t="shared" si="5"/>
        <v>0</v>
      </c>
    </row>
    <row r="156" spans="1:8">
      <c r="A156" s="1353">
        <v>6</v>
      </c>
      <c r="B156" s="1354" t="s">
        <v>1757</v>
      </c>
      <c r="C156" s="1354"/>
      <c r="D156" s="1354"/>
      <c r="E156" s="1354"/>
      <c r="F156" s="1354">
        <f t="shared" si="4"/>
        <v>0</v>
      </c>
      <c r="G156" s="1354"/>
      <c r="H156" s="1355">
        <f t="shared" si="5"/>
        <v>0</v>
      </c>
    </row>
    <row r="157" spans="1:8">
      <c r="A157" s="1353" t="s">
        <v>1741</v>
      </c>
      <c r="B157" s="1354" t="s">
        <v>1758</v>
      </c>
      <c r="C157" s="1354" t="s">
        <v>1730</v>
      </c>
      <c r="D157" s="1354">
        <v>6</v>
      </c>
      <c r="E157" s="1354">
        <v>1500</v>
      </c>
      <c r="F157" s="1354">
        <f t="shared" si="4"/>
        <v>9000</v>
      </c>
      <c r="G157" s="1354"/>
      <c r="H157" s="1355">
        <f t="shared" si="5"/>
        <v>0</v>
      </c>
    </row>
    <row r="158" spans="1:8">
      <c r="A158" s="1353" t="s">
        <v>1745</v>
      </c>
      <c r="B158" s="1354" t="s">
        <v>1759</v>
      </c>
      <c r="C158" s="1354" t="s">
        <v>1730</v>
      </c>
      <c r="D158" s="1354">
        <v>6</v>
      </c>
      <c r="E158" s="1354">
        <v>2000</v>
      </c>
      <c r="F158" s="1354">
        <f t="shared" si="4"/>
        <v>12000</v>
      </c>
      <c r="G158" s="1354"/>
      <c r="H158" s="1355">
        <f t="shared" si="5"/>
        <v>0</v>
      </c>
    </row>
    <row r="159" spans="1:8">
      <c r="A159" s="1353" t="s">
        <v>1760</v>
      </c>
      <c r="B159" s="1354" t="s">
        <v>1761</v>
      </c>
      <c r="C159" s="1354" t="s">
        <v>1730</v>
      </c>
      <c r="D159" s="1354">
        <v>16</v>
      </c>
      <c r="E159" s="1354">
        <v>1000</v>
      </c>
      <c r="F159" s="1354">
        <f t="shared" si="4"/>
        <v>16000</v>
      </c>
      <c r="G159" s="1354"/>
      <c r="H159" s="1355">
        <f t="shared" si="5"/>
        <v>0</v>
      </c>
    </row>
    <row r="160" spans="1:8">
      <c r="A160" s="1353">
        <v>7</v>
      </c>
      <c r="B160" s="1354" t="s">
        <v>1762</v>
      </c>
      <c r="C160" s="1354"/>
      <c r="D160" s="1354"/>
      <c r="E160" s="1354"/>
      <c r="F160" s="1354">
        <f t="shared" si="4"/>
        <v>0</v>
      </c>
      <c r="G160" s="1354"/>
      <c r="H160" s="1355">
        <f t="shared" si="5"/>
        <v>0</v>
      </c>
    </row>
    <row r="161" spans="1:8">
      <c r="A161" s="1353" t="s">
        <v>1722</v>
      </c>
      <c r="B161" s="1354" t="s">
        <v>1763</v>
      </c>
      <c r="C161" s="1354" t="s">
        <v>1764</v>
      </c>
      <c r="D161" s="1354">
        <v>1</v>
      </c>
      <c r="E161" s="1354">
        <v>5000</v>
      </c>
      <c r="F161" s="1354">
        <f t="shared" si="4"/>
        <v>5000</v>
      </c>
      <c r="G161" s="1354"/>
      <c r="H161" s="1355">
        <f t="shared" si="5"/>
        <v>0</v>
      </c>
    </row>
    <row r="162" spans="1:8">
      <c r="A162" s="1353">
        <v>16</v>
      </c>
      <c r="B162" s="1354" t="s">
        <v>1765</v>
      </c>
      <c r="C162" s="1354"/>
      <c r="D162" s="1354"/>
      <c r="E162" s="1354"/>
      <c r="F162" s="1354">
        <f t="shared" si="4"/>
        <v>0</v>
      </c>
      <c r="G162" s="1354"/>
      <c r="H162" s="1355">
        <f t="shared" si="5"/>
        <v>0</v>
      </c>
    </row>
    <row r="163" spans="1:8">
      <c r="A163" s="1353" t="s">
        <v>1722</v>
      </c>
      <c r="B163" s="1354" t="s">
        <v>1766</v>
      </c>
      <c r="C163" s="1354" t="s">
        <v>1764</v>
      </c>
      <c r="D163" s="1354">
        <v>1</v>
      </c>
      <c r="E163" s="1354">
        <v>7000</v>
      </c>
      <c r="F163" s="1354">
        <f t="shared" si="4"/>
        <v>7000</v>
      </c>
      <c r="G163" s="1354"/>
      <c r="H163" s="1355">
        <f t="shared" si="5"/>
        <v>0</v>
      </c>
    </row>
    <row r="164" spans="1:8">
      <c r="A164" s="1353">
        <v>8</v>
      </c>
      <c r="B164" s="1354" t="s">
        <v>1767</v>
      </c>
      <c r="C164" s="1354"/>
      <c r="D164" s="1354"/>
      <c r="E164" s="1354"/>
      <c r="F164" s="1354">
        <f t="shared" si="4"/>
        <v>0</v>
      </c>
      <c r="G164" s="1354"/>
      <c r="H164" s="1355">
        <f t="shared" si="5"/>
        <v>0</v>
      </c>
    </row>
    <row r="165" spans="1:8">
      <c r="A165" s="1353" t="s">
        <v>1722</v>
      </c>
      <c r="B165" s="1354" t="s">
        <v>1768</v>
      </c>
      <c r="C165" s="1354" t="s">
        <v>1730</v>
      </c>
      <c r="D165" s="1354">
        <v>19</v>
      </c>
      <c r="E165" s="1354">
        <v>3000</v>
      </c>
      <c r="F165" s="1354">
        <f t="shared" si="4"/>
        <v>57000</v>
      </c>
      <c r="G165" s="1354"/>
      <c r="H165" s="1355">
        <f t="shared" si="5"/>
        <v>0</v>
      </c>
    </row>
    <row r="166" spans="1:8">
      <c r="A166" s="1375"/>
      <c r="B166" s="1350" t="s">
        <v>1769</v>
      </c>
      <c r="C166" s="1350"/>
      <c r="D166" s="1350"/>
      <c r="E166" s="1354"/>
      <c r="F166" s="1354">
        <f t="shared" si="4"/>
        <v>0</v>
      </c>
      <c r="G166" s="1354"/>
      <c r="H166" s="1355">
        <f t="shared" si="5"/>
        <v>0</v>
      </c>
    </row>
    <row r="167" spans="1:8">
      <c r="A167" s="1375" t="s">
        <v>526</v>
      </c>
      <c r="B167" s="1350" t="s">
        <v>1770</v>
      </c>
      <c r="C167" s="1350" t="s">
        <v>1730</v>
      </c>
      <c r="D167" s="1350">
        <v>1</v>
      </c>
      <c r="E167" s="1354">
        <v>20000</v>
      </c>
      <c r="F167" s="1354">
        <f t="shared" si="4"/>
        <v>20000</v>
      </c>
      <c r="G167" s="1354"/>
      <c r="H167" s="1355">
        <f t="shared" si="5"/>
        <v>0</v>
      </c>
    </row>
    <row r="168" spans="1:8" ht="20.25" customHeight="1" thickBot="1">
      <c r="A168" s="1381"/>
      <c r="B168" s="1382" t="s">
        <v>1330</v>
      </c>
      <c r="C168" s="1322"/>
      <c r="D168" s="1322"/>
      <c r="E168" s="1383"/>
      <c r="F168" s="1322">
        <f>SUM(F128:F167)</f>
        <v>220960</v>
      </c>
      <c r="G168" s="1322"/>
      <c r="H168" s="1384">
        <f>SUM(H128:H167)</f>
        <v>0</v>
      </c>
    </row>
    <row r="169" spans="1:8" ht="19.5" thickTop="1"/>
  </sheetData>
  <mergeCells count="5">
    <mergeCell ref="A5:A6"/>
    <mergeCell ref="B5:B6"/>
    <mergeCell ref="C5:C6"/>
    <mergeCell ref="D5:F5"/>
    <mergeCell ref="G5:H5"/>
  </mergeCells>
  <pageMargins left="0.34" right="0.16" top="1" bottom="0.64" header="0.35" footer="0.09"/>
  <pageSetup scale="83" orientation="landscape" horizontalDpi="300" verticalDpi="300" r:id="rId1"/>
  <headerFooter alignWithMargins="0">
    <oddFooter>&amp;LContractor_________________&amp;CSupervisor_______________&amp;RConsultant_________________</oddFooter>
  </headerFooter>
  <rowBreaks count="6" manualBreakCount="6">
    <brk id="30" max="8" man="1"/>
    <brk id="52" max="8" man="1"/>
    <brk id="79" max="8" man="1"/>
    <brk id="100" max="8" man="1"/>
    <brk id="125" max="8" man="1"/>
    <brk id="146" max="8"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view="pageBreakPreview" topLeftCell="A14" zoomScale="85" zoomScaleNormal="115" zoomScaleSheetLayoutView="85" zoomScalePageLayoutView="85" workbookViewId="0">
      <selection activeCell="D38" sqref="D38"/>
    </sheetView>
  </sheetViews>
  <sheetFormatPr defaultRowHeight="15.75"/>
  <cols>
    <col min="1" max="1" width="2.85546875" style="341" customWidth="1"/>
    <col min="2" max="2" width="4.28515625" style="103" customWidth="1"/>
    <col min="3" max="3" width="8.28515625" style="159" customWidth="1"/>
    <col min="4" max="4" width="10" style="159" customWidth="1"/>
    <col min="5" max="5" width="38.5703125" style="103" customWidth="1"/>
    <col min="6" max="6" width="5.28515625" style="159" customWidth="1"/>
    <col min="7" max="7" width="10.140625" style="835" customWidth="1"/>
    <col min="8" max="8" width="13.28515625" style="836" customWidth="1"/>
    <col min="9" max="9" width="42" style="103" customWidth="1"/>
    <col min="10" max="10" width="1.28515625" style="341" customWidth="1"/>
    <col min="11" max="249" width="9.140625" style="103"/>
    <col min="250" max="250" width="3.5703125" style="103" customWidth="1"/>
    <col min="251" max="251" width="6.28515625" style="103" customWidth="1"/>
    <col min="252" max="252" width="8.28515625" style="103" customWidth="1"/>
    <col min="253" max="253" width="8.85546875" style="103" customWidth="1"/>
    <col min="254" max="254" width="38.5703125" style="103" customWidth="1"/>
    <col min="255" max="255" width="6.28515625" style="103" customWidth="1"/>
    <col min="256" max="256" width="8.42578125" style="103" customWidth="1"/>
    <col min="257" max="257" width="9.140625" style="103" customWidth="1"/>
    <col min="258" max="258" width="42" style="103" customWidth="1"/>
    <col min="259" max="259" width="1.28515625" style="103" customWidth="1"/>
    <col min="260" max="260" width="22.7109375" style="103" customWidth="1"/>
    <col min="261" max="505" width="9.140625" style="103"/>
    <col min="506" max="506" width="3.5703125" style="103" customWidth="1"/>
    <col min="507" max="507" width="6.28515625" style="103" customWidth="1"/>
    <col min="508" max="508" width="8.28515625" style="103" customWidth="1"/>
    <col min="509" max="509" width="8.85546875" style="103" customWidth="1"/>
    <col min="510" max="510" width="38.5703125" style="103" customWidth="1"/>
    <col min="511" max="511" width="6.28515625" style="103" customWidth="1"/>
    <col min="512" max="512" width="8.42578125" style="103" customWidth="1"/>
    <col min="513" max="513" width="9.140625" style="103" customWidth="1"/>
    <col min="514" max="514" width="42" style="103" customWidth="1"/>
    <col min="515" max="515" width="1.28515625" style="103" customWidth="1"/>
    <col min="516" max="516" width="22.7109375" style="103" customWidth="1"/>
    <col min="517" max="761" width="9.140625" style="103"/>
    <col min="762" max="762" width="3.5703125" style="103" customWidth="1"/>
    <col min="763" max="763" width="6.28515625" style="103" customWidth="1"/>
    <col min="764" max="764" width="8.28515625" style="103" customWidth="1"/>
    <col min="765" max="765" width="8.85546875" style="103" customWidth="1"/>
    <col min="766" max="766" width="38.5703125" style="103" customWidth="1"/>
    <col min="767" max="767" width="6.28515625" style="103" customWidth="1"/>
    <col min="768" max="768" width="8.42578125" style="103" customWidth="1"/>
    <col min="769" max="769" width="9.140625" style="103" customWidth="1"/>
    <col min="770" max="770" width="42" style="103" customWidth="1"/>
    <col min="771" max="771" width="1.28515625" style="103" customWidth="1"/>
    <col min="772" max="772" width="22.7109375" style="103" customWidth="1"/>
    <col min="773" max="1017" width="9.140625" style="103"/>
    <col min="1018" max="1018" width="3.5703125" style="103" customWidth="1"/>
    <col min="1019" max="1019" width="6.28515625" style="103" customWidth="1"/>
    <col min="1020" max="1020" width="8.28515625" style="103" customWidth="1"/>
    <col min="1021" max="1021" width="8.85546875" style="103" customWidth="1"/>
    <col min="1022" max="1022" width="38.5703125" style="103" customWidth="1"/>
    <col min="1023" max="1023" width="6.28515625" style="103" customWidth="1"/>
    <col min="1024" max="1024" width="8.42578125" style="103" customWidth="1"/>
    <col min="1025" max="1025" width="9.140625" style="103" customWidth="1"/>
    <col min="1026" max="1026" width="42" style="103" customWidth="1"/>
    <col min="1027" max="1027" width="1.28515625" style="103" customWidth="1"/>
    <col min="1028" max="1028" width="22.7109375" style="103" customWidth="1"/>
    <col min="1029" max="1273" width="9.140625" style="103"/>
    <col min="1274" max="1274" width="3.5703125" style="103" customWidth="1"/>
    <col min="1275" max="1275" width="6.28515625" style="103" customWidth="1"/>
    <col min="1276" max="1276" width="8.28515625" style="103" customWidth="1"/>
    <col min="1277" max="1277" width="8.85546875" style="103" customWidth="1"/>
    <col min="1278" max="1278" width="38.5703125" style="103" customWidth="1"/>
    <col min="1279" max="1279" width="6.28515625" style="103" customWidth="1"/>
    <col min="1280" max="1280" width="8.42578125" style="103" customWidth="1"/>
    <col min="1281" max="1281" width="9.140625" style="103" customWidth="1"/>
    <col min="1282" max="1282" width="42" style="103" customWidth="1"/>
    <col min="1283" max="1283" width="1.28515625" style="103" customWidth="1"/>
    <col min="1284" max="1284" width="22.7109375" style="103" customWidth="1"/>
    <col min="1285" max="1529" width="9.140625" style="103"/>
    <col min="1530" max="1530" width="3.5703125" style="103" customWidth="1"/>
    <col min="1531" max="1531" width="6.28515625" style="103" customWidth="1"/>
    <col min="1532" max="1532" width="8.28515625" style="103" customWidth="1"/>
    <col min="1533" max="1533" width="8.85546875" style="103" customWidth="1"/>
    <col min="1534" max="1534" width="38.5703125" style="103" customWidth="1"/>
    <col min="1535" max="1535" width="6.28515625" style="103" customWidth="1"/>
    <col min="1536" max="1536" width="8.42578125" style="103" customWidth="1"/>
    <col min="1537" max="1537" width="9.140625" style="103" customWidth="1"/>
    <col min="1538" max="1538" width="42" style="103" customWidth="1"/>
    <col min="1539" max="1539" width="1.28515625" style="103" customWidth="1"/>
    <col min="1540" max="1540" width="22.7109375" style="103" customWidth="1"/>
    <col min="1541" max="1785" width="9.140625" style="103"/>
    <col min="1786" max="1786" width="3.5703125" style="103" customWidth="1"/>
    <col min="1787" max="1787" width="6.28515625" style="103" customWidth="1"/>
    <col min="1788" max="1788" width="8.28515625" style="103" customWidth="1"/>
    <col min="1789" max="1789" width="8.85546875" style="103" customWidth="1"/>
    <col min="1790" max="1790" width="38.5703125" style="103" customWidth="1"/>
    <col min="1791" max="1791" width="6.28515625" style="103" customWidth="1"/>
    <col min="1792" max="1792" width="8.42578125" style="103" customWidth="1"/>
    <col min="1793" max="1793" width="9.140625" style="103" customWidth="1"/>
    <col min="1794" max="1794" width="42" style="103" customWidth="1"/>
    <col min="1795" max="1795" width="1.28515625" style="103" customWidth="1"/>
    <col min="1796" max="1796" width="22.7109375" style="103" customWidth="1"/>
    <col min="1797" max="2041" width="9.140625" style="103"/>
    <col min="2042" max="2042" width="3.5703125" style="103" customWidth="1"/>
    <col min="2043" max="2043" width="6.28515625" style="103" customWidth="1"/>
    <col min="2044" max="2044" width="8.28515625" style="103" customWidth="1"/>
    <col min="2045" max="2045" width="8.85546875" style="103" customWidth="1"/>
    <col min="2046" max="2046" width="38.5703125" style="103" customWidth="1"/>
    <col min="2047" max="2047" width="6.28515625" style="103" customWidth="1"/>
    <col min="2048" max="2048" width="8.42578125" style="103" customWidth="1"/>
    <col min="2049" max="2049" width="9.140625" style="103" customWidth="1"/>
    <col min="2050" max="2050" width="42" style="103" customWidth="1"/>
    <col min="2051" max="2051" width="1.28515625" style="103" customWidth="1"/>
    <col min="2052" max="2052" width="22.7109375" style="103" customWidth="1"/>
    <col min="2053" max="2297" width="9.140625" style="103"/>
    <col min="2298" max="2298" width="3.5703125" style="103" customWidth="1"/>
    <col min="2299" max="2299" width="6.28515625" style="103" customWidth="1"/>
    <col min="2300" max="2300" width="8.28515625" style="103" customWidth="1"/>
    <col min="2301" max="2301" width="8.85546875" style="103" customWidth="1"/>
    <col min="2302" max="2302" width="38.5703125" style="103" customWidth="1"/>
    <col min="2303" max="2303" width="6.28515625" style="103" customWidth="1"/>
    <col min="2304" max="2304" width="8.42578125" style="103" customWidth="1"/>
    <col min="2305" max="2305" width="9.140625" style="103" customWidth="1"/>
    <col min="2306" max="2306" width="42" style="103" customWidth="1"/>
    <col min="2307" max="2307" width="1.28515625" style="103" customWidth="1"/>
    <col min="2308" max="2308" width="22.7109375" style="103" customWidth="1"/>
    <col min="2309" max="2553" width="9.140625" style="103"/>
    <col min="2554" max="2554" width="3.5703125" style="103" customWidth="1"/>
    <col min="2555" max="2555" width="6.28515625" style="103" customWidth="1"/>
    <col min="2556" max="2556" width="8.28515625" style="103" customWidth="1"/>
    <col min="2557" max="2557" width="8.85546875" style="103" customWidth="1"/>
    <col min="2558" max="2558" width="38.5703125" style="103" customWidth="1"/>
    <col min="2559" max="2559" width="6.28515625" style="103" customWidth="1"/>
    <col min="2560" max="2560" width="8.42578125" style="103" customWidth="1"/>
    <col min="2561" max="2561" width="9.140625" style="103" customWidth="1"/>
    <col min="2562" max="2562" width="42" style="103" customWidth="1"/>
    <col min="2563" max="2563" width="1.28515625" style="103" customWidth="1"/>
    <col min="2564" max="2564" width="22.7109375" style="103" customWidth="1"/>
    <col min="2565" max="2809" width="9.140625" style="103"/>
    <col min="2810" max="2810" width="3.5703125" style="103" customWidth="1"/>
    <col min="2811" max="2811" width="6.28515625" style="103" customWidth="1"/>
    <col min="2812" max="2812" width="8.28515625" style="103" customWidth="1"/>
    <col min="2813" max="2813" width="8.85546875" style="103" customWidth="1"/>
    <col min="2814" max="2814" width="38.5703125" style="103" customWidth="1"/>
    <col min="2815" max="2815" width="6.28515625" style="103" customWidth="1"/>
    <col min="2816" max="2816" width="8.42578125" style="103" customWidth="1"/>
    <col min="2817" max="2817" width="9.140625" style="103" customWidth="1"/>
    <col min="2818" max="2818" width="42" style="103" customWidth="1"/>
    <col min="2819" max="2819" width="1.28515625" style="103" customWidth="1"/>
    <col min="2820" max="2820" width="22.7109375" style="103" customWidth="1"/>
    <col min="2821" max="3065" width="9.140625" style="103"/>
    <col min="3066" max="3066" width="3.5703125" style="103" customWidth="1"/>
    <col min="3067" max="3067" width="6.28515625" style="103" customWidth="1"/>
    <col min="3068" max="3068" width="8.28515625" style="103" customWidth="1"/>
    <col min="3069" max="3069" width="8.85546875" style="103" customWidth="1"/>
    <col min="3070" max="3070" width="38.5703125" style="103" customWidth="1"/>
    <col min="3071" max="3071" width="6.28515625" style="103" customWidth="1"/>
    <col min="3072" max="3072" width="8.42578125" style="103" customWidth="1"/>
    <col min="3073" max="3073" width="9.140625" style="103" customWidth="1"/>
    <col min="3074" max="3074" width="42" style="103" customWidth="1"/>
    <col min="3075" max="3075" width="1.28515625" style="103" customWidth="1"/>
    <col min="3076" max="3076" width="22.7109375" style="103" customWidth="1"/>
    <col min="3077" max="3321" width="9.140625" style="103"/>
    <col min="3322" max="3322" width="3.5703125" style="103" customWidth="1"/>
    <col min="3323" max="3323" width="6.28515625" style="103" customWidth="1"/>
    <col min="3324" max="3324" width="8.28515625" style="103" customWidth="1"/>
    <col min="3325" max="3325" width="8.85546875" style="103" customWidth="1"/>
    <col min="3326" max="3326" width="38.5703125" style="103" customWidth="1"/>
    <col min="3327" max="3327" width="6.28515625" style="103" customWidth="1"/>
    <col min="3328" max="3328" width="8.42578125" style="103" customWidth="1"/>
    <col min="3329" max="3329" width="9.140625" style="103" customWidth="1"/>
    <col min="3330" max="3330" width="42" style="103" customWidth="1"/>
    <col min="3331" max="3331" width="1.28515625" style="103" customWidth="1"/>
    <col min="3332" max="3332" width="22.7109375" style="103" customWidth="1"/>
    <col min="3333" max="3577" width="9.140625" style="103"/>
    <col min="3578" max="3578" width="3.5703125" style="103" customWidth="1"/>
    <col min="3579" max="3579" width="6.28515625" style="103" customWidth="1"/>
    <col min="3580" max="3580" width="8.28515625" style="103" customWidth="1"/>
    <col min="3581" max="3581" width="8.85546875" style="103" customWidth="1"/>
    <col min="3582" max="3582" width="38.5703125" style="103" customWidth="1"/>
    <col min="3583" max="3583" width="6.28515625" style="103" customWidth="1"/>
    <col min="3584" max="3584" width="8.42578125" style="103" customWidth="1"/>
    <col min="3585" max="3585" width="9.140625" style="103" customWidth="1"/>
    <col min="3586" max="3586" width="42" style="103" customWidth="1"/>
    <col min="3587" max="3587" width="1.28515625" style="103" customWidth="1"/>
    <col min="3588" max="3588" width="22.7109375" style="103" customWidth="1"/>
    <col min="3589" max="3833" width="9.140625" style="103"/>
    <col min="3834" max="3834" width="3.5703125" style="103" customWidth="1"/>
    <col min="3835" max="3835" width="6.28515625" style="103" customWidth="1"/>
    <col min="3836" max="3836" width="8.28515625" style="103" customWidth="1"/>
    <col min="3837" max="3837" width="8.85546875" style="103" customWidth="1"/>
    <col min="3838" max="3838" width="38.5703125" style="103" customWidth="1"/>
    <col min="3839" max="3839" width="6.28515625" style="103" customWidth="1"/>
    <col min="3840" max="3840" width="8.42578125" style="103" customWidth="1"/>
    <col min="3841" max="3841" width="9.140625" style="103" customWidth="1"/>
    <col min="3842" max="3842" width="42" style="103" customWidth="1"/>
    <col min="3843" max="3843" width="1.28515625" style="103" customWidth="1"/>
    <col min="3844" max="3844" width="22.7109375" style="103" customWidth="1"/>
    <col min="3845" max="4089" width="9.140625" style="103"/>
    <col min="4090" max="4090" width="3.5703125" style="103" customWidth="1"/>
    <col min="4091" max="4091" width="6.28515625" style="103" customWidth="1"/>
    <col min="4092" max="4092" width="8.28515625" style="103" customWidth="1"/>
    <col min="4093" max="4093" width="8.85546875" style="103" customWidth="1"/>
    <col min="4094" max="4094" width="38.5703125" style="103" customWidth="1"/>
    <col min="4095" max="4095" width="6.28515625" style="103" customWidth="1"/>
    <col min="4096" max="4096" width="8.42578125" style="103" customWidth="1"/>
    <col min="4097" max="4097" width="9.140625" style="103" customWidth="1"/>
    <col min="4098" max="4098" width="42" style="103" customWidth="1"/>
    <col min="4099" max="4099" width="1.28515625" style="103" customWidth="1"/>
    <col min="4100" max="4100" width="22.7109375" style="103" customWidth="1"/>
    <col min="4101" max="4345" width="9.140625" style="103"/>
    <col min="4346" max="4346" width="3.5703125" style="103" customWidth="1"/>
    <col min="4347" max="4347" width="6.28515625" style="103" customWidth="1"/>
    <col min="4348" max="4348" width="8.28515625" style="103" customWidth="1"/>
    <col min="4349" max="4349" width="8.85546875" style="103" customWidth="1"/>
    <col min="4350" max="4350" width="38.5703125" style="103" customWidth="1"/>
    <col min="4351" max="4351" width="6.28515625" style="103" customWidth="1"/>
    <col min="4352" max="4352" width="8.42578125" style="103" customWidth="1"/>
    <col min="4353" max="4353" width="9.140625" style="103" customWidth="1"/>
    <col min="4354" max="4354" width="42" style="103" customWidth="1"/>
    <col min="4355" max="4355" width="1.28515625" style="103" customWidth="1"/>
    <col min="4356" max="4356" width="22.7109375" style="103" customWidth="1"/>
    <col min="4357" max="4601" width="9.140625" style="103"/>
    <col min="4602" max="4602" width="3.5703125" style="103" customWidth="1"/>
    <col min="4603" max="4603" width="6.28515625" style="103" customWidth="1"/>
    <col min="4604" max="4604" width="8.28515625" style="103" customWidth="1"/>
    <col min="4605" max="4605" width="8.85546875" style="103" customWidth="1"/>
    <col min="4606" max="4606" width="38.5703125" style="103" customWidth="1"/>
    <col min="4607" max="4607" width="6.28515625" style="103" customWidth="1"/>
    <col min="4608" max="4608" width="8.42578125" style="103" customWidth="1"/>
    <col min="4609" max="4609" width="9.140625" style="103" customWidth="1"/>
    <col min="4610" max="4610" width="42" style="103" customWidth="1"/>
    <col min="4611" max="4611" width="1.28515625" style="103" customWidth="1"/>
    <col min="4612" max="4612" width="22.7109375" style="103" customWidth="1"/>
    <col min="4613" max="4857" width="9.140625" style="103"/>
    <col min="4858" max="4858" width="3.5703125" style="103" customWidth="1"/>
    <col min="4859" max="4859" width="6.28515625" style="103" customWidth="1"/>
    <col min="4860" max="4860" width="8.28515625" style="103" customWidth="1"/>
    <col min="4861" max="4861" width="8.85546875" style="103" customWidth="1"/>
    <col min="4862" max="4862" width="38.5703125" style="103" customWidth="1"/>
    <col min="4863" max="4863" width="6.28515625" style="103" customWidth="1"/>
    <col min="4864" max="4864" width="8.42578125" style="103" customWidth="1"/>
    <col min="4865" max="4865" width="9.140625" style="103" customWidth="1"/>
    <col min="4866" max="4866" width="42" style="103" customWidth="1"/>
    <col min="4867" max="4867" width="1.28515625" style="103" customWidth="1"/>
    <col min="4868" max="4868" width="22.7109375" style="103" customWidth="1"/>
    <col min="4869" max="5113" width="9.140625" style="103"/>
    <col min="5114" max="5114" width="3.5703125" style="103" customWidth="1"/>
    <col min="5115" max="5115" width="6.28515625" style="103" customWidth="1"/>
    <col min="5116" max="5116" width="8.28515625" style="103" customWidth="1"/>
    <col min="5117" max="5117" width="8.85546875" style="103" customWidth="1"/>
    <col min="5118" max="5118" width="38.5703125" style="103" customWidth="1"/>
    <col min="5119" max="5119" width="6.28515625" style="103" customWidth="1"/>
    <col min="5120" max="5120" width="8.42578125" style="103" customWidth="1"/>
    <col min="5121" max="5121" width="9.140625" style="103" customWidth="1"/>
    <col min="5122" max="5122" width="42" style="103" customWidth="1"/>
    <col min="5123" max="5123" width="1.28515625" style="103" customWidth="1"/>
    <col min="5124" max="5124" width="22.7109375" style="103" customWidth="1"/>
    <col min="5125" max="5369" width="9.140625" style="103"/>
    <col min="5370" max="5370" width="3.5703125" style="103" customWidth="1"/>
    <col min="5371" max="5371" width="6.28515625" style="103" customWidth="1"/>
    <col min="5372" max="5372" width="8.28515625" style="103" customWidth="1"/>
    <col min="5373" max="5373" width="8.85546875" style="103" customWidth="1"/>
    <col min="5374" max="5374" width="38.5703125" style="103" customWidth="1"/>
    <col min="5375" max="5375" width="6.28515625" style="103" customWidth="1"/>
    <col min="5376" max="5376" width="8.42578125" style="103" customWidth="1"/>
    <col min="5377" max="5377" width="9.140625" style="103" customWidth="1"/>
    <col min="5378" max="5378" width="42" style="103" customWidth="1"/>
    <col min="5379" max="5379" width="1.28515625" style="103" customWidth="1"/>
    <col min="5380" max="5380" width="22.7109375" style="103" customWidth="1"/>
    <col min="5381" max="5625" width="9.140625" style="103"/>
    <col min="5626" max="5626" width="3.5703125" style="103" customWidth="1"/>
    <col min="5627" max="5627" width="6.28515625" style="103" customWidth="1"/>
    <col min="5628" max="5628" width="8.28515625" style="103" customWidth="1"/>
    <col min="5629" max="5629" width="8.85546875" style="103" customWidth="1"/>
    <col min="5630" max="5630" width="38.5703125" style="103" customWidth="1"/>
    <col min="5631" max="5631" width="6.28515625" style="103" customWidth="1"/>
    <col min="5632" max="5632" width="8.42578125" style="103" customWidth="1"/>
    <col min="5633" max="5633" width="9.140625" style="103" customWidth="1"/>
    <col min="5634" max="5634" width="42" style="103" customWidth="1"/>
    <col min="5635" max="5635" width="1.28515625" style="103" customWidth="1"/>
    <col min="5636" max="5636" width="22.7109375" style="103" customWidth="1"/>
    <col min="5637" max="5881" width="9.140625" style="103"/>
    <col min="5882" max="5882" width="3.5703125" style="103" customWidth="1"/>
    <col min="5883" max="5883" width="6.28515625" style="103" customWidth="1"/>
    <col min="5884" max="5884" width="8.28515625" style="103" customWidth="1"/>
    <col min="5885" max="5885" width="8.85546875" style="103" customWidth="1"/>
    <col min="5886" max="5886" width="38.5703125" style="103" customWidth="1"/>
    <col min="5887" max="5887" width="6.28515625" style="103" customWidth="1"/>
    <col min="5888" max="5888" width="8.42578125" style="103" customWidth="1"/>
    <col min="5889" max="5889" width="9.140625" style="103" customWidth="1"/>
    <col min="5890" max="5890" width="42" style="103" customWidth="1"/>
    <col min="5891" max="5891" width="1.28515625" style="103" customWidth="1"/>
    <col min="5892" max="5892" width="22.7109375" style="103" customWidth="1"/>
    <col min="5893" max="6137" width="9.140625" style="103"/>
    <col min="6138" max="6138" width="3.5703125" style="103" customWidth="1"/>
    <col min="6139" max="6139" width="6.28515625" style="103" customWidth="1"/>
    <col min="6140" max="6140" width="8.28515625" style="103" customWidth="1"/>
    <col min="6141" max="6141" width="8.85546875" style="103" customWidth="1"/>
    <col min="6142" max="6142" width="38.5703125" style="103" customWidth="1"/>
    <col min="6143" max="6143" width="6.28515625" style="103" customWidth="1"/>
    <col min="6144" max="6144" width="8.42578125" style="103" customWidth="1"/>
    <col min="6145" max="6145" width="9.140625" style="103" customWidth="1"/>
    <col min="6146" max="6146" width="42" style="103" customWidth="1"/>
    <col min="6147" max="6147" width="1.28515625" style="103" customWidth="1"/>
    <col min="6148" max="6148" width="22.7109375" style="103" customWidth="1"/>
    <col min="6149" max="6393" width="9.140625" style="103"/>
    <col min="6394" max="6394" width="3.5703125" style="103" customWidth="1"/>
    <col min="6395" max="6395" width="6.28515625" style="103" customWidth="1"/>
    <col min="6396" max="6396" width="8.28515625" style="103" customWidth="1"/>
    <col min="6397" max="6397" width="8.85546875" style="103" customWidth="1"/>
    <col min="6398" max="6398" width="38.5703125" style="103" customWidth="1"/>
    <col min="6399" max="6399" width="6.28515625" style="103" customWidth="1"/>
    <col min="6400" max="6400" width="8.42578125" style="103" customWidth="1"/>
    <col min="6401" max="6401" width="9.140625" style="103" customWidth="1"/>
    <col min="6402" max="6402" width="42" style="103" customWidth="1"/>
    <col min="6403" max="6403" width="1.28515625" style="103" customWidth="1"/>
    <col min="6404" max="6404" width="22.7109375" style="103" customWidth="1"/>
    <col min="6405" max="6649" width="9.140625" style="103"/>
    <col min="6650" max="6650" width="3.5703125" style="103" customWidth="1"/>
    <col min="6651" max="6651" width="6.28515625" style="103" customWidth="1"/>
    <col min="6652" max="6652" width="8.28515625" style="103" customWidth="1"/>
    <col min="6653" max="6653" width="8.85546875" style="103" customWidth="1"/>
    <col min="6654" max="6654" width="38.5703125" style="103" customWidth="1"/>
    <col min="6655" max="6655" width="6.28515625" style="103" customWidth="1"/>
    <col min="6656" max="6656" width="8.42578125" style="103" customWidth="1"/>
    <col min="6657" max="6657" width="9.140625" style="103" customWidth="1"/>
    <col min="6658" max="6658" width="42" style="103" customWidth="1"/>
    <col min="6659" max="6659" width="1.28515625" style="103" customWidth="1"/>
    <col min="6660" max="6660" width="22.7109375" style="103" customWidth="1"/>
    <col min="6661" max="6905" width="9.140625" style="103"/>
    <col min="6906" max="6906" width="3.5703125" style="103" customWidth="1"/>
    <col min="6907" max="6907" width="6.28515625" style="103" customWidth="1"/>
    <col min="6908" max="6908" width="8.28515625" style="103" customWidth="1"/>
    <col min="6909" max="6909" width="8.85546875" style="103" customWidth="1"/>
    <col min="6910" max="6910" width="38.5703125" style="103" customWidth="1"/>
    <col min="6911" max="6911" width="6.28515625" style="103" customWidth="1"/>
    <col min="6912" max="6912" width="8.42578125" style="103" customWidth="1"/>
    <col min="6913" max="6913" width="9.140625" style="103" customWidth="1"/>
    <col min="6914" max="6914" width="42" style="103" customWidth="1"/>
    <col min="6915" max="6915" width="1.28515625" style="103" customWidth="1"/>
    <col min="6916" max="6916" width="22.7109375" style="103" customWidth="1"/>
    <col min="6917" max="7161" width="9.140625" style="103"/>
    <col min="7162" max="7162" width="3.5703125" style="103" customWidth="1"/>
    <col min="7163" max="7163" width="6.28515625" style="103" customWidth="1"/>
    <col min="7164" max="7164" width="8.28515625" style="103" customWidth="1"/>
    <col min="7165" max="7165" width="8.85546875" style="103" customWidth="1"/>
    <col min="7166" max="7166" width="38.5703125" style="103" customWidth="1"/>
    <col min="7167" max="7167" width="6.28515625" style="103" customWidth="1"/>
    <col min="7168" max="7168" width="8.42578125" style="103" customWidth="1"/>
    <col min="7169" max="7169" width="9.140625" style="103" customWidth="1"/>
    <col min="7170" max="7170" width="42" style="103" customWidth="1"/>
    <col min="7171" max="7171" width="1.28515625" style="103" customWidth="1"/>
    <col min="7172" max="7172" width="22.7109375" style="103" customWidth="1"/>
    <col min="7173" max="7417" width="9.140625" style="103"/>
    <col min="7418" max="7418" width="3.5703125" style="103" customWidth="1"/>
    <col min="7419" max="7419" width="6.28515625" style="103" customWidth="1"/>
    <col min="7420" max="7420" width="8.28515625" style="103" customWidth="1"/>
    <col min="7421" max="7421" width="8.85546875" style="103" customWidth="1"/>
    <col min="7422" max="7422" width="38.5703125" style="103" customWidth="1"/>
    <col min="7423" max="7423" width="6.28515625" style="103" customWidth="1"/>
    <col min="7424" max="7424" width="8.42578125" style="103" customWidth="1"/>
    <col min="7425" max="7425" width="9.140625" style="103" customWidth="1"/>
    <col min="7426" max="7426" width="42" style="103" customWidth="1"/>
    <col min="7427" max="7427" width="1.28515625" style="103" customWidth="1"/>
    <col min="7428" max="7428" width="22.7109375" style="103" customWidth="1"/>
    <col min="7429" max="7673" width="9.140625" style="103"/>
    <col min="7674" max="7674" width="3.5703125" style="103" customWidth="1"/>
    <col min="7675" max="7675" width="6.28515625" style="103" customWidth="1"/>
    <col min="7676" max="7676" width="8.28515625" style="103" customWidth="1"/>
    <col min="7677" max="7677" width="8.85546875" style="103" customWidth="1"/>
    <col min="7678" max="7678" width="38.5703125" style="103" customWidth="1"/>
    <col min="7679" max="7679" width="6.28515625" style="103" customWidth="1"/>
    <col min="7680" max="7680" width="8.42578125" style="103" customWidth="1"/>
    <col min="7681" max="7681" width="9.140625" style="103" customWidth="1"/>
    <col min="7682" max="7682" width="42" style="103" customWidth="1"/>
    <col min="7683" max="7683" width="1.28515625" style="103" customWidth="1"/>
    <col min="7684" max="7684" width="22.7109375" style="103" customWidth="1"/>
    <col min="7685" max="7929" width="9.140625" style="103"/>
    <col min="7930" max="7930" width="3.5703125" style="103" customWidth="1"/>
    <col min="7931" max="7931" width="6.28515625" style="103" customWidth="1"/>
    <col min="7932" max="7932" width="8.28515625" style="103" customWidth="1"/>
    <col min="7933" max="7933" width="8.85546875" style="103" customWidth="1"/>
    <col min="7934" max="7934" width="38.5703125" style="103" customWidth="1"/>
    <col min="7935" max="7935" width="6.28515625" style="103" customWidth="1"/>
    <col min="7936" max="7936" width="8.42578125" style="103" customWidth="1"/>
    <col min="7937" max="7937" width="9.140625" style="103" customWidth="1"/>
    <col min="7938" max="7938" width="42" style="103" customWidth="1"/>
    <col min="7939" max="7939" width="1.28515625" style="103" customWidth="1"/>
    <col min="7940" max="7940" width="22.7109375" style="103" customWidth="1"/>
    <col min="7941" max="8185" width="9.140625" style="103"/>
    <col min="8186" max="8186" width="3.5703125" style="103" customWidth="1"/>
    <col min="8187" max="8187" width="6.28515625" style="103" customWidth="1"/>
    <col min="8188" max="8188" width="8.28515625" style="103" customWidth="1"/>
    <col min="8189" max="8189" width="8.85546875" style="103" customWidth="1"/>
    <col min="8190" max="8190" width="38.5703125" style="103" customWidth="1"/>
    <col min="8191" max="8191" width="6.28515625" style="103" customWidth="1"/>
    <col min="8192" max="8192" width="8.42578125" style="103" customWidth="1"/>
    <col min="8193" max="8193" width="9.140625" style="103" customWidth="1"/>
    <col min="8194" max="8194" width="42" style="103" customWidth="1"/>
    <col min="8195" max="8195" width="1.28515625" style="103" customWidth="1"/>
    <col min="8196" max="8196" width="22.7109375" style="103" customWidth="1"/>
    <col min="8197" max="8441" width="9.140625" style="103"/>
    <col min="8442" max="8442" width="3.5703125" style="103" customWidth="1"/>
    <col min="8443" max="8443" width="6.28515625" style="103" customWidth="1"/>
    <col min="8444" max="8444" width="8.28515625" style="103" customWidth="1"/>
    <col min="8445" max="8445" width="8.85546875" style="103" customWidth="1"/>
    <col min="8446" max="8446" width="38.5703125" style="103" customWidth="1"/>
    <col min="8447" max="8447" width="6.28515625" style="103" customWidth="1"/>
    <col min="8448" max="8448" width="8.42578125" style="103" customWidth="1"/>
    <col min="8449" max="8449" width="9.140625" style="103" customWidth="1"/>
    <col min="8450" max="8450" width="42" style="103" customWidth="1"/>
    <col min="8451" max="8451" width="1.28515625" style="103" customWidth="1"/>
    <col min="8452" max="8452" width="22.7109375" style="103" customWidth="1"/>
    <col min="8453" max="8697" width="9.140625" style="103"/>
    <col min="8698" max="8698" width="3.5703125" style="103" customWidth="1"/>
    <col min="8699" max="8699" width="6.28515625" style="103" customWidth="1"/>
    <col min="8700" max="8700" width="8.28515625" style="103" customWidth="1"/>
    <col min="8701" max="8701" width="8.85546875" style="103" customWidth="1"/>
    <col min="8702" max="8702" width="38.5703125" style="103" customWidth="1"/>
    <col min="8703" max="8703" width="6.28515625" style="103" customWidth="1"/>
    <col min="8704" max="8704" width="8.42578125" style="103" customWidth="1"/>
    <col min="8705" max="8705" width="9.140625" style="103" customWidth="1"/>
    <col min="8706" max="8706" width="42" style="103" customWidth="1"/>
    <col min="8707" max="8707" width="1.28515625" style="103" customWidth="1"/>
    <col min="8708" max="8708" width="22.7109375" style="103" customWidth="1"/>
    <col min="8709" max="8953" width="9.140625" style="103"/>
    <col min="8954" max="8954" width="3.5703125" style="103" customWidth="1"/>
    <col min="8955" max="8955" width="6.28515625" style="103" customWidth="1"/>
    <col min="8956" max="8956" width="8.28515625" style="103" customWidth="1"/>
    <col min="8957" max="8957" width="8.85546875" style="103" customWidth="1"/>
    <col min="8958" max="8958" width="38.5703125" style="103" customWidth="1"/>
    <col min="8959" max="8959" width="6.28515625" style="103" customWidth="1"/>
    <col min="8960" max="8960" width="8.42578125" style="103" customWidth="1"/>
    <col min="8961" max="8961" width="9.140625" style="103" customWidth="1"/>
    <col min="8962" max="8962" width="42" style="103" customWidth="1"/>
    <col min="8963" max="8963" width="1.28515625" style="103" customWidth="1"/>
    <col min="8964" max="8964" width="22.7109375" style="103" customWidth="1"/>
    <col min="8965" max="9209" width="9.140625" style="103"/>
    <col min="9210" max="9210" width="3.5703125" style="103" customWidth="1"/>
    <col min="9211" max="9211" width="6.28515625" style="103" customWidth="1"/>
    <col min="9212" max="9212" width="8.28515625" style="103" customWidth="1"/>
    <col min="9213" max="9213" width="8.85546875" style="103" customWidth="1"/>
    <col min="9214" max="9214" width="38.5703125" style="103" customWidth="1"/>
    <col min="9215" max="9215" width="6.28515625" style="103" customWidth="1"/>
    <col min="9216" max="9216" width="8.42578125" style="103" customWidth="1"/>
    <col min="9217" max="9217" width="9.140625" style="103" customWidth="1"/>
    <col min="9218" max="9218" width="42" style="103" customWidth="1"/>
    <col min="9219" max="9219" width="1.28515625" style="103" customWidth="1"/>
    <col min="9220" max="9220" width="22.7109375" style="103" customWidth="1"/>
    <col min="9221" max="9465" width="9.140625" style="103"/>
    <col min="9466" max="9466" width="3.5703125" style="103" customWidth="1"/>
    <col min="9467" max="9467" width="6.28515625" style="103" customWidth="1"/>
    <col min="9468" max="9468" width="8.28515625" style="103" customWidth="1"/>
    <col min="9469" max="9469" width="8.85546875" style="103" customWidth="1"/>
    <col min="9470" max="9470" width="38.5703125" style="103" customWidth="1"/>
    <col min="9471" max="9471" width="6.28515625" style="103" customWidth="1"/>
    <col min="9472" max="9472" width="8.42578125" style="103" customWidth="1"/>
    <col min="9473" max="9473" width="9.140625" style="103" customWidth="1"/>
    <col min="9474" max="9474" width="42" style="103" customWidth="1"/>
    <col min="9475" max="9475" width="1.28515625" style="103" customWidth="1"/>
    <col min="9476" max="9476" width="22.7109375" style="103" customWidth="1"/>
    <col min="9477" max="9721" width="9.140625" style="103"/>
    <col min="9722" max="9722" width="3.5703125" style="103" customWidth="1"/>
    <col min="9723" max="9723" width="6.28515625" style="103" customWidth="1"/>
    <col min="9724" max="9724" width="8.28515625" style="103" customWidth="1"/>
    <col min="9725" max="9725" width="8.85546875" style="103" customWidth="1"/>
    <col min="9726" max="9726" width="38.5703125" style="103" customWidth="1"/>
    <col min="9727" max="9727" width="6.28515625" style="103" customWidth="1"/>
    <col min="9728" max="9728" width="8.42578125" style="103" customWidth="1"/>
    <col min="9729" max="9729" width="9.140625" style="103" customWidth="1"/>
    <col min="9730" max="9730" width="42" style="103" customWidth="1"/>
    <col min="9731" max="9731" width="1.28515625" style="103" customWidth="1"/>
    <col min="9732" max="9732" width="22.7109375" style="103" customWidth="1"/>
    <col min="9733" max="9977" width="9.140625" style="103"/>
    <col min="9978" max="9978" width="3.5703125" style="103" customWidth="1"/>
    <col min="9979" max="9979" width="6.28515625" style="103" customWidth="1"/>
    <col min="9980" max="9980" width="8.28515625" style="103" customWidth="1"/>
    <col min="9981" max="9981" width="8.85546875" style="103" customWidth="1"/>
    <col min="9982" max="9982" width="38.5703125" style="103" customWidth="1"/>
    <col min="9983" max="9983" width="6.28515625" style="103" customWidth="1"/>
    <col min="9984" max="9984" width="8.42578125" style="103" customWidth="1"/>
    <col min="9985" max="9985" width="9.140625" style="103" customWidth="1"/>
    <col min="9986" max="9986" width="42" style="103" customWidth="1"/>
    <col min="9987" max="9987" width="1.28515625" style="103" customWidth="1"/>
    <col min="9988" max="9988" width="22.7109375" style="103" customWidth="1"/>
    <col min="9989" max="10233" width="9.140625" style="103"/>
    <col min="10234" max="10234" width="3.5703125" style="103" customWidth="1"/>
    <col min="10235" max="10235" width="6.28515625" style="103" customWidth="1"/>
    <col min="10236" max="10236" width="8.28515625" style="103" customWidth="1"/>
    <col min="10237" max="10237" width="8.85546875" style="103" customWidth="1"/>
    <col min="10238" max="10238" width="38.5703125" style="103" customWidth="1"/>
    <col min="10239" max="10239" width="6.28515625" style="103" customWidth="1"/>
    <col min="10240" max="10240" width="8.42578125" style="103" customWidth="1"/>
    <col min="10241" max="10241" width="9.140625" style="103" customWidth="1"/>
    <col min="10242" max="10242" width="42" style="103" customWidth="1"/>
    <col min="10243" max="10243" width="1.28515625" style="103" customWidth="1"/>
    <col min="10244" max="10244" width="22.7109375" style="103" customWidth="1"/>
    <col min="10245" max="10489" width="9.140625" style="103"/>
    <col min="10490" max="10490" width="3.5703125" style="103" customWidth="1"/>
    <col min="10491" max="10491" width="6.28515625" style="103" customWidth="1"/>
    <col min="10492" max="10492" width="8.28515625" style="103" customWidth="1"/>
    <col min="10493" max="10493" width="8.85546875" style="103" customWidth="1"/>
    <col min="10494" max="10494" width="38.5703125" style="103" customWidth="1"/>
    <col min="10495" max="10495" width="6.28515625" style="103" customWidth="1"/>
    <col min="10496" max="10496" width="8.42578125" style="103" customWidth="1"/>
    <col min="10497" max="10497" width="9.140625" style="103" customWidth="1"/>
    <col min="10498" max="10498" width="42" style="103" customWidth="1"/>
    <col min="10499" max="10499" width="1.28515625" style="103" customWidth="1"/>
    <col min="10500" max="10500" width="22.7109375" style="103" customWidth="1"/>
    <col min="10501" max="10745" width="9.140625" style="103"/>
    <col min="10746" max="10746" width="3.5703125" style="103" customWidth="1"/>
    <col min="10747" max="10747" width="6.28515625" style="103" customWidth="1"/>
    <col min="10748" max="10748" width="8.28515625" style="103" customWidth="1"/>
    <col min="10749" max="10749" width="8.85546875" style="103" customWidth="1"/>
    <col min="10750" max="10750" width="38.5703125" style="103" customWidth="1"/>
    <col min="10751" max="10751" width="6.28515625" style="103" customWidth="1"/>
    <col min="10752" max="10752" width="8.42578125" style="103" customWidth="1"/>
    <col min="10753" max="10753" width="9.140625" style="103" customWidth="1"/>
    <col min="10754" max="10754" width="42" style="103" customWidth="1"/>
    <col min="10755" max="10755" width="1.28515625" style="103" customWidth="1"/>
    <col min="10756" max="10756" width="22.7109375" style="103" customWidth="1"/>
    <col min="10757" max="11001" width="9.140625" style="103"/>
    <col min="11002" max="11002" width="3.5703125" style="103" customWidth="1"/>
    <col min="11003" max="11003" width="6.28515625" style="103" customWidth="1"/>
    <col min="11004" max="11004" width="8.28515625" style="103" customWidth="1"/>
    <col min="11005" max="11005" width="8.85546875" style="103" customWidth="1"/>
    <col min="11006" max="11006" width="38.5703125" style="103" customWidth="1"/>
    <col min="11007" max="11007" width="6.28515625" style="103" customWidth="1"/>
    <col min="11008" max="11008" width="8.42578125" style="103" customWidth="1"/>
    <col min="11009" max="11009" width="9.140625" style="103" customWidth="1"/>
    <col min="11010" max="11010" width="42" style="103" customWidth="1"/>
    <col min="11011" max="11011" width="1.28515625" style="103" customWidth="1"/>
    <col min="11012" max="11012" width="22.7109375" style="103" customWidth="1"/>
    <col min="11013" max="11257" width="9.140625" style="103"/>
    <col min="11258" max="11258" width="3.5703125" style="103" customWidth="1"/>
    <col min="11259" max="11259" width="6.28515625" style="103" customWidth="1"/>
    <col min="11260" max="11260" width="8.28515625" style="103" customWidth="1"/>
    <col min="11261" max="11261" width="8.85546875" style="103" customWidth="1"/>
    <col min="11262" max="11262" width="38.5703125" style="103" customWidth="1"/>
    <col min="11263" max="11263" width="6.28515625" style="103" customWidth="1"/>
    <col min="11264" max="11264" width="8.42578125" style="103" customWidth="1"/>
    <col min="11265" max="11265" width="9.140625" style="103" customWidth="1"/>
    <col min="11266" max="11266" width="42" style="103" customWidth="1"/>
    <col min="11267" max="11267" width="1.28515625" style="103" customWidth="1"/>
    <col min="11268" max="11268" width="22.7109375" style="103" customWidth="1"/>
    <col min="11269" max="11513" width="9.140625" style="103"/>
    <col min="11514" max="11514" width="3.5703125" style="103" customWidth="1"/>
    <col min="11515" max="11515" width="6.28515625" style="103" customWidth="1"/>
    <col min="11516" max="11516" width="8.28515625" style="103" customWidth="1"/>
    <col min="11517" max="11517" width="8.85546875" style="103" customWidth="1"/>
    <col min="11518" max="11518" width="38.5703125" style="103" customWidth="1"/>
    <col min="11519" max="11519" width="6.28515625" style="103" customWidth="1"/>
    <col min="11520" max="11520" width="8.42578125" style="103" customWidth="1"/>
    <col min="11521" max="11521" width="9.140625" style="103" customWidth="1"/>
    <col min="11522" max="11522" width="42" style="103" customWidth="1"/>
    <col min="11523" max="11523" width="1.28515625" style="103" customWidth="1"/>
    <col min="11524" max="11524" width="22.7109375" style="103" customWidth="1"/>
    <col min="11525" max="11769" width="9.140625" style="103"/>
    <col min="11770" max="11770" width="3.5703125" style="103" customWidth="1"/>
    <col min="11771" max="11771" width="6.28515625" style="103" customWidth="1"/>
    <col min="11772" max="11772" width="8.28515625" style="103" customWidth="1"/>
    <col min="11773" max="11773" width="8.85546875" style="103" customWidth="1"/>
    <col min="11774" max="11774" width="38.5703125" style="103" customWidth="1"/>
    <col min="11775" max="11775" width="6.28515625" style="103" customWidth="1"/>
    <col min="11776" max="11776" width="8.42578125" style="103" customWidth="1"/>
    <col min="11777" max="11777" width="9.140625" style="103" customWidth="1"/>
    <col min="11778" max="11778" width="42" style="103" customWidth="1"/>
    <col min="11779" max="11779" width="1.28515625" style="103" customWidth="1"/>
    <col min="11780" max="11780" width="22.7109375" style="103" customWidth="1"/>
    <col min="11781" max="12025" width="9.140625" style="103"/>
    <col min="12026" max="12026" width="3.5703125" style="103" customWidth="1"/>
    <col min="12027" max="12027" width="6.28515625" style="103" customWidth="1"/>
    <col min="12028" max="12028" width="8.28515625" style="103" customWidth="1"/>
    <col min="12029" max="12029" width="8.85546875" style="103" customWidth="1"/>
    <col min="12030" max="12030" width="38.5703125" style="103" customWidth="1"/>
    <col min="12031" max="12031" width="6.28515625" style="103" customWidth="1"/>
    <col min="12032" max="12032" width="8.42578125" style="103" customWidth="1"/>
    <col min="12033" max="12033" width="9.140625" style="103" customWidth="1"/>
    <col min="12034" max="12034" width="42" style="103" customWidth="1"/>
    <col min="12035" max="12035" width="1.28515625" style="103" customWidth="1"/>
    <col min="12036" max="12036" width="22.7109375" style="103" customWidth="1"/>
    <col min="12037" max="12281" width="9.140625" style="103"/>
    <col min="12282" max="12282" width="3.5703125" style="103" customWidth="1"/>
    <col min="12283" max="12283" width="6.28515625" style="103" customWidth="1"/>
    <col min="12284" max="12284" width="8.28515625" style="103" customWidth="1"/>
    <col min="12285" max="12285" width="8.85546875" style="103" customWidth="1"/>
    <col min="12286" max="12286" width="38.5703125" style="103" customWidth="1"/>
    <col min="12287" max="12287" width="6.28515625" style="103" customWidth="1"/>
    <col min="12288" max="12288" width="8.42578125" style="103" customWidth="1"/>
    <col min="12289" max="12289" width="9.140625" style="103" customWidth="1"/>
    <col min="12290" max="12290" width="42" style="103" customWidth="1"/>
    <col min="12291" max="12291" width="1.28515625" style="103" customWidth="1"/>
    <col min="12292" max="12292" width="22.7109375" style="103" customWidth="1"/>
    <col min="12293" max="12537" width="9.140625" style="103"/>
    <col min="12538" max="12538" width="3.5703125" style="103" customWidth="1"/>
    <col min="12539" max="12539" width="6.28515625" style="103" customWidth="1"/>
    <col min="12540" max="12540" width="8.28515625" style="103" customWidth="1"/>
    <col min="12541" max="12541" width="8.85546875" style="103" customWidth="1"/>
    <col min="12542" max="12542" width="38.5703125" style="103" customWidth="1"/>
    <col min="12543" max="12543" width="6.28515625" style="103" customWidth="1"/>
    <col min="12544" max="12544" width="8.42578125" style="103" customWidth="1"/>
    <col min="12545" max="12545" width="9.140625" style="103" customWidth="1"/>
    <col min="12546" max="12546" width="42" style="103" customWidth="1"/>
    <col min="12547" max="12547" width="1.28515625" style="103" customWidth="1"/>
    <col min="12548" max="12548" width="22.7109375" style="103" customWidth="1"/>
    <col min="12549" max="12793" width="9.140625" style="103"/>
    <col min="12794" max="12794" width="3.5703125" style="103" customWidth="1"/>
    <col min="12795" max="12795" width="6.28515625" style="103" customWidth="1"/>
    <col min="12796" max="12796" width="8.28515625" style="103" customWidth="1"/>
    <col min="12797" max="12797" width="8.85546875" style="103" customWidth="1"/>
    <col min="12798" max="12798" width="38.5703125" style="103" customWidth="1"/>
    <col min="12799" max="12799" width="6.28515625" style="103" customWidth="1"/>
    <col min="12800" max="12800" width="8.42578125" style="103" customWidth="1"/>
    <col min="12801" max="12801" width="9.140625" style="103" customWidth="1"/>
    <col min="12802" max="12802" width="42" style="103" customWidth="1"/>
    <col min="12803" max="12803" width="1.28515625" style="103" customWidth="1"/>
    <col min="12804" max="12804" width="22.7109375" style="103" customWidth="1"/>
    <col min="12805" max="13049" width="9.140625" style="103"/>
    <col min="13050" max="13050" width="3.5703125" style="103" customWidth="1"/>
    <col min="13051" max="13051" width="6.28515625" style="103" customWidth="1"/>
    <col min="13052" max="13052" width="8.28515625" style="103" customWidth="1"/>
    <col min="13053" max="13053" width="8.85546875" style="103" customWidth="1"/>
    <col min="13054" max="13054" width="38.5703125" style="103" customWidth="1"/>
    <col min="13055" max="13055" width="6.28515625" style="103" customWidth="1"/>
    <col min="13056" max="13056" width="8.42578125" style="103" customWidth="1"/>
    <col min="13057" max="13057" width="9.140625" style="103" customWidth="1"/>
    <col min="13058" max="13058" width="42" style="103" customWidth="1"/>
    <col min="13059" max="13059" width="1.28515625" style="103" customWidth="1"/>
    <col min="13060" max="13060" width="22.7109375" style="103" customWidth="1"/>
    <col min="13061" max="13305" width="9.140625" style="103"/>
    <col min="13306" max="13306" width="3.5703125" style="103" customWidth="1"/>
    <col min="13307" max="13307" width="6.28515625" style="103" customWidth="1"/>
    <col min="13308" max="13308" width="8.28515625" style="103" customWidth="1"/>
    <col min="13309" max="13309" width="8.85546875" style="103" customWidth="1"/>
    <col min="13310" max="13310" width="38.5703125" style="103" customWidth="1"/>
    <col min="13311" max="13311" width="6.28515625" style="103" customWidth="1"/>
    <col min="13312" max="13312" width="8.42578125" style="103" customWidth="1"/>
    <col min="13313" max="13313" width="9.140625" style="103" customWidth="1"/>
    <col min="13314" max="13314" width="42" style="103" customWidth="1"/>
    <col min="13315" max="13315" width="1.28515625" style="103" customWidth="1"/>
    <col min="13316" max="13316" width="22.7109375" style="103" customWidth="1"/>
    <col min="13317" max="13561" width="9.140625" style="103"/>
    <col min="13562" max="13562" width="3.5703125" style="103" customWidth="1"/>
    <col min="13563" max="13563" width="6.28515625" style="103" customWidth="1"/>
    <col min="13564" max="13564" width="8.28515625" style="103" customWidth="1"/>
    <col min="13565" max="13565" width="8.85546875" style="103" customWidth="1"/>
    <col min="13566" max="13566" width="38.5703125" style="103" customWidth="1"/>
    <col min="13567" max="13567" width="6.28515625" style="103" customWidth="1"/>
    <col min="13568" max="13568" width="8.42578125" style="103" customWidth="1"/>
    <col min="13569" max="13569" width="9.140625" style="103" customWidth="1"/>
    <col min="13570" max="13570" width="42" style="103" customWidth="1"/>
    <col min="13571" max="13571" width="1.28515625" style="103" customWidth="1"/>
    <col min="13572" max="13572" width="22.7109375" style="103" customWidth="1"/>
    <col min="13573" max="13817" width="9.140625" style="103"/>
    <col min="13818" max="13818" width="3.5703125" style="103" customWidth="1"/>
    <col min="13819" max="13819" width="6.28515625" style="103" customWidth="1"/>
    <col min="13820" max="13820" width="8.28515625" style="103" customWidth="1"/>
    <col min="13821" max="13821" width="8.85546875" style="103" customWidth="1"/>
    <col min="13822" max="13822" width="38.5703125" style="103" customWidth="1"/>
    <col min="13823" max="13823" width="6.28515625" style="103" customWidth="1"/>
    <col min="13824" max="13824" width="8.42578125" style="103" customWidth="1"/>
    <col min="13825" max="13825" width="9.140625" style="103" customWidth="1"/>
    <col min="13826" max="13826" width="42" style="103" customWidth="1"/>
    <col min="13827" max="13827" width="1.28515625" style="103" customWidth="1"/>
    <col min="13828" max="13828" width="22.7109375" style="103" customWidth="1"/>
    <col min="13829" max="14073" width="9.140625" style="103"/>
    <col min="14074" max="14074" width="3.5703125" style="103" customWidth="1"/>
    <col min="14075" max="14075" width="6.28515625" style="103" customWidth="1"/>
    <col min="14076" max="14076" width="8.28515625" style="103" customWidth="1"/>
    <col min="14077" max="14077" width="8.85546875" style="103" customWidth="1"/>
    <col min="14078" max="14078" width="38.5703125" style="103" customWidth="1"/>
    <col min="14079" max="14079" width="6.28515625" style="103" customWidth="1"/>
    <col min="14080" max="14080" width="8.42578125" style="103" customWidth="1"/>
    <col min="14081" max="14081" width="9.140625" style="103" customWidth="1"/>
    <col min="14082" max="14082" width="42" style="103" customWidth="1"/>
    <col min="14083" max="14083" width="1.28515625" style="103" customWidth="1"/>
    <col min="14084" max="14084" width="22.7109375" style="103" customWidth="1"/>
    <col min="14085" max="14329" width="9.140625" style="103"/>
    <col min="14330" max="14330" width="3.5703125" style="103" customWidth="1"/>
    <col min="14331" max="14331" width="6.28515625" style="103" customWidth="1"/>
    <col min="14332" max="14332" width="8.28515625" style="103" customWidth="1"/>
    <col min="14333" max="14333" width="8.85546875" style="103" customWidth="1"/>
    <col min="14334" max="14334" width="38.5703125" style="103" customWidth="1"/>
    <col min="14335" max="14335" width="6.28515625" style="103" customWidth="1"/>
    <col min="14336" max="14336" width="8.42578125" style="103" customWidth="1"/>
    <col min="14337" max="14337" width="9.140625" style="103" customWidth="1"/>
    <col min="14338" max="14338" width="42" style="103" customWidth="1"/>
    <col min="14339" max="14339" width="1.28515625" style="103" customWidth="1"/>
    <col min="14340" max="14340" width="22.7109375" style="103" customWidth="1"/>
    <col min="14341" max="14585" width="9.140625" style="103"/>
    <col min="14586" max="14586" width="3.5703125" style="103" customWidth="1"/>
    <col min="14587" max="14587" width="6.28515625" style="103" customWidth="1"/>
    <col min="14588" max="14588" width="8.28515625" style="103" customWidth="1"/>
    <col min="14589" max="14589" width="8.85546875" style="103" customWidth="1"/>
    <col min="14590" max="14590" width="38.5703125" style="103" customWidth="1"/>
    <col min="14591" max="14591" width="6.28515625" style="103" customWidth="1"/>
    <col min="14592" max="14592" width="8.42578125" style="103" customWidth="1"/>
    <col min="14593" max="14593" width="9.140625" style="103" customWidth="1"/>
    <col min="14594" max="14594" width="42" style="103" customWidth="1"/>
    <col min="14595" max="14595" width="1.28515625" style="103" customWidth="1"/>
    <col min="14596" max="14596" width="22.7109375" style="103" customWidth="1"/>
    <col min="14597" max="14841" width="9.140625" style="103"/>
    <col min="14842" max="14842" width="3.5703125" style="103" customWidth="1"/>
    <col min="14843" max="14843" width="6.28515625" style="103" customWidth="1"/>
    <col min="14844" max="14844" width="8.28515625" style="103" customWidth="1"/>
    <col min="14845" max="14845" width="8.85546875" style="103" customWidth="1"/>
    <col min="14846" max="14846" width="38.5703125" style="103" customWidth="1"/>
    <col min="14847" max="14847" width="6.28515625" style="103" customWidth="1"/>
    <col min="14848" max="14848" width="8.42578125" style="103" customWidth="1"/>
    <col min="14849" max="14849" width="9.140625" style="103" customWidth="1"/>
    <col min="14850" max="14850" width="42" style="103" customWidth="1"/>
    <col min="14851" max="14851" width="1.28515625" style="103" customWidth="1"/>
    <col min="14852" max="14852" width="22.7109375" style="103" customWidth="1"/>
    <col min="14853" max="15097" width="9.140625" style="103"/>
    <col min="15098" max="15098" width="3.5703125" style="103" customWidth="1"/>
    <col min="15099" max="15099" width="6.28515625" style="103" customWidth="1"/>
    <col min="15100" max="15100" width="8.28515625" style="103" customWidth="1"/>
    <col min="15101" max="15101" width="8.85546875" style="103" customWidth="1"/>
    <col min="15102" max="15102" width="38.5703125" style="103" customWidth="1"/>
    <col min="15103" max="15103" width="6.28515625" style="103" customWidth="1"/>
    <col min="15104" max="15104" width="8.42578125" style="103" customWidth="1"/>
    <col min="15105" max="15105" width="9.140625" style="103" customWidth="1"/>
    <col min="15106" max="15106" width="42" style="103" customWidth="1"/>
    <col min="15107" max="15107" width="1.28515625" style="103" customWidth="1"/>
    <col min="15108" max="15108" width="22.7109375" style="103" customWidth="1"/>
    <col min="15109" max="15353" width="9.140625" style="103"/>
    <col min="15354" max="15354" width="3.5703125" style="103" customWidth="1"/>
    <col min="15355" max="15355" width="6.28515625" style="103" customWidth="1"/>
    <col min="15356" max="15356" width="8.28515625" style="103" customWidth="1"/>
    <col min="15357" max="15357" width="8.85546875" style="103" customWidth="1"/>
    <col min="15358" max="15358" width="38.5703125" style="103" customWidth="1"/>
    <col min="15359" max="15359" width="6.28515625" style="103" customWidth="1"/>
    <col min="15360" max="15360" width="8.42578125" style="103" customWidth="1"/>
    <col min="15361" max="15361" width="9.140625" style="103" customWidth="1"/>
    <col min="15362" max="15362" width="42" style="103" customWidth="1"/>
    <col min="15363" max="15363" width="1.28515625" style="103" customWidth="1"/>
    <col min="15364" max="15364" width="22.7109375" style="103" customWidth="1"/>
    <col min="15365" max="15609" width="9.140625" style="103"/>
    <col min="15610" max="15610" width="3.5703125" style="103" customWidth="1"/>
    <col min="15611" max="15611" width="6.28515625" style="103" customWidth="1"/>
    <col min="15612" max="15612" width="8.28515625" style="103" customWidth="1"/>
    <col min="15613" max="15613" width="8.85546875" style="103" customWidth="1"/>
    <col min="15614" max="15614" width="38.5703125" style="103" customWidth="1"/>
    <col min="15615" max="15615" width="6.28515625" style="103" customWidth="1"/>
    <col min="15616" max="15616" width="8.42578125" style="103" customWidth="1"/>
    <col min="15617" max="15617" width="9.140625" style="103" customWidth="1"/>
    <col min="15618" max="15618" width="42" style="103" customWidth="1"/>
    <col min="15619" max="15619" width="1.28515625" style="103" customWidth="1"/>
    <col min="15620" max="15620" width="22.7109375" style="103" customWidth="1"/>
    <col min="15621" max="15865" width="9.140625" style="103"/>
    <col min="15866" max="15866" width="3.5703125" style="103" customWidth="1"/>
    <col min="15867" max="15867" width="6.28515625" style="103" customWidth="1"/>
    <col min="15868" max="15868" width="8.28515625" style="103" customWidth="1"/>
    <col min="15869" max="15869" width="8.85546875" style="103" customWidth="1"/>
    <col min="15870" max="15870" width="38.5703125" style="103" customWidth="1"/>
    <col min="15871" max="15871" width="6.28515625" style="103" customWidth="1"/>
    <col min="15872" max="15872" width="8.42578125" style="103" customWidth="1"/>
    <col min="15873" max="15873" width="9.140625" style="103" customWidth="1"/>
    <col min="15874" max="15874" width="42" style="103" customWidth="1"/>
    <col min="15875" max="15875" width="1.28515625" style="103" customWidth="1"/>
    <col min="15876" max="15876" width="22.7109375" style="103" customWidth="1"/>
    <col min="15877" max="16121" width="9.140625" style="103"/>
    <col min="16122" max="16122" width="3.5703125" style="103" customWidth="1"/>
    <col min="16123" max="16123" width="6.28515625" style="103" customWidth="1"/>
    <col min="16124" max="16124" width="8.28515625" style="103" customWidth="1"/>
    <col min="16125" max="16125" width="8.85546875" style="103" customWidth="1"/>
    <col min="16126" max="16126" width="38.5703125" style="103" customWidth="1"/>
    <col min="16127" max="16127" width="6.28515625" style="103" customWidth="1"/>
    <col min="16128" max="16128" width="8.42578125" style="103" customWidth="1"/>
    <col min="16129" max="16129" width="9.140625" style="103" customWidth="1"/>
    <col min="16130" max="16130" width="42" style="103" customWidth="1"/>
    <col min="16131" max="16131" width="1.28515625" style="103" customWidth="1"/>
    <col min="16132" max="16132" width="22.7109375" style="103" customWidth="1"/>
    <col min="16133" max="16384" width="9.140625" style="103"/>
  </cols>
  <sheetData>
    <row r="1" spans="1:10">
      <c r="A1" s="834"/>
      <c r="B1" s="2059" t="s">
        <v>1919</v>
      </c>
      <c r="C1" s="2059"/>
      <c r="D1" s="2059"/>
      <c r="E1" s="2059"/>
      <c r="F1" s="819"/>
      <c r="G1" s="1331"/>
      <c r="H1" s="821" t="s">
        <v>1918</v>
      </c>
      <c r="I1" s="1332">
        <f ca="1">TODAY()</f>
        <v>42423</v>
      </c>
      <c r="J1" s="820"/>
    </row>
    <row r="2" spans="1:10">
      <c r="A2" s="834"/>
      <c r="B2" s="2059" t="s">
        <v>1917</v>
      </c>
      <c r="C2" s="2059"/>
      <c r="D2" s="2059"/>
      <c r="E2" s="2059"/>
      <c r="F2" s="819"/>
      <c r="G2" s="1331"/>
      <c r="J2" s="834"/>
    </row>
    <row r="3" spans="1:10">
      <c r="A3" s="834"/>
      <c r="B3" s="2059" t="s">
        <v>1920</v>
      </c>
      <c r="C3" s="2059"/>
      <c r="D3" s="2059"/>
      <c r="E3" s="2059"/>
      <c r="F3" s="2059"/>
      <c r="G3" s="1331"/>
      <c r="H3" s="2060" t="s">
        <v>3263</v>
      </c>
      <c r="I3" s="2060"/>
      <c r="J3" s="834"/>
    </row>
    <row r="4" spans="1:10">
      <c r="A4" s="834"/>
      <c r="B4" s="2059" t="s">
        <v>1921</v>
      </c>
      <c r="C4" s="2059"/>
      <c r="D4" s="2059"/>
      <c r="E4" s="2059"/>
      <c r="F4" s="819"/>
      <c r="G4" s="1331"/>
      <c r="H4" s="2061"/>
      <c r="I4" s="2061"/>
      <c r="J4" s="834"/>
    </row>
    <row r="5" spans="1:10">
      <c r="A5" s="834"/>
      <c r="B5" s="824"/>
      <c r="C5" s="1331"/>
      <c r="D5" s="1331"/>
      <c r="E5" s="825"/>
      <c r="F5" s="819"/>
      <c r="G5" s="1330"/>
      <c r="H5" s="827"/>
      <c r="I5" s="1330"/>
      <c r="J5" s="834"/>
    </row>
    <row r="6" spans="1:10">
      <c r="A6" s="1162"/>
      <c r="B6" s="909" t="s">
        <v>1884</v>
      </c>
      <c r="C6" s="911" t="s">
        <v>526</v>
      </c>
      <c r="D6" s="910" t="s">
        <v>1885</v>
      </c>
      <c r="E6" s="911" t="s">
        <v>1886</v>
      </c>
      <c r="F6" s="909" t="s">
        <v>1884</v>
      </c>
      <c r="G6" s="911" t="s">
        <v>526</v>
      </c>
      <c r="H6" s="910" t="s">
        <v>1885</v>
      </c>
      <c r="I6" s="911" t="s">
        <v>1886</v>
      </c>
      <c r="J6" s="1162"/>
    </row>
    <row r="7" spans="1:10">
      <c r="A7" s="834"/>
      <c r="B7" s="831"/>
      <c r="C7" s="829"/>
      <c r="D7" s="832"/>
      <c r="E7" s="1335" t="s">
        <v>1887</v>
      </c>
      <c r="F7" s="831"/>
      <c r="G7" s="829"/>
      <c r="H7" s="832"/>
      <c r="I7" s="1335" t="s">
        <v>3271</v>
      </c>
    </row>
    <row r="8" spans="1:10">
      <c r="A8" s="834"/>
      <c r="B8" s="831"/>
      <c r="C8" s="829"/>
      <c r="D8" s="832"/>
      <c r="E8" s="1335" t="s">
        <v>3249</v>
      </c>
      <c r="F8" s="831"/>
      <c r="G8" s="829"/>
      <c r="H8" s="832"/>
      <c r="I8" s="435" t="s">
        <v>2215</v>
      </c>
    </row>
    <row r="9" spans="1:10">
      <c r="A9" s="834"/>
      <c r="B9" s="831"/>
      <c r="C9" s="829"/>
      <c r="D9" s="832"/>
      <c r="E9" s="1335" t="s">
        <v>3250</v>
      </c>
      <c r="F9" s="831"/>
      <c r="G9" s="829">
        <v>2.1</v>
      </c>
      <c r="H9" s="832"/>
      <c r="I9" s="435"/>
    </row>
    <row r="10" spans="1:10">
      <c r="A10" s="834"/>
      <c r="B10" s="831"/>
      <c r="C10" s="829"/>
      <c r="D10" s="832"/>
      <c r="E10" s="435" t="s">
        <v>3252</v>
      </c>
      <c r="F10" s="831">
        <v>1</v>
      </c>
      <c r="G10" s="829">
        <v>1.4</v>
      </c>
      <c r="H10" s="832"/>
      <c r="I10" s="435"/>
    </row>
    <row r="11" spans="1:10">
      <c r="A11" s="834"/>
      <c r="B11" s="831"/>
      <c r="C11" s="829"/>
      <c r="D11" s="832"/>
      <c r="E11" s="435" t="s">
        <v>3254</v>
      </c>
      <c r="F11" s="831"/>
      <c r="G11" s="829"/>
      <c r="H11" s="832">
        <f>G10*G9*F10</f>
        <v>2.94</v>
      </c>
      <c r="I11" s="435"/>
    </row>
    <row r="12" spans="1:10">
      <c r="A12" s="834"/>
      <c r="B12" s="831">
        <v>1</v>
      </c>
      <c r="C12" s="829">
        <v>7.2</v>
      </c>
      <c r="D12" s="832"/>
      <c r="E12" s="435"/>
      <c r="F12" s="103"/>
      <c r="G12" s="103"/>
      <c r="H12" s="103"/>
      <c r="I12" s="435"/>
    </row>
    <row r="13" spans="1:10">
      <c r="A13" s="834"/>
      <c r="B13" s="831"/>
      <c r="C13" s="829">
        <v>4.9000000000000004</v>
      </c>
      <c r="D13" s="832">
        <f>B12*C12*C13</f>
        <v>35.28</v>
      </c>
      <c r="E13" s="435"/>
      <c r="F13" s="831"/>
      <c r="G13" s="829"/>
      <c r="H13" s="832"/>
      <c r="I13" s="1335" t="s">
        <v>3272</v>
      </c>
    </row>
    <row r="14" spans="1:10">
      <c r="A14" s="834"/>
      <c r="B14" s="831"/>
      <c r="C14" s="829"/>
      <c r="D14" s="832"/>
      <c r="E14" s="435"/>
      <c r="F14" s="831"/>
      <c r="G14" s="829"/>
      <c r="H14" s="832"/>
      <c r="I14" s="435" t="s">
        <v>3267</v>
      </c>
    </row>
    <row r="15" spans="1:10">
      <c r="A15" s="834"/>
      <c r="B15" s="831"/>
      <c r="C15" s="829"/>
      <c r="D15" s="832"/>
      <c r="E15" s="1335" t="s">
        <v>3257</v>
      </c>
      <c r="F15" s="831">
        <v>2</v>
      </c>
      <c r="G15" s="829">
        <v>5.4</v>
      </c>
      <c r="H15" s="832"/>
      <c r="I15" s="435" t="s">
        <v>3273</v>
      </c>
    </row>
    <row r="16" spans="1:10">
      <c r="A16" s="834"/>
      <c r="B16" s="831">
        <v>1</v>
      </c>
      <c r="C16" s="829">
        <v>6.2</v>
      </c>
      <c r="D16" s="832"/>
      <c r="E16" s="435"/>
      <c r="F16" s="831"/>
      <c r="G16" s="829">
        <v>0.25</v>
      </c>
      <c r="H16" s="832"/>
      <c r="I16" s="435" t="s">
        <v>3274</v>
      </c>
    </row>
    <row r="17" spans="1:10">
      <c r="A17" s="834"/>
      <c r="B17" s="831"/>
      <c r="C17" s="829">
        <v>3.7</v>
      </c>
      <c r="D17" s="832"/>
      <c r="E17" s="435"/>
      <c r="F17" s="831"/>
      <c r="G17" s="829">
        <v>0.4</v>
      </c>
      <c r="H17" s="832"/>
      <c r="I17" s="435"/>
    </row>
    <row r="18" spans="1:10">
      <c r="A18" s="834"/>
      <c r="B18" s="831"/>
      <c r="C18" s="829">
        <v>1</v>
      </c>
      <c r="D18" s="832">
        <f>B16*C16*C17*C18</f>
        <v>22.94</v>
      </c>
      <c r="E18" s="435"/>
      <c r="F18" s="831"/>
      <c r="G18" s="829"/>
      <c r="H18" s="832">
        <f>G17*G16*G15*F15</f>
        <v>1.08</v>
      </c>
      <c r="I18" s="435"/>
    </row>
    <row r="19" spans="1:10">
      <c r="A19" s="834"/>
      <c r="B19" s="831"/>
      <c r="C19" s="829"/>
      <c r="D19" s="832"/>
      <c r="E19" s="435"/>
      <c r="F19" s="831">
        <v>2</v>
      </c>
      <c r="G19" s="829">
        <v>2.4</v>
      </c>
      <c r="H19" s="832"/>
      <c r="I19" s="435" t="s">
        <v>3267</v>
      </c>
    </row>
    <row r="20" spans="1:10">
      <c r="A20" s="834"/>
      <c r="B20" s="831"/>
      <c r="C20" s="829"/>
      <c r="D20" s="832"/>
      <c r="E20" s="1335" t="s">
        <v>3261</v>
      </c>
      <c r="F20" s="831"/>
      <c r="G20" s="829">
        <v>0.25</v>
      </c>
      <c r="H20" s="832"/>
      <c r="I20" s="435"/>
    </row>
    <row r="21" spans="1:10">
      <c r="A21" s="834"/>
      <c r="B21" s="831">
        <v>2</v>
      </c>
      <c r="C21" s="829">
        <v>5.7</v>
      </c>
      <c r="D21" s="832"/>
      <c r="E21" s="435"/>
      <c r="F21" s="831"/>
      <c r="G21" s="829">
        <v>0.4</v>
      </c>
      <c r="H21" s="832"/>
      <c r="I21" s="435" t="s">
        <v>3275</v>
      </c>
    </row>
    <row r="22" spans="1:10">
      <c r="A22" s="834"/>
      <c r="B22" s="831"/>
      <c r="C22" s="829">
        <v>0.9</v>
      </c>
      <c r="D22" s="832"/>
      <c r="E22" s="435"/>
      <c r="F22" s="831"/>
      <c r="G22" s="829"/>
      <c r="H22" s="832">
        <f>G21*G20*G19*F19</f>
        <v>0.48</v>
      </c>
      <c r="I22" s="435"/>
    </row>
    <row r="23" spans="1:10">
      <c r="A23" s="834"/>
      <c r="B23" s="831"/>
      <c r="C23" s="829">
        <v>0.2</v>
      </c>
      <c r="D23" s="832">
        <f>B21*C21*C22*C23</f>
        <v>2.052</v>
      </c>
      <c r="E23" s="435"/>
      <c r="F23" s="831"/>
      <c r="G23" s="829"/>
      <c r="H23" s="832"/>
      <c r="I23" s="435"/>
      <c r="J23" s="834"/>
    </row>
    <row r="24" spans="1:10">
      <c r="A24" s="834"/>
      <c r="B24" s="831"/>
      <c r="C24" s="829"/>
      <c r="D24" s="832"/>
      <c r="E24" s="435"/>
      <c r="F24" s="831"/>
      <c r="G24" s="829"/>
      <c r="H24" s="832">
        <f>SUM(H18:H22)</f>
        <v>1.56</v>
      </c>
      <c r="I24" s="435"/>
      <c r="J24" s="834"/>
    </row>
    <row r="25" spans="1:10">
      <c r="A25" s="834"/>
      <c r="B25" s="831">
        <v>2</v>
      </c>
      <c r="C25" s="829">
        <v>1.9</v>
      </c>
      <c r="D25" s="832"/>
      <c r="E25" s="435"/>
      <c r="F25" s="103"/>
      <c r="G25" s="103"/>
      <c r="H25" s="103"/>
      <c r="J25" s="834"/>
    </row>
    <row r="26" spans="1:10">
      <c r="A26" s="834"/>
      <c r="B26" s="831"/>
      <c r="C26" s="829">
        <v>0.9</v>
      </c>
      <c r="D26" s="832"/>
      <c r="E26" s="435"/>
      <c r="F26" s="831"/>
      <c r="G26" s="829"/>
      <c r="H26" s="832"/>
      <c r="I26" s="1335" t="s">
        <v>3276</v>
      </c>
      <c r="J26" s="834"/>
    </row>
    <row r="27" spans="1:10">
      <c r="A27" s="834"/>
      <c r="B27" s="831"/>
      <c r="C27" s="829">
        <v>0.2</v>
      </c>
      <c r="D27" s="832">
        <f>B25*C25*C26*C27</f>
        <v>0.68400000000000005</v>
      </c>
      <c r="E27" s="435"/>
      <c r="F27" s="831"/>
      <c r="G27" s="829"/>
      <c r="H27" s="832"/>
      <c r="I27" s="1335" t="s">
        <v>3277</v>
      </c>
      <c r="J27" s="834"/>
    </row>
    <row r="28" spans="1:10">
      <c r="A28" s="834"/>
      <c r="B28" s="831"/>
      <c r="C28" s="829"/>
      <c r="D28" s="832"/>
      <c r="E28" s="435"/>
      <c r="F28" s="831">
        <v>2</v>
      </c>
      <c r="G28" s="829">
        <v>5.4</v>
      </c>
      <c r="H28" s="832"/>
      <c r="I28" s="435"/>
      <c r="J28" s="834"/>
    </row>
    <row r="29" spans="1:10">
      <c r="A29" s="834"/>
      <c r="B29" s="831"/>
      <c r="C29" s="829"/>
      <c r="D29" s="832">
        <f>SUM(D22:D28)</f>
        <v>2.7360000000000002</v>
      </c>
      <c r="E29" s="435" t="s">
        <v>3262</v>
      </c>
      <c r="F29" s="831"/>
      <c r="G29" s="829">
        <v>0.4</v>
      </c>
      <c r="H29" s="832">
        <f>G29*G28*F28</f>
        <v>4.32</v>
      </c>
      <c r="I29" s="435"/>
      <c r="J29" s="834"/>
    </row>
    <row r="30" spans="1:10">
      <c r="A30" s="834"/>
      <c r="B30" s="831"/>
      <c r="C30" s="829"/>
      <c r="D30" s="832"/>
      <c r="E30" s="435"/>
      <c r="F30" s="831"/>
      <c r="G30" s="829"/>
      <c r="H30" s="832"/>
      <c r="I30" s="435"/>
      <c r="J30" s="834"/>
    </row>
    <row r="31" spans="1:10">
      <c r="A31" s="834"/>
      <c r="B31" s="831"/>
      <c r="C31" s="829"/>
      <c r="D31" s="832"/>
      <c r="E31" s="1335" t="s">
        <v>3248</v>
      </c>
      <c r="F31" s="831">
        <v>2</v>
      </c>
      <c r="G31" s="829">
        <v>4.9000000000000004</v>
      </c>
      <c r="H31" s="832"/>
      <c r="I31" s="435"/>
      <c r="J31" s="834"/>
    </row>
    <row r="32" spans="1:10">
      <c r="A32" s="834"/>
      <c r="B32" s="831">
        <v>4</v>
      </c>
      <c r="C32" s="829">
        <v>5.2</v>
      </c>
      <c r="D32" s="832"/>
      <c r="E32" s="435"/>
      <c r="F32" s="831"/>
      <c r="G32" s="829">
        <v>0.4</v>
      </c>
      <c r="H32" s="832">
        <f>G32*G31*F31</f>
        <v>3.9200000000000004</v>
      </c>
      <c r="I32" s="435"/>
      <c r="J32" s="834"/>
    </row>
    <row r="33" spans="1:10" ht="18.75" customHeight="1">
      <c r="A33" s="834"/>
      <c r="B33" s="831"/>
      <c r="C33" s="829">
        <v>0.25</v>
      </c>
      <c r="D33" s="832"/>
      <c r="E33" s="435"/>
      <c r="F33" s="831"/>
      <c r="G33" s="829"/>
      <c r="H33" s="832"/>
      <c r="I33" s="435"/>
      <c r="J33" s="834"/>
    </row>
    <row r="34" spans="1:10">
      <c r="A34" s="834"/>
      <c r="B34" s="831"/>
      <c r="C34" s="829">
        <v>0.2</v>
      </c>
      <c r="D34" s="832">
        <f>C32*C33*C34*B32</f>
        <v>1.04</v>
      </c>
      <c r="E34" s="435"/>
      <c r="F34" s="831">
        <v>2</v>
      </c>
      <c r="G34" s="829">
        <v>2.9</v>
      </c>
      <c r="H34" s="832"/>
      <c r="I34" s="435"/>
      <c r="J34" s="834"/>
    </row>
    <row r="35" spans="1:10">
      <c r="A35" s="834"/>
      <c r="B35" s="831"/>
      <c r="C35" s="829"/>
      <c r="D35" s="832"/>
      <c r="E35" s="435"/>
      <c r="F35" s="831"/>
      <c r="G35" s="829">
        <v>0.4</v>
      </c>
      <c r="H35" s="832">
        <f>G35*G34*F34</f>
        <v>2.3199999999999998</v>
      </c>
      <c r="I35" s="435"/>
      <c r="J35" s="834"/>
    </row>
    <row r="36" spans="1:10" ht="18.75" customHeight="1">
      <c r="A36" s="834"/>
      <c r="B36" s="831"/>
      <c r="C36" s="829"/>
      <c r="D36" s="832"/>
      <c r="E36" s="1335" t="s">
        <v>3253</v>
      </c>
      <c r="F36" s="831"/>
      <c r="G36" s="829"/>
      <c r="H36" s="832"/>
      <c r="I36" s="435"/>
      <c r="J36" s="834"/>
    </row>
    <row r="37" spans="1:10">
      <c r="A37" s="834"/>
      <c r="B37" s="831"/>
      <c r="C37" s="829">
        <v>7.4</v>
      </c>
      <c r="D37" s="832"/>
      <c r="E37" s="435"/>
      <c r="F37" s="831">
        <v>2</v>
      </c>
      <c r="G37" s="829">
        <v>2.4</v>
      </c>
      <c r="H37" s="832"/>
      <c r="I37" s="435"/>
      <c r="J37" s="834"/>
    </row>
    <row r="38" spans="1:10">
      <c r="A38" s="834"/>
      <c r="B38" s="831"/>
      <c r="C38" s="829">
        <v>4.9000000000000004</v>
      </c>
      <c r="D38" s="832"/>
      <c r="E38" s="435"/>
      <c r="F38" s="103"/>
      <c r="G38" s="829">
        <v>0.4</v>
      </c>
      <c r="H38" s="832">
        <f>G38*G37*F37</f>
        <v>1.92</v>
      </c>
      <c r="I38" s="435"/>
      <c r="J38" s="834"/>
    </row>
    <row r="39" spans="1:10">
      <c r="A39" s="834"/>
      <c r="B39" s="831"/>
      <c r="C39" s="829">
        <v>0.3</v>
      </c>
      <c r="D39" s="832">
        <f>C37*C38*C39</f>
        <v>10.878000000000002</v>
      </c>
      <c r="E39" s="435" t="s">
        <v>3255</v>
      </c>
      <c r="F39" s="831"/>
      <c r="G39" s="829"/>
      <c r="H39" s="103"/>
      <c r="I39" s="435"/>
      <c r="J39" s="834"/>
    </row>
    <row r="40" spans="1:10">
      <c r="A40" s="834"/>
      <c r="B40" s="831"/>
      <c r="C40" s="829"/>
      <c r="D40" s="832">
        <v>7.02</v>
      </c>
      <c r="E40" s="435" t="s">
        <v>3256</v>
      </c>
      <c r="F40" s="831"/>
      <c r="G40" s="829"/>
      <c r="H40" s="832">
        <f>SUM(H29:H38)</f>
        <v>12.48</v>
      </c>
      <c r="I40" s="435"/>
      <c r="J40" s="834"/>
    </row>
    <row r="41" spans="1:10">
      <c r="A41" s="834"/>
      <c r="B41" s="831"/>
      <c r="C41" s="829"/>
      <c r="D41" s="832">
        <v>10.039999999999999</v>
      </c>
      <c r="E41" s="435" t="s">
        <v>3258</v>
      </c>
      <c r="F41" s="831"/>
      <c r="G41" s="829"/>
      <c r="H41" s="832"/>
      <c r="I41" s="435"/>
      <c r="J41" s="834"/>
    </row>
    <row r="42" spans="1:10">
      <c r="A42" s="834"/>
      <c r="B42" s="831"/>
      <c r="C42" s="829"/>
      <c r="D42" s="832"/>
      <c r="E42" s="435"/>
      <c r="F42" s="831"/>
      <c r="G42" s="829"/>
      <c r="H42" s="832"/>
      <c r="I42" s="1335" t="s">
        <v>3278</v>
      </c>
      <c r="J42" s="834"/>
    </row>
    <row r="43" spans="1:10">
      <c r="A43" s="834"/>
      <c r="B43" s="831"/>
      <c r="C43" s="829"/>
      <c r="D43" s="832">
        <f>D39+D40+D41</f>
        <v>27.938000000000002</v>
      </c>
      <c r="E43" s="435" t="s">
        <v>3259</v>
      </c>
      <c r="F43" s="831">
        <v>2</v>
      </c>
      <c r="G43" s="829">
        <v>4.9000000000000004</v>
      </c>
      <c r="H43" s="832"/>
      <c r="I43" s="435"/>
      <c r="J43" s="834"/>
    </row>
    <row r="44" spans="1:10">
      <c r="A44" s="834"/>
      <c r="B44" s="831"/>
      <c r="C44" s="829"/>
      <c r="D44" s="832"/>
      <c r="E44" s="435"/>
      <c r="F44" s="831"/>
      <c r="G44" s="829"/>
      <c r="H44" s="832">
        <f>G43*F43</f>
        <v>9.8000000000000007</v>
      </c>
      <c r="I44" s="435"/>
      <c r="J44" s="834"/>
    </row>
    <row r="45" spans="1:10">
      <c r="A45" s="834"/>
      <c r="B45" s="831"/>
      <c r="C45" s="829"/>
      <c r="D45" s="832"/>
      <c r="E45" s="1335" t="s">
        <v>3260</v>
      </c>
      <c r="F45" s="103"/>
      <c r="G45" s="103"/>
      <c r="H45" s="103"/>
      <c r="I45" s="435"/>
      <c r="J45" s="834"/>
    </row>
    <row r="46" spans="1:10">
      <c r="A46" s="834"/>
      <c r="B46" s="831"/>
      <c r="C46" s="829">
        <v>2.4</v>
      </c>
      <c r="D46" s="832"/>
      <c r="E46" s="435"/>
      <c r="F46" s="831">
        <v>2</v>
      </c>
      <c r="G46" s="829">
        <v>2.4</v>
      </c>
      <c r="H46" s="832"/>
      <c r="J46" s="834"/>
    </row>
    <row r="47" spans="1:10">
      <c r="A47" s="834"/>
      <c r="B47" s="831"/>
      <c r="C47" s="829">
        <v>5</v>
      </c>
      <c r="D47" s="832">
        <f>C46*C47</f>
        <v>12</v>
      </c>
      <c r="E47" s="435" t="s">
        <v>3251</v>
      </c>
      <c r="F47" s="831"/>
      <c r="G47" s="829"/>
      <c r="H47" s="832">
        <f>G46*F46</f>
        <v>4.8</v>
      </c>
      <c r="I47" s="435"/>
      <c r="J47" s="834"/>
    </row>
    <row r="48" spans="1:10">
      <c r="A48" s="834"/>
      <c r="B48" s="831"/>
      <c r="C48" s="829"/>
      <c r="D48" s="832"/>
      <c r="E48" s="435"/>
      <c r="F48" s="103"/>
      <c r="G48" s="103"/>
      <c r="H48" s="103"/>
      <c r="I48" s="435"/>
      <c r="J48" s="834"/>
    </row>
    <row r="49" spans="1:10">
      <c r="A49" s="834"/>
      <c r="B49" s="831"/>
      <c r="C49" s="829"/>
      <c r="D49" s="832"/>
      <c r="E49" s="1335" t="s">
        <v>2206</v>
      </c>
      <c r="F49" s="831"/>
      <c r="G49" s="829"/>
      <c r="H49" s="832">
        <f>SUM(H43:H47)</f>
        <v>14.600000000000001</v>
      </c>
      <c r="I49" s="435"/>
      <c r="J49" s="834"/>
    </row>
    <row r="50" spans="1:10">
      <c r="A50" s="834"/>
      <c r="B50" s="831"/>
      <c r="C50" s="829"/>
      <c r="D50" s="832"/>
      <c r="E50" s="1335" t="s">
        <v>2207</v>
      </c>
      <c r="F50" s="103"/>
      <c r="G50" s="103"/>
      <c r="H50" s="103"/>
      <c r="J50" s="834"/>
    </row>
    <row r="51" spans="1:10">
      <c r="A51" s="834"/>
      <c r="B51" s="831"/>
      <c r="C51" s="829"/>
      <c r="D51" s="832"/>
      <c r="E51" s="435" t="s">
        <v>3266</v>
      </c>
      <c r="F51" s="831"/>
      <c r="G51" s="829"/>
      <c r="H51" s="832"/>
      <c r="I51" s="435"/>
      <c r="J51" s="834"/>
    </row>
    <row r="52" spans="1:10">
      <c r="A52" s="834"/>
      <c r="B52" s="831">
        <v>2</v>
      </c>
      <c r="C52" s="829">
        <v>5.5</v>
      </c>
      <c r="D52" s="832"/>
      <c r="E52" s="435" t="s">
        <v>3267</v>
      </c>
      <c r="F52" s="831"/>
      <c r="G52" s="829"/>
      <c r="H52" s="832"/>
      <c r="I52" s="435"/>
      <c r="J52" s="834"/>
    </row>
    <row r="53" spans="1:10">
      <c r="A53" s="834"/>
      <c r="B53" s="831"/>
      <c r="C53" s="829">
        <v>0.5</v>
      </c>
      <c r="D53" s="832"/>
      <c r="E53" s="435" t="s">
        <v>3268</v>
      </c>
      <c r="F53" s="831"/>
      <c r="G53" s="829"/>
      <c r="H53" s="832"/>
      <c r="I53" s="435"/>
      <c r="J53" s="834"/>
    </row>
    <row r="54" spans="1:10">
      <c r="A54" s="834"/>
      <c r="B54" s="831"/>
      <c r="C54" s="829"/>
      <c r="D54" s="832">
        <f>B52*(C52*C53)</f>
        <v>5.5</v>
      </c>
      <c r="E54" s="435"/>
      <c r="F54" s="831"/>
      <c r="G54" s="829"/>
      <c r="H54" s="832"/>
      <c r="I54" s="435"/>
      <c r="J54" s="834"/>
    </row>
    <row r="55" spans="1:10">
      <c r="A55" s="834"/>
      <c r="B55" s="831">
        <v>2</v>
      </c>
      <c r="C55" s="829">
        <v>2</v>
      </c>
      <c r="D55" s="832"/>
      <c r="E55" s="435" t="s">
        <v>3269</v>
      </c>
      <c r="F55" s="831"/>
      <c r="G55" s="829"/>
      <c r="H55" s="832"/>
      <c r="I55" s="435"/>
      <c r="J55" s="834"/>
    </row>
    <row r="56" spans="1:10">
      <c r="A56" s="834"/>
      <c r="B56" s="831"/>
      <c r="C56" s="829">
        <v>0.5</v>
      </c>
      <c r="D56" s="832"/>
      <c r="E56" s="435" t="s">
        <v>3270</v>
      </c>
      <c r="F56" s="831"/>
      <c r="G56" s="829"/>
      <c r="H56" s="832"/>
      <c r="I56" s="435"/>
      <c r="J56" s="834"/>
    </row>
    <row r="57" spans="1:10">
      <c r="A57" s="834"/>
      <c r="B57" s="831"/>
      <c r="C57" s="829"/>
      <c r="D57" s="832">
        <f>B55*(C55*C56)</f>
        <v>2</v>
      </c>
      <c r="E57" s="435"/>
      <c r="F57" s="831"/>
      <c r="G57" s="829"/>
      <c r="H57" s="832"/>
      <c r="I57" s="435"/>
      <c r="J57" s="834"/>
    </row>
    <row r="58" spans="1:10">
      <c r="A58" s="834"/>
      <c r="B58" s="831"/>
      <c r="C58" s="829"/>
      <c r="D58" s="832"/>
      <c r="E58" s="435"/>
      <c r="F58" s="831"/>
      <c r="G58" s="829"/>
      <c r="H58" s="832"/>
      <c r="I58" s="435"/>
      <c r="J58" s="834"/>
    </row>
    <row r="59" spans="1:10">
      <c r="A59" s="834"/>
      <c r="B59" s="831"/>
      <c r="C59" s="829"/>
      <c r="D59" s="832">
        <f>SUM(D53:D57)</f>
        <v>7.5</v>
      </c>
      <c r="E59" s="435"/>
      <c r="F59" s="831"/>
      <c r="G59" s="829"/>
      <c r="H59" s="832"/>
      <c r="I59" s="435"/>
      <c r="J59" s="834"/>
    </row>
    <row r="60" spans="1:10">
      <c r="A60" s="834"/>
      <c r="B60" s="831"/>
      <c r="C60" s="829"/>
      <c r="D60" s="832"/>
      <c r="E60" s="435"/>
      <c r="F60" s="831"/>
      <c r="G60" s="829"/>
      <c r="H60" s="832"/>
      <c r="I60" s="435"/>
      <c r="J60" s="834"/>
    </row>
    <row r="61" spans="1:10">
      <c r="A61" s="834"/>
      <c r="B61" s="831"/>
      <c r="C61" s="829"/>
      <c r="D61" s="832"/>
      <c r="E61" s="435"/>
      <c r="F61" s="831"/>
      <c r="G61" s="829"/>
      <c r="H61" s="832"/>
      <c r="I61" s="435"/>
      <c r="J61" s="834"/>
    </row>
    <row r="62" spans="1:10">
      <c r="A62" s="834"/>
      <c r="B62" s="831"/>
      <c r="C62" s="829"/>
      <c r="D62" s="832"/>
      <c r="E62" s="435"/>
      <c r="F62" s="831"/>
      <c r="G62" s="829"/>
      <c r="H62" s="832"/>
      <c r="I62" s="435"/>
      <c r="J62" s="834"/>
    </row>
    <row r="63" spans="1:10">
      <c r="A63" s="834"/>
      <c r="B63" s="831"/>
      <c r="C63" s="829"/>
      <c r="D63" s="832"/>
      <c r="E63" s="435"/>
      <c r="F63" s="831"/>
      <c r="G63" s="829"/>
      <c r="H63" s="832"/>
      <c r="I63" s="435"/>
      <c r="J63" s="834"/>
    </row>
    <row r="64" spans="1:10">
      <c r="A64" s="834"/>
      <c r="B64" s="831"/>
      <c r="C64" s="829"/>
      <c r="D64" s="832"/>
      <c r="E64" s="435"/>
      <c r="F64" s="831"/>
      <c r="G64" s="829"/>
      <c r="H64" s="832"/>
      <c r="I64" s="435"/>
      <c r="J64" s="834"/>
    </row>
    <row r="65" spans="1:10">
      <c r="A65" s="1162"/>
      <c r="B65" s="909" t="s">
        <v>1884</v>
      </c>
      <c r="C65" s="911" t="s">
        <v>526</v>
      </c>
      <c r="D65" s="910" t="s">
        <v>1885</v>
      </c>
      <c r="E65" s="911" t="s">
        <v>1886</v>
      </c>
      <c r="F65" s="909" t="s">
        <v>1884</v>
      </c>
      <c r="G65" s="911" t="s">
        <v>526</v>
      </c>
      <c r="H65" s="910" t="s">
        <v>1885</v>
      </c>
      <c r="I65" s="911" t="s">
        <v>1886</v>
      </c>
      <c r="J65" s="1162"/>
    </row>
    <row r="66" spans="1:10">
      <c r="A66" s="834"/>
      <c r="B66" s="435"/>
      <c r="C66" s="829"/>
      <c r="D66" s="832"/>
      <c r="E66" s="844"/>
      <c r="F66" s="435"/>
      <c r="G66" s="829"/>
      <c r="H66" s="832"/>
      <c r="I66" s="844"/>
    </row>
    <row r="67" spans="1:10">
      <c r="A67" s="834"/>
      <c r="B67" s="435"/>
      <c r="C67" s="829"/>
      <c r="D67" s="832"/>
      <c r="E67" s="844"/>
      <c r="F67" s="435"/>
      <c r="G67" s="829"/>
      <c r="H67" s="832"/>
      <c r="I67" s="844"/>
    </row>
    <row r="68" spans="1:10">
      <c r="A68" s="834"/>
      <c r="B68" s="435"/>
      <c r="C68" s="829"/>
      <c r="D68" s="832"/>
      <c r="E68" s="844"/>
      <c r="F68" s="435"/>
      <c r="G68" s="829"/>
      <c r="H68" s="832"/>
      <c r="I68" s="844"/>
    </row>
    <row r="69" spans="1:10">
      <c r="A69" s="834"/>
      <c r="B69" s="435"/>
      <c r="C69" s="829"/>
      <c r="D69" s="832"/>
      <c r="E69" s="844"/>
      <c r="F69" s="435"/>
      <c r="G69" s="829"/>
      <c r="H69" s="832"/>
      <c r="I69" s="844"/>
    </row>
    <row r="70" spans="1:10">
      <c r="A70" s="834"/>
      <c r="B70" s="435"/>
      <c r="C70" s="829"/>
      <c r="D70" s="832"/>
      <c r="E70" s="844"/>
      <c r="F70" s="435"/>
      <c r="G70" s="829"/>
      <c r="H70" s="832"/>
      <c r="I70" s="844"/>
    </row>
    <row r="71" spans="1:10">
      <c r="A71" s="834"/>
      <c r="B71" s="435"/>
      <c r="C71" s="829"/>
      <c r="D71" s="832"/>
      <c r="E71" s="844"/>
      <c r="F71" s="435"/>
      <c r="G71" s="829"/>
      <c r="H71" s="832"/>
      <c r="I71" s="844"/>
    </row>
    <row r="72" spans="1:10">
      <c r="A72" s="834"/>
      <c r="B72" s="435"/>
      <c r="C72" s="829"/>
      <c r="D72" s="832"/>
      <c r="E72" s="844"/>
      <c r="F72" s="435"/>
      <c r="G72" s="829"/>
      <c r="H72" s="832"/>
      <c r="I72" s="844"/>
    </row>
    <row r="73" spans="1:10">
      <c r="A73" s="834"/>
      <c r="B73" s="435"/>
      <c r="C73" s="829"/>
      <c r="D73" s="832"/>
      <c r="E73" s="844"/>
      <c r="F73" s="435"/>
      <c r="G73" s="829"/>
      <c r="H73" s="832"/>
      <c r="I73" s="844"/>
    </row>
    <row r="74" spans="1:10">
      <c r="A74" s="834"/>
      <c r="B74" s="435"/>
      <c r="C74" s="829"/>
      <c r="D74" s="832"/>
      <c r="E74" s="844"/>
      <c r="F74" s="435"/>
      <c r="G74" s="829"/>
      <c r="H74" s="832"/>
      <c r="I74" s="844"/>
    </row>
    <row r="75" spans="1:10">
      <c r="A75" s="834"/>
      <c r="B75" s="435"/>
      <c r="C75" s="829"/>
      <c r="D75" s="832"/>
      <c r="E75" s="844"/>
      <c r="F75" s="435"/>
      <c r="G75" s="829"/>
      <c r="H75" s="832"/>
      <c r="I75" s="844"/>
    </row>
    <row r="76" spans="1:10" ht="18.75" customHeight="1">
      <c r="A76" s="834"/>
      <c r="B76" s="435"/>
      <c r="C76" s="829"/>
      <c r="D76" s="832"/>
      <c r="E76" s="844"/>
      <c r="F76" s="435"/>
      <c r="G76" s="829"/>
      <c r="H76" s="832"/>
      <c r="I76" s="844"/>
    </row>
    <row r="77" spans="1:10">
      <c r="A77" s="834"/>
      <c r="B77" s="435"/>
      <c r="C77" s="829"/>
      <c r="D77" s="832"/>
      <c r="E77" s="844"/>
      <c r="F77" s="435"/>
      <c r="G77" s="829"/>
      <c r="H77" s="832"/>
      <c r="I77" s="844"/>
    </row>
    <row r="78" spans="1:10">
      <c r="A78" s="834"/>
      <c r="B78" s="435"/>
      <c r="C78" s="829"/>
      <c r="D78" s="832"/>
      <c r="E78" s="844"/>
      <c r="F78" s="435"/>
      <c r="G78" s="829"/>
      <c r="H78" s="832"/>
      <c r="I78" s="844"/>
    </row>
    <row r="79" spans="1:10">
      <c r="A79" s="834"/>
      <c r="B79" s="435"/>
      <c r="C79" s="829"/>
      <c r="D79" s="832"/>
      <c r="E79" s="844"/>
      <c r="F79" s="435"/>
      <c r="G79" s="829"/>
      <c r="H79" s="832"/>
      <c r="I79" s="844"/>
    </row>
    <row r="80" spans="1:10">
      <c r="A80" s="834"/>
      <c r="B80" s="435"/>
      <c r="C80" s="829"/>
      <c r="D80" s="832"/>
      <c r="E80" s="844"/>
      <c r="F80" s="435"/>
      <c r="G80" s="829"/>
      <c r="H80" s="832"/>
      <c r="I80" s="844"/>
    </row>
    <row r="81" spans="1:10">
      <c r="A81" s="834"/>
      <c r="B81" s="435"/>
      <c r="C81" s="829"/>
      <c r="D81" s="832"/>
      <c r="E81" s="844"/>
      <c r="F81" s="435"/>
      <c r="G81" s="829"/>
      <c r="H81" s="832"/>
      <c r="I81" s="844"/>
    </row>
    <row r="82" spans="1:10">
      <c r="A82" s="834"/>
      <c r="B82" s="435"/>
      <c r="C82" s="829"/>
      <c r="D82" s="832"/>
      <c r="E82" s="844"/>
      <c r="F82" s="435"/>
      <c r="G82" s="829"/>
      <c r="H82" s="832"/>
      <c r="I82" s="844"/>
      <c r="J82" s="834"/>
    </row>
    <row r="83" spans="1:10">
      <c r="A83" s="834"/>
      <c r="B83" s="435"/>
      <c r="C83" s="829"/>
      <c r="D83" s="832"/>
      <c r="E83" s="844"/>
      <c r="F83" s="435"/>
      <c r="G83" s="829"/>
      <c r="H83" s="832"/>
      <c r="I83" s="844"/>
      <c r="J83" s="834"/>
    </row>
    <row r="84" spans="1:10">
      <c r="A84" s="834"/>
      <c r="B84" s="435"/>
      <c r="C84" s="829"/>
      <c r="D84" s="832"/>
      <c r="E84" s="844"/>
      <c r="F84" s="435"/>
      <c r="G84" s="829"/>
      <c r="H84" s="832"/>
      <c r="I84" s="844"/>
      <c r="J84" s="834"/>
    </row>
    <row r="85" spans="1:10">
      <c r="A85" s="834"/>
      <c r="B85" s="435"/>
      <c r="C85" s="1335"/>
      <c r="D85" s="1335"/>
      <c r="E85" s="435"/>
      <c r="F85" s="435"/>
      <c r="G85" s="829"/>
      <c r="H85" s="832"/>
      <c r="I85" s="844"/>
      <c r="J85" s="834"/>
    </row>
    <row r="86" spans="1:10">
      <c r="A86" s="834"/>
      <c r="B86" s="435"/>
      <c r="C86" s="829"/>
      <c r="D86" s="832"/>
      <c r="E86" s="844"/>
      <c r="F86" s="435"/>
      <c r="G86" s="829"/>
      <c r="H86" s="832"/>
      <c r="I86" s="844"/>
      <c r="J86" s="834"/>
    </row>
    <row r="87" spans="1:10" ht="19.5" customHeight="1">
      <c r="A87" s="834"/>
      <c r="B87" s="435"/>
      <c r="C87" s="829"/>
      <c r="D87" s="832"/>
      <c r="E87" s="844"/>
      <c r="F87" s="435"/>
      <c r="G87" s="829"/>
      <c r="H87" s="832"/>
      <c r="I87" s="844"/>
      <c r="J87" s="834"/>
    </row>
    <row r="88" spans="1:10">
      <c r="A88" s="834"/>
      <c r="B88" s="435"/>
      <c r="C88" s="829"/>
      <c r="D88" s="832"/>
      <c r="E88" s="844"/>
      <c r="F88" s="435"/>
      <c r="G88" s="829"/>
      <c r="H88" s="832"/>
      <c r="I88" s="844"/>
      <c r="J88" s="834"/>
    </row>
    <row r="89" spans="1:10">
      <c r="A89" s="834"/>
      <c r="B89" s="435"/>
      <c r="C89" s="829"/>
      <c r="D89" s="832"/>
      <c r="E89" s="844"/>
      <c r="F89" s="435"/>
      <c r="G89" s="829"/>
      <c r="H89" s="832"/>
      <c r="I89" s="844"/>
      <c r="J89" s="834"/>
    </row>
    <row r="90" spans="1:10">
      <c r="A90" s="834"/>
      <c r="B90" s="435"/>
      <c r="C90" s="829"/>
      <c r="D90" s="832"/>
      <c r="E90" s="844"/>
      <c r="F90" s="435"/>
      <c r="G90" s="829"/>
      <c r="H90" s="832"/>
      <c r="I90" s="844"/>
      <c r="J90" s="834"/>
    </row>
    <row r="91" spans="1:10">
      <c r="A91" s="834"/>
      <c r="B91" s="435"/>
      <c r="C91" s="829"/>
      <c r="D91" s="832"/>
      <c r="E91" s="844"/>
      <c r="F91" s="435"/>
      <c r="G91" s="829"/>
      <c r="H91" s="832"/>
      <c r="I91" s="844"/>
      <c r="J91" s="834"/>
    </row>
    <row r="92" spans="1:10">
      <c r="A92" s="834"/>
      <c r="B92" s="435"/>
      <c r="C92" s="829"/>
      <c r="D92" s="832"/>
      <c r="E92" s="844"/>
      <c r="F92" s="435"/>
      <c r="G92" s="829"/>
      <c r="H92" s="832"/>
      <c r="I92" s="844"/>
      <c r="J92" s="834"/>
    </row>
    <row r="93" spans="1:10">
      <c r="A93" s="834"/>
      <c r="B93" s="435"/>
      <c r="C93" s="829"/>
      <c r="D93" s="832"/>
      <c r="E93" s="844"/>
      <c r="F93" s="435"/>
      <c r="G93" s="829"/>
      <c r="H93" s="832"/>
      <c r="I93" s="844"/>
      <c r="J93" s="834"/>
    </row>
    <row r="94" spans="1:10">
      <c r="A94" s="834"/>
      <c r="B94" s="435"/>
      <c r="C94" s="829"/>
      <c r="D94" s="832"/>
      <c r="E94" s="844"/>
      <c r="F94" s="435"/>
      <c r="G94" s="829"/>
      <c r="H94" s="832"/>
      <c r="I94" s="844"/>
      <c r="J94" s="834"/>
    </row>
    <row r="95" spans="1:10">
      <c r="A95" s="834"/>
      <c r="B95" s="435"/>
      <c r="C95" s="829"/>
      <c r="D95" s="832"/>
      <c r="E95" s="844"/>
      <c r="F95" s="435"/>
      <c r="G95" s="829"/>
      <c r="H95" s="832"/>
      <c r="I95" s="844"/>
      <c r="J95" s="834"/>
    </row>
    <row r="96" spans="1:10">
      <c r="A96" s="834"/>
      <c r="B96" s="435"/>
      <c r="C96" s="829"/>
      <c r="D96" s="832"/>
      <c r="E96" s="844"/>
      <c r="F96" s="435"/>
      <c r="G96" s="829"/>
      <c r="H96" s="832"/>
      <c r="I96" s="844"/>
      <c r="J96" s="834"/>
    </row>
    <row r="97" spans="1:10">
      <c r="A97" s="834"/>
      <c r="B97" s="435"/>
      <c r="C97" s="829"/>
      <c r="D97" s="832"/>
      <c r="E97" s="844"/>
      <c r="F97" s="435"/>
      <c r="G97" s="829"/>
      <c r="H97" s="832"/>
      <c r="I97" s="844"/>
      <c r="J97" s="834"/>
    </row>
    <row r="98" spans="1:10">
      <c r="A98" s="834"/>
      <c r="B98" s="435"/>
      <c r="C98" s="829"/>
      <c r="D98" s="832"/>
      <c r="E98" s="844"/>
      <c r="F98" s="1335"/>
      <c r="G98" s="848"/>
      <c r="H98" s="843"/>
      <c r="I98" s="435"/>
      <c r="J98" s="834"/>
    </row>
    <row r="99" spans="1:10">
      <c r="A99" s="834"/>
      <c r="B99" s="435"/>
      <c r="C99" s="829"/>
      <c r="D99" s="832"/>
      <c r="E99" s="844"/>
      <c r="F99" s="1343"/>
      <c r="G99" s="1341"/>
      <c r="H99" s="1342"/>
      <c r="I99" s="1344"/>
      <c r="J99" s="834"/>
    </row>
    <row r="100" spans="1:10">
      <c r="A100" s="834"/>
      <c r="B100" s="435"/>
      <c r="C100" s="829"/>
      <c r="D100" s="832"/>
      <c r="E100" s="844"/>
      <c r="F100" s="1335"/>
      <c r="G100" s="848"/>
      <c r="H100" s="843"/>
      <c r="I100" s="435"/>
      <c r="J100" s="834"/>
    </row>
    <row r="101" spans="1:10">
      <c r="A101" s="834"/>
      <c r="B101" s="435"/>
      <c r="C101" s="829"/>
      <c r="D101" s="832"/>
      <c r="E101" s="844"/>
      <c r="F101" s="1335"/>
      <c r="G101" s="848"/>
      <c r="H101" s="843"/>
      <c r="I101" s="435"/>
      <c r="J101" s="834"/>
    </row>
    <row r="102" spans="1:10">
      <c r="A102" s="834"/>
      <c r="B102" s="435"/>
      <c r="C102" s="829"/>
      <c r="D102" s="832"/>
      <c r="E102" s="844"/>
      <c r="F102" s="1335"/>
      <c r="G102" s="848"/>
      <c r="H102" s="843"/>
      <c r="I102" s="435"/>
      <c r="J102" s="834"/>
    </row>
    <row r="103" spans="1:10">
      <c r="A103" s="834"/>
      <c r="B103" s="435"/>
      <c r="C103" s="829"/>
      <c r="D103" s="832"/>
      <c r="E103" s="844"/>
      <c r="F103" s="1335"/>
      <c r="G103" s="848"/>
      <c r="H103" s="843"/>
      <c r="I103" s="435"/>
      <c r="J103" s="834"/>
    </row>
    <row r="104" spans="1:10">
      <c r="A104" s="834"/>
      <c r="B104" s="435"/>
      <c r="C104" s="1335"/>
      <c r="D104" s="1335"/>
      <c r="E104" s="435"/>
      <c r="F104" s="1335"/>
      <c r="G104" s="848"/>
      <c r="H104" s="843"/>
      <c r="I104" s="435"/>
      <c r="J104" s="834"/>
    </row>
    <row r="105" spans="1:10">
      <c r="A105" s="834"/>
      <c r="B105" s="435"/>
      <c r="C105" s="829"/>
      <c r="D105" s="832"/>
      <c r="E105" s="844"/>
      <c r="F105" s="1335"/>
      <c r="G105" s="848"/>
      <c r="H105" s="843"/>
      <c r="I105" s="435"/>
      <c r="J105" s="834"/>
    </row>
    <row r="106" spans="1:10">
      <c r="A106" s="834"/>
      <c r="B106" s="435"/>
      <c r="C106" s="829"/>
      <c r="D106" s="832"/>
      <c r="E106" s="844"/>
      <c r="F106" s="1335"/>
      <c r="G106" s="848"/>
      <c r="H106" s="843"/>
      <c r="I106" s="435"/>
      <c r="J106" s="834" t="e">
        <f>#REF!*#REF!</f>
        <v>#REF!</v>
      </c>
    </row>
    <row r="107" spans="1:10">
      <c r="A107" s="834"/>
      <c r="B107" s="435"/>
      <c r="C107" s="829"/>
      <c r="D107" s="832"/>
      <c r="E107" s="844"/>
      <c r="F107" s="1335"/>
      <c r="G107" s="848"/>
      <c r="H107" s="843"/>
      <c r="I107" s="435"/>
      <c r="J107" s="834"/>
    </row>
    <row r="108" spans="1:10">
      <c r="A108" s="834"/>
      <c r="B108" s="435"/>
      <c r="C108" s="829"/>
      <c r="D108" s="832"/>
      <c r="E108" s="844"/>
      <c r="F108" s="1335"/>
      <c r="G108" s="848"/>
      <c r="H108" s="843"/>
      <c r="I108" s="435"/>
      <c r="J108" s="834"/>
    </row>
    <row r="109" spans="1:10">
      <c r="A109" s="834"/>
      <c r="B109" s="435"/>
      <c r="C109" s="829"/>
      <c r="D109" s="832"/>
      <c r="E109" s="844"/>
      <c r="F109" s="1335"/>
      <c r="G109" s="848"/>
      <c r="H109" s="843"/>
      <c r="I109" s="435"/>
      <c r="J109" s="834"/>
    </row>
    <row r="110" spans="1:10">
      <c r="A110" s="834"/>
      <c r="B110" s="435"/>
      <c r="C110" s="829"/>
      <c r="D110" s="832"/>
      <c r="E110" s="844"/>
      <c r="F110" s="1335"/>
      <c r="G110" s="848"/>
      <c r="H110" s="843"/>
      <c r="I110" s="435"/>
      <c r="J110" s="834"/>
    </row>
    <row r="111" spans="1:10">
      <c r="A111" s="834"/>
      <c r="B111" s="435"/>
      <c r="C111" s="1335"/>
      <c r="D111" s="1335"/>
      <c r="E111" s="435"/>
      <c r="F111" s="1335"/>
      <c r="G111" s="848"/>
      <c r="H111" s="843"/>
      <c r="I111" s="435"/>
      <c r="J111" s="834"/>
    </row>
    <row r="112" spans="1:10">
      <c r="A112" s="834"/>
      <c r="B112" s="435"/>
      <c r="C112" s="1335"/>
      <c r="D112" s="1335"/>
      <c r="E112" s="435"/>
      <c r="F112" s="1335"/>
      <c r="G112" s="848"/>
      <c r="H112" s="843"/>
      <c r="I112" s="435"/>
      <c r="J112" s="834"/>
    </row>
    <row r="113" spans="1:11">
      <c r="A113" s="834"/>
      <c r="B113" s="435"/>
      <c r="C113" s="1335"/>
      <c r="D113" s="1335"/>
      <c r="E113" s="435"/>
      <c r="F113" s="1335"/>
      <c r="G113" s="848"/>
      <c r="H113" s="843"/>
      <c r="I113" s="435"/>
      <c r="J113" s="834"/>
    </row>
    <row r="114" spans="1:11">
      <c r="A114" s="834"/>
      <c r="B114" s="435"/>
      <c r="C114" s="1335"/>
      <c r="D114" s="1335"/>
      <c r="E114" s="435"/>
      <c r="F114" s="1335"/>
      <c r="G114" s="848"/>
      <c r="H114" s="843"/>
      <c r="I114" s="435"/>
      <c r="J114" s="834"/>
    </row>
    <row r="115" spans="1:11">
      <c r="A115" s="834"/>
      <c r="B115" s="435"/>
      <c r="C115" s="1335"/>
      <c r="D115" s="1335"/>
      <c r="E115" s="435"/>
      <c r="F115" s="1335"/>
      <c r="G115" s="848"/>
      <c r="H115" s="843"/>
      <c r="I115" s="435"/>
      <c r="J115" s="834"/>
    </row>
    <row r="116" spans="1:11">
      <c r="A116" s="834"/>
      <c r="B116" s="109"/>
      <c r="C116" s="860"/>
      <c r="D116" s="860"/>
      <c r="E116" s="109"/>
      <c r="F116" s="860"/>
      <c r="G116" s="927"/>
      <c r="H116" s="928"/>
      <c r="I116" s="109"/>
      <c r="J116" s="834"/>
    </row>
    <row r="117" spans="1:11">
      <c r="A117" s="834"/>
      <c r="J117" s="834"/>
      <c r="K117" s="834"/>
    </row>
  </sheetData>
  <mergeCells count="6">
    <mergeCell ref="B1:E1"/>
    <mergeCell ref="B2:E2"/>
    <mergeCell ref="B3:F3"/>
    <mergeCell ref="H3:I3"/>
    <mergeCell ref="B4:E4"/>
    <mergeCell ref="H4:I4"/>
  </mergeCells>
  <pageMargins left="0.45" right="0.2" top="0.25" bottom="0.25" header="0.3" footer="0.3"/>
  <pageSetup scale="70" orientation="portrait" r:id="rId1"/>
  <headerFooter>
    <oddHeader>&amp;CPage &amp;P of &amp;N</oddHeader>
    <oddFooter xml:space="preserve">&amp;L&amp;14Contructor: - &amp;USelam D.Office Engineer&amp;C&amp;14Consultant: - &amp;UDawit T.Resident Engineer&amp;R&amp;14Client:-______________&amp;U    </oddFooter>
  </headerFooter>
  <rowBreaks count="1" manualBreakCount="1">
    <brk id="64" max="9"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
  <sheetViews>
    <sheetView view="pageBreakPreview" zoomScaleNormal="115" zoomScaleSheetLayoutView="100" zoomScalePageLayoutView="85" workbookViewId="0">
      <selection activeCell="B12" sqref="B12:E12"/>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941"/>
      <c r="H1" s="941" t="s">
        <v>1918</v>
      </c>
      <c r="I1" s="942">
        <f ca="1">TODAY()</f>
        <v>42423</v>
      </c>
      <c r="J1" s="820"/>
    </row>
    <row r="2" spans="1:10">
      <c r="A2" s="818"/>
      <c r="B2" s="2059" t="s">
        <v>1917</v>
      </c>
      <c r="C2" s="2059"/>
      <c r="D2" s="2059"/>
      <c r="E2" s="2059"/>
      <c r="F2" s="819"/>
      <c r="G2" s="941"/>
      <c r="J2" s="818"/>
    </row>
    <row r="3" spans="1:10">
      <c r="A3" s="818"/>
      <c r="B3" s="2059" t="s">
        <v>1920</v>
      </c>
      <c r="C3" s="2059"/>
      <c r="D3" s="2059"/>
      <c r="E3" s="2059"/>
      <c r="F3" s="2059"/>
      <c r="G3" s="941"/>
      <c r="H3" s="2060" t="s">
        <v>2512</v>
      </c>
      <c r="I3" s="2060"/>
      <c r="J3" s="818"/>
    </row>
    <row r="4" spans="1:10">
      <c r="A4" s="818"/>
      <c r="B4" s="2059" t="s">
        <v>1921</v>
      </c>
      <c r="C4" s="2059"/>
      <c r="D4" s="2059"/>
      <c r="E4" s="2059"/>
      <c r="F4" s="819"/>
      <c r="G4" s="941"/>
      <c r="H4" s="2089"/>
      <c r="I4" s="2089"/>
      <c r="J4" s="818"/>
    </row>
    <row r="5" spans="1:10">
      <c r="A5" s="818"/>
      <c r="B5" s="824"/>
      <c r="C5" s="941"/>
      <c r="D5" s="941"/>
      <c r="E5" s="825"/>
      <c r="F5" s="819"/>
      <c r="G5" s="941"/>
      <c r="H5" s="827"/>
      <c r="I5" s="940"/>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844" t="s">
        <v>21</v>
      </c>
      <c r="F7" s="831">
        <v>2</v>
      </c>
      <c r="G7" s="829">
        <v>5</v>
      </c>
      <c r="H7" s="832"/>
      <c r="I7" s="833" t="s">
        <v>121</v>
      </c>
    </row>
    <row r="8" spans="1:10">
      <c r="A8" s="818"/>
      <c r="B8" s="831"/>
      <c r="C8" s="829"/>
      <c r="D8" s="832"/>
      <c r="E8" s="844" t="s">
        <v>25</v>
      </c>
      <c r="F8" s="831"/>
      <c r="G8" s="829">
        <v>0.2</v>
      </c>
      <c r="H8" s="832">
        <f>G7*G8*F7</f>
        <v>2</v>
      </c>
      <c r="I8" s="435"/>
    </row>
    <row r="9" spans="1:10">
      <c r="A9" s="818"/>
      <c r="B9" s="831">
        <v>4</v>
      </c>
      <c r="C9" s="829">
        <v>2.73</v>
      </c>
      <c r="D9" s="832"/>
      <c r="E9" s="844" t="s">
        <v>27</v>
      </c>
      <c r="F9" s="831"/>
      <c r="G9" s="829"/>
      <c r="H9" s="832"/>
      <c r="I9" s="833"/>
    </row>
    <row r="10" spans="1:10">
      <c r="A10" s="818"/>
      <c r="B10" s="831"/>
      <c r="C10" s="829">
        <v>0.2</v>
      </c>
      <c r="D10" s="832"/>
      <c r="E10" s="435" t="s">
        <v>738</v>
      </c>
      <c r="F10" s="831">
        <v>4</v>
      </c>
      <c r="G10" s="829">
        <v>1.1000000000000001</v>
      </c>
      <c r="H10" s="832"/>
      <c r="I10" s="435" t="s">
        <v>1085</v>
      </c>
    </row>
    <row r="11" spans="1:10">
      <c r="A11" s="818"/>
      <c r="B11" s="831"/>
      <c r="C11" s="829">
        <v>0.2</v>
      </c>
      <c r="D11" s="832"/>
      <c r="E11" s="833"/>
      <c r="F11" s="831"/>
      <c r="G11" s="829">
        <v>0.6</v>
      </c>
      <c r="H11" s="832">
        <f>-G10*G11*F10</f>
        <v>-2.64</v>
      </c>
      <c r="I11" s="833"/>
    </row>
    <row r="12" spans="1:10">
      <c r="A12" s="818"/>
      <c r="B12" s="839"/>
      <c r="C12" s="935"/>
      <c r="D12" s="838">
        <f>B9*C9*C10*C11</f>
        <v>0.43680000000000008</v>
      </c>
      <c r="E12" s="839" t="s">
        <v>2503</v>
      </c>
      <c r="F12" s="831"/>
      <c r="G12" s="829"/>
      <c r="H12" s="832"/>
      <c r="I12" s="435"/>
    </row>
    <row r="13" spans="1:10">
      <c r="A13" s="818"/>
      <c r="B13" s="831"/>
      <c r="C13" s="829"/>
      <c r="D13" s="832"/>
      <c r="E13" s="833"/>
      <c r="F13" s="831">
        <v>1</v>
      </c>
      <c r="G13" s="829">
        <v>0.9</v>
      </c>
      <c r="H13" s="832"/>
      <c r="I13" s="833" t="s">
        <v>573</v>
      </c>
    </row>
    <row r="14" spans="1:10">
      <c r="A14" s="818"/>
      <c r="B14" s="831"/>
      <c r="C14" s="829"/>
      <c r="D14" s="832"/>
      <c r="E14" s="943" t="s">
        <v>1074</v>
      </c>
      <c r="F14" s="943"/>
      <c r="G14" s="829">
        <v>2.73</v>
      </c>
      <c r="H14" s="832">
        <f>-G13*G14*F13</f>
        <v>-2.4569999999999999</v>
      </c>
      <c r="I14" s="435"/>
    </row>
    <row r="15" spans="1:10">
      <c r="A15" s="818"/>
      <c r="B15" s="831">
        <v>2</v>
      </c>
      <c r="C15" s="829">
        <v>5.4</v>
      </c>
      <c r="D15" s="832"/>
      <c r="E15" s="833" t="s">
        <v>30</v>
      </c>
      <c r="F15" s="831"/>
      <c r="G15" s="829"/>
      <c r="H15" s="843"/>
      <c r="I15" s="435"/>
    </row>
    <row r="16" spans="1:10">
      <c r="A16" s="818"/>
      <c r="B16" s="831"/>
      <c r="C16" s="829">
        <v>0.3</v>
      </c>
      <c r="D16" s="832"/>
      <c r="E16" s="435" t="s">
        <v>1075</v>
      </c>
      <c r="F16" s="831"/>
      <c r="G16" s="829"/>
      <c r="H16" s="975">
        <f>SUM(H7:H14)+SUM(D57:D64)</f>
        <v>40.582999999999998</v>
      </c>
      <c r="I16" s="833" t="s">
        <v>2122</v>
      </c>
    </row>
    <row r="17" spans="1:9">
      <c r="A17" s="818"/>
      <c r="B17" s="831"/>
      <c r="C17" s="829">
        <v>0.2</v>
      </c>
      <c r="D17" s="832">
        <f>B15*C15*C16*C17</f>
        <v>0.64800000000000013</v>
      </c>
      <c r="E17" s="833"/>
      <c r="F17" s="831"/>
      <c r="G17" s="829"/>
      <c r="H17" s="832"/>
      <c r="I17" s="435"/>
    </row>
    <row r="18" spans="1:9">
      <c r="A18" s="818"/>
      <c r="B18" s="831"/>
      <c r="C18" s="829"/>
      <c r="D18" s="832"/>
      <c r="E18" s="435"/>
      <c r="F18" s="831"/>
      <c r="G18" s="829"/>
      <c r="H18" s="832"/>
      <c r="I18" s="844" t="s">
        <v>124</v>
      </c>
    </row>
    <row r="19" spans="1:9">
      <c r="A19" s="818"/>
      <c r="B19" s="831">
        <v>2</v>
      </c>
      <c r="C19" s="829">
        <v>2.5</v>
      </c>
      <c r="D19" s="832"/>
      <c r="E19" s="833" t="s">
        <v>496</v>
      </c>
      <c r="F19" s="831"/>
      <c r="G19" s="829"/>
      <c r="H19" s="832"/>
      <c r="I19" s="943" t="s">
        <v>125</v>
      </c>
    </row>
    <row r="20" spans="1:9">
      <c r="A20" s="818"/>
      <c r="B20" s="831"/>
      <c r="C20" s="829">
        <v>0.3</v>
      </c>
      <c r="D20" s="832"/>
      <c r="E20" s="435" t="s">
        <v>1076</v>
      </c>
      <c r="F20" s="831">
        <v>1</v>
      </c>
      <c r="G20" s="829">
        <v>6.6</v>
      </c>
      <c r="H20" s="832"/>
      <c r="I20" s="833" t="s">
        <v>1079</v>
      </c>
    </row>
    <row r="21" spans="1:9">
      <c r="A21" s="818"/>
      <c r="B21" s="831"/>
      <c r="C21" s="829">
        <v>0.2</v>
      </c>
      <c r="D21" s="832">
        <f>B19*C19*C20*C21</f>
        <v>0.30000000000000004</v>
      </c>
      <c r="E21" s="833"/>
      <c r="F21" s="831"/>
      <c r="G21" s="829">
        <v>4.0999999999999996</v>
      </c>
      <c r="H21" s="832"/>
      <c r="I21" s="435" t="s">
        <v>1191</v>
      </c>
    </row>
    <row r="22" spans="1:9">
      <c r="A22" s="818"/>
      <c r="B22" s="831"/>
      <c r="C22" s="829"/>
      <c r="D22" s="832"/>
      <c r="E22" s="435"/>
      <c r="F22" s="839"/>
      <c r="G22" s="935"/>
      <c r="H22" s="838">
        <f>G20*G21*F20</f>
        <v>27.059999999999995</v>
      </c>
      <c r="I22" s="839" t="s">
        <v>2124</v>
      </c>
    </row>
    <row r="23" spans="1:9">
      <c r="A23" s="818"/>
      <c r="B23" s="839"/>
      <c r="C23" s="935"/>
      <c r="D23" s="838">
        <f>SUM(D16:D21)</f>
        <v>0.94800000000000018</v>
      </c>
      <c r="E23" s="839" t="s">
        <v>2504</v>
      </c>
      <c r="F23" s="831"/>
      <c r="G23" s="829"/>
      <c r="H23" s="832"/>
      <c r="I23" s="435"/>
    </row>
    <row r="24" spans="1:9">
      <c r="A24" s="818"/>
      <c r="B24" s="831"/>
      <c r="C24" s="829"/>
      <c r="D24" s="832"/>
      <c r="E24" s="435"/>
      <c r="F24" s="943"/>
      <c r="G24" s="848"/>
      <c r="H24" s="843"/>
      <c r="I24" s="844" t="s">
        <v>129</v>
      </c>
    </row>
    <row r="25" spans="1:9">
      <c r="A25" s="818"/>
      <c r="B25" s="831"/>
      <c r="C25" s="829"/>
      <c r="D25" s="832"/>
      <c r="E25" s="844" t="s">
        <v>32</v>
      </c>
      <c r="F25" s="831">
        <v>2</v>
      </c>
      <c r="G25" s="829">
        <v>6.4</v>
      </c>
      <c r="H25" s="832"/>
      <c r="I25" s="435"/>
    </row>
    <row r="26" spans="1:9">
      <c r="A26" s="818"/>
      <c r="B26" s="831"/>
      <c r="C26" s="829"/>
      <c r="D26" s="832"/>
      <c r="E26" s="943" t="s">
        <v>462</v>
      </c>
      <c r="F26" s="831"/>
      <c r="G26" s="829">
        <v>0.5</v>
      </c>
      <c r="H26" s="832"/>
      <c r="I26" s="833"/>
    </row>
    <row r="27" spans="1:9">
      <c r="A27" s="818"/>
      <c r="B27" s="831">
        <v>4</v>
      </c>
      <c r="C27" s="829">
        <v>2.73</v>
      </c>
      <c r="D27" s="832"/>
      <c r="E27" s="833" t="s">
        <v>1078</v>
      </c>
      <c r="F27" s="831"/>
      <c r="G27" s="829"/>
      <c r="H27" s="832">
        <f>G25*G26*F25</f>
        <v>6.4</v>
      </c>
      <c r="I27" s="435"/>
    </row>
    <row r="28" spans="1:9">
      <c r="A28" s="818"/>
      <c r="B28" s="831"/>
      <c r="C28" s="829">
        <v>0.8</v>
      </c>
      <c r="D28" s="832"/>
      <c r="E28" s="435"/>
      <c r="F28" s="831">
        <v>2</v>
      </c>
      <c r="G28" s="829">
        <v>3.01</v>
      </c>
      <c r="H28" s="832"/>
      <c r="I28" s="833"/>
    </row>
    <row r="29" spans="1:9">
      <c r="A29" s="818"/>
      <c r="B29" s="839"/>
      <c r="C29" s="935"/>
      <c r="D29" s="838">
        <f>C28*C27*B27</f>
        <v>8.7360000000000007</v>
      </c>
      <c r="E29" s="839" t="s">
        <v>2508</v>
      </c>
      <c r="F29" s="943"/>
      <c r="G29" s="829">
        <v>0.5</v>
      </c>
      <c r="H29" s="832"/>
      <c r="I29" s="435"/>
    </row>
    <row r="30" spans="1:9">
      <c r="A30" s="818"/>
      <c r="B30" s="831"/>
      <c r="C30" s="829"/>
      <c r="D30" s="832"/>
      <c r="E30" s="435"/>
      <c r="F30" s="831"/>
      <c r="G30" s="829"/>
      <c r="H30" s="832">
        <f>G28*G29*F28</f>
        <v>3.01</v>
      </c>
      <c r="I30" s="435"/>
    </row>
    <row r="31" spans="1:9">
      <c r="A31" s="818"/>
      <c r="B31" s="831"/>
      <c r="C31" s="829"/>
      <c r="D31" s="832"/>
      <c r="E31" s="844" t="s">
        <v>2513</v>
      </c>
      <c r="F31" s="943"/>
      <c r="G31" s="848"/>
      <c r="H31" s="843"/>
      <c r="I31" s="435"/>
    </row>
    <row r="32" spans="1:9">
      <c r="A32" s="818"/>
      <c r="B32" s="831">
        <v>2</v>
      </c>
      <c r="C32" s="829">
        <v>5</v>
      </c>
      <c r="D32" s="832"/>
      <c r="E32" s="435" t="s">
        <v>30</v>
      </c>
      <c r="F32" s="839"/>
      <c r="G32" s="935"/>
      <c r="H32" s="838">
        <f>SUM(H26:H31)</f>
        <v>9.41</v>
      </c>
      <c r="I32" s="839" t="s">
        <v>2129</v>
      </c>
    </row>
    <row r="33" spans="1:9">
      <c r="A33" s="818"/>
      <c r="B33" s="831"/>
      <c r="C33" s="829">
        <v>0.8</v>
      </c>
      <c r="D33" s="832">
        <f>C32*C33*B32</f>
        <v>8</v>
      </c>
      <c r="E33" s="833" t="s">
        <v>1080</v>
      </c>
      <c r="F33" s="943"/>
      <c r="G33" s="848"/>
      <c r="H33" s="843"/>
      <c r="I33" s="435"/>
    </row>
    <row r="34" spans="1:9">
      <c r="A34" s="818"/>
      <c r="B34" s="831"/>
      <c r="C34" s="829"/>
      <c r="D34" s="832"/>
      <c r="E34" s="435"/>
      <c r="F34" s="831"/>
      <c r="G34" s="829"/>
      <c r="H34" s="832"/>
      <c r="I34" s="844" t="s">
        <v>473</v>
      </c>
    </row>
    <row r="35" spans="1:9">
      <c r="A35" s="818"/>
      <c r="B35" s="831">
        <v>2</v>
      </c>
      <c r="C35" s="829">
        <v>2.5</v>
      </c>
      <c r="D35" s="832"/>
      <c r="E35" s="833" t="s">
        <v>496</v>
      </c>
      <c r="F35" s="831">
        <v>2</v>
      </c>
      <c r="G35" s="829">
        <v>6.6</v>
      </c>
      <c r="H35" s="832"/>
      <c r="I35" s="435"/>
    </row>
    <row r="36" spans="1:9">
      <c r="A36" s="818"/>
      <c r="B36" s="831"/>
      <c r="C36" s="829">
        <v>0.8</v>
      </c>
      <c r="D36" s="832">
        <f>C35*C36*B35</f>
        <v>4</v>
      </c>
      <c r="E36" s="435" t="s">
        <v>740</v>
      </c>
      <c r="F36" s="839"/>
      <c r="G36" s="935"/>
      <c r="H36" s="838">
        <f>G35*F35</f>
        <v>13.2</v>
      </c>
      <c r="I36" s="839" t="s">
        <v>2414</v>
      </c>
    </row>
    <row r="37" spans="1:9">
      <c r="A37" s="818"/>
      <c r="B37" s="831"/>
      <c r="C37" s="829"/>
      <c r="D37" s="832"/>
      <c r="E37" s="833"/>
      <c r="F37" s="943"/>
      <c r="G37" s="848"/>
      <c r="H37" s="843"/>
      <c r="I37" s="435"/>
    </row>
    <row r="38" spans="1:9">
      <c r="A38" s="818"/>
      <c r="B38" s="831">
        <v>8</v>
      </c>
      <c r="C38" s="829">
        <v>0.2</v>
      </c>
      <c r="D38" s="832"/>
      <c r="E38" s="435"/>
      <c r="F38" s="831"/>
      <c r="G38" s="829"/>
      <c r="H38" s="832"/>
      <c r="I38" s="943" t="s">
        <v>1083</v>
      </c>
    </row>
    <row r="39" spans="1:9">
      <c r="A39" s="818"/>
      <c r="B39" s="831"/>
      <c r="C39" s="829">
        <v>0.3</v>
      </c>
      <c r="D39" s="832">
        <f>C38*C39*B38</f>
        <v>0.48</v>
      </c>
      <c r="E39" s="833"/>
      <c r="F39" s="831"/>
      <c r="G39" s="829"/>
      <c r="H39" s="832"/>
      <c r="I39" s="435" t="s">
        <v>1192</v>
      </c>
    </row>
    <row r="40" spans="1:9">
      <c r="A40" s="818"/>
      <c r="B40" s="831"/>
      <c r="C40" s="829"/>
      <c r="D40" s="832"/>
      <c r="E40" s="435"/>
      <c r="F40" s="831"/>
      <c r="G40" s="829"/>
      <c r="H40" s="832"/>
      <c r="I40" s="833" t="s">
        <v>1193</v>
      </c>
    </row>
    <row r="41" spans="1:9">
      <c r="A41" s="818"/>
      <c r="B41" s="831">
        <v>1</v>
      </c>
      <c r="C41" s="829">
        <v>2.1</v>
      </c>
      <c r="D41" s="832"/>
      <c r="E41" s="833"/>
      <c r="F41" s="831">
        <v>4</v>
      </c>
      <c r="G41" s="829">
        <v>3.01</v>
      </c>
      <c r="H41" s="832"/>
      <c r="I41" s="435"/>
    </row>
    <row r="42" spans="1:9">
      <c r="A42" s="818"/>
      <c r="B42" s="831"/>
      <c r="C42" s="829">
        <v>0.1</v>
      </c>
      <c r="D42" s="832">
        <f>C41*C42*B41</f>
        <v>0.21000000000000002</v>
      </c>
      <c r="E42" s="435" t="s">
        <v>1091</v>
      </c>
      <c r="F42" s="839"/>
      <c r="G42" s="935"/>
      <c r="H42" s="838">
        <f>G41*F41</f>
        <v>12.04</v>
      </c>
      <c r="I42" s="839" t="s">
        <v>2415</v>
      </c>
    </row>
    <row r="43" spans="1:9">
      <c r="A43" s="818"/>
      <c r="B43" s="831"/>
      <c r="C43" s="829"/>
      <c r="D43" s="832"/>
      <c r="E43" s="833"/>
      <c r="F43" s="831"/>
      <c r="G43" s="829"/>
      <c r="H43" s="832"/>
      <c r="I43" s="435"/>
    </row>
    <row r="44" spans="1:9">
      <c r="A44" s="818"/>
      <c r="B44" s="831">
        <v>2</v>
      </c>
      <c r="C44" s="829">
        <v>1.4</v>
      </c>
      <c r="D44" s="832"/>
      <c r="E44" s="435"/>
      <c r="F44" s="831"/>
      <c r="G44" s="829"/>
      <c r="H44" s="832"/>
      <c r="I44" s="943" t="s">
        <v>109</v>
      </c>
    </row>
    <row r="45" spans="1:9">
      <c r="A45" s="818"/>
      <c r="B45" s="831"/>
      <c r="C45" s="829">
        <v>0.1</v>
      </c>
      <c r="D45" s="832">
        <f>C44*C45*B44</f>
        <v>0.27999999999999997</v>
      </c>
      <c r="E45" s="833" t="s">
        <v>121</v>
      </c>
      <c r="F45" s="943"/>
      <c r="G45" s="848"/>
      <c r="H45" s="843"/>
      <c r="I45" s="943" t="s">
        <v>110</v>
      </c>
    </row>
    <row r="46" spans="1:9">
      <c r="A46" s="818"/>
      <c r="B46" s="831"/>
      <c r="C46" s="829"/>
      <c r="D46" s="832"/>
      <c r="E46" s="435"/>
      <c r="F46" s="831">
        <v>5</v>
      </c>
      <c r="G46" s="829">
        <v>6.2</v>
      </c>
      <c r="H46" s="832"/>
      <c r="I46" s="435" t="s">
        <v>1194</v>
      </c>
    </row>
    <row r="47" spans="1:9">
      <c r="A47" s="818"/>
      <c r="B47" s="839"/>
      <c r="C47" s="935"/>
      <c r="D47" s="838">
        <f>SUM(D33:D45)</f>
        <v>12.97</v>
      </c>
      <c r="E47" s="839" t="s">
        <v>2506</v>
      </c>
      <c r="F47" s="831"/>
      <c r="G47" s="829"/>
      <c r="H47" s="832">
        <f>F46*G46</f>
        <v>31</v>
      </c>
      <c r="I47" s="435" t="s">
        <v>1195</v>
      </c>
    </row>
    <row r="48" spans="1:9">
      <c r="A48" s="818"/>
      <c r="B48" s="831"/>
      <c r="C48" s="829"/>
      <c r="D48" s="832"/>
      <c r="E48" s="435"/>
      <c r="F48" s="943"/>
      <c r="G48" s="848"/>
      <c r="H48" s="843"/>
      <c r="I48" s="435"/>
    </row>
    <row r="49" spans="1:9">
      <c r="A49" s="818"/>
      <c r="B49" s="831"/>
      <c r="C49" s="829"/>
      <c r="D49" s="832"/>
      <c r="E49" s="435" t="s">
        <v>410</v>
      </c>
      <c r="F49" s="831">
        <v>5</v>
      </c>
      <c r="G49" s="829">
        <v>5.6</v>
      </c>
      <c r="H49" s="832"/>
      <c r="I49" s="435"/>
    </row>
    <row r="50" spans="1:9">
      <c r="A50" s="818"/>
      <c r="B50" s="839"/>
      <c r="C50" s="935"/>
      <c r="D50" s="838">
        <f>'Mor. Reinf'!L60</f>
        <v>172.07663999999997</v>
      </c>
      <c r="E50" s="839" t="s">
        <v>2463</v>
      </c>
      <c r="F50" s="831"/>
      <c r="G50" s="829"/>
      <c r="H50" s="832">
        <f>F49*G49</f>
        <v>28</v>
      </c>
      <c r="I50" s="435"/>
    </row>
    <row r="51" spans="1:9">
      <c r="A51" s="818"/>
      <c r="B51" s="831"/>
      <c r="C51" s="829"/>
      <c r="D51" s="832"/>
      <c r="E51" s="435"/>
      <c r="F51" s="943"/>
      <c r="G51" s="848"/>
      <c r="H51" s="843"/>
      <c r="I51" s="435"/>
    </row>
    <row r="52" spans="1:9">
      <c r="A52" s="818"/>
      <c r="B52" s="831"/>
      <c r="C52" s="829"/>
      <c r="D52" s="832"/>
      <c r="E52" s="833" t="s">
        <v>1190</v>
      </c>
      <c r="F52" s="839"/>
      <c r="G52" s="935"/>
      <c r="H52" s="838">
        <f>SUM(H46:H50)</f>
        <v>59</v>
      </c>
      <c r="I52" s="839" t="s">
        <v>2127</v>
      </c>
    </row>
    <row r="53" spans="1:9">
      <c r="A53" s="818"/>
      <c r="B53" s="839"/>
      <c r="C53" s="935"/>
      <c r="D53" s="838">
        <f>'Mor. Reinf'!J60</f>
        <v>63.405400000000007</v>
      </c>
      <c r="E53" s="839" t="s">
        <v>2120</v>
      </c>
      <c r="F53" s="943"/>
      <c r="G53" s="848"/>
      <c r="H53" s="843"/>
      <c r="I53" s="435"/>
    </row>
    <row r="54" spans="1:9">
      <c r="A54" s="818"/>
      <c r="B54" s="435"/>
      <c r="C54" s="943"/>
      <c r="D54" s="943"/>
      <c r="E54" s="435"/>
      <c r="F54" s="943"/>
      <c r="G54" s="848"/>
      <c r="H54" s="843"/>
      <c r="I54" s="435" t="s">
        <v>114</v>
      </c>
    </row>
    <row r="55" spans="1:9">
      <c r="A55" s="818"/>
      <c r="B55" s="831"/>
      <c r="C55" s="829"/>
      <c r="D55" s="832"/>
      <c r="E55" s="844" t="s">
        <v>350</v>
      </c>
      <c r="F55" s="831">
        <v>5</v>
      </c>
      <c r="G55" s="829">
        <v>2.64</v>
      </c>
      <c r="H55" s="832"/>
      <c r="I55" s="435" t="s">
        <v>1197</v>
      </c>
    </row>
    <row r="56" spans="1:9">
      <c r="A56" s="818"/>
      <c r="B56" s="831"/>
      <c r="C56" s="829"/>
      <c r="D56" s="832"/>
      <c r="E56" s="943" t="s">
        <v>65</v>
      </c>
      <c r="F56" s="831"/>
      <c r="G56" s="829"/>
      <c r="H56" s="832">
        <f>F55*G55</f>
        <v>13.200000000000001</v>
      </c>
      <c r="I56" s="435"/>
    </row>
    <row r="57" spans="1:9">
      <c r="A57" s="818"/>
      <c r="B57" s="831">
        <v>2</v>
      </c>
      <c r="C57" s="829">
        <v>5</v>
      </c>
      <c r="D57" s="832"/>
      <c r="E57" s="435" t="s">
        <v>1072</v>
      </c>
      <c r="F57" s="943"/>
      <c r="G57" s="848"/>
      <c r="H57" s="843"/>
      <c r="I57" s="435"/>
    </row>
    <row r="58" spans="1:9">
      <c r="A58" s="818"/>
      <c r="B58" s="831"/>
      <c r="C58" s="829">
        <v>2.73</v>
      </c>
      <c r="D58" s="832">
        <f>C57*C58*B57</f>
        <v>27.3</v>
      </c>
      <c r="E58" s="833"/>
      <c r="F58" s="831">
        <v>5</v>
      </c>
      <c r="G58" s="829">
        <v>4</v>
      </c>
      <c r="H58" s="832"/>
      <c r="I58" s="435"/>
    </row>
    <row r="59" spans="1:9">
      <c r="A59" s="818"/>
      <c r="B59" s="831"/>
      <c r="C59" s="829"/>
      <c r="D59" s="832"/>
      <c r="E59" s="435"/>
      <c r="F59" s="831"/>
      <c r="G59" s="829"/>
      <c r="H59" s="832">
        <f>F58*G58</f>
        <v>20</v>
      </c>
      <c r="I59" s="833"/>
    </row>
    <row r="60" spans="1:9">
      <c r="A60" s="818"/>
      <c r="B60" s="831">
        <v>2</v>
      </c>
      <c r="C60" s="829">
        <v>2.5</v>
      </c>
      <c r="D60" s="832"/>
      <c r="E60" s="833" t="s">
        <v>1073</v>
      </c>
      <c r="F60" s="831"/>
      <c r="G60" s="829"/>
      <c r="H60" s="832"/>
      <c r="I60" s="435"/>
    </row>
    <row r="61" spans="1:9">
      <c r="A61" s="818"/>
      <c r="B61" s="831"/>
      <c r="C61" s="829">
        <v>2.73</v>
      </c>
      <c r="D61" s="832">
        <f>C60*C61*B60</f>
        <v>13.65</v>
      </c>
      <c r="E61" s="435"/>
      <c r="F61" s="839"/>
      <c r="G61" s="935"/>
      <c r="H61" s="838">
        <f>SUM(H54:H59)</f>
        <v>33.200000000000003</v>
      </c>
      <c r="I61" s="839" t="s">
        <v>2128</v>
      </c>
    </row>
    <row r="62" spans="1:9">
      <c r="A62" s="818"/>
      <c r="B62" s="831"/>
      <c r="C62" s="829"/>
      <c r="D62" s="832"/>
      <c r="E62" s="833"/>
      <c r="F62" s="831"/>
      <c r="G62" s="829"/>
      <c r="H62" s="832"/>
      <c r="I62" s="833"/>
    </row>
    <row r="63" spans="1:9">
      <c r="A63" s="818"/>
      <c r="B63" s="831">
        <v>2</v>
      </c>
      <c r="C63" s="829">
        <v>0.5</v>
      </c>
      <c r="D63" s="832"/>
      <c r="E63" s="435" t="s">
        <v>1076</v>
      </c>
      <c r="F63" s="831"/>
      <c r="G63" s="829"/>
      <c r="H63" s="832"/>
      <c r="I63" s="833"/>
    </row>
    <row r="64" spans="1:9">
      <c r="A64" s="818"/>
      <c r="B64" s="849"/>
      <c r="C64" s="850">
        <v>2.73</v>
      </c>
      <c r="D64" s="851">
        <f>C63*C64*B63</f>
        <v>2.73</v>
      </c>
      <c r="E64" s="852"/>
      <c r="F64" s="849"/>
      <c r="G64" s="850"/>
      <c r="H64" s="851"/>
      <c r="I64" s="109"/>
    </row>
    <row r="65" spans="1:10">
      <c r="A65" s="828"/>
      <c r="B65" s="853" t="s">
        <v>1884</v>
      </c>
      <c r="C65" s="855" t="s">
        <v>526</v>
      </c>
      <c r="D65" s="856" t="s">
        <v>1885</v>
      </c>
      <c r="E65" s="854" t="s">
        <v>1886</v>
      </c>
      <c r="F65" s="853" t="s">
        <v>1884</v>
      </c>
      <c r="G65" s="855" t="s">
        <v>526</v>
      </c>
      <c r="H65" s="856" t="s">
        <v>1885</v>
      </c>
      <c r="I65" s="854" t="s">
        <v>1886</v>
      </c>
      <c r="J65" s="828"/>
    </row>
    <row r="66" spans="1:10">
      <c r="A66" s="818"/>
      <c r="B66" s="831"/>
      <c r="C66" s="829"/>
      <c r="D66" s="832"/>
      <c r="E66" s="844" t="s">
        <v>117</v>
      </c>
      <c r="F66" s="831">
        <v>2</v>
      </c>
      <c r="G66" s="829">
        <v>2.9</v>
      </c>
      <c r="H66" s="832"/>
      <c r="I66" s="442" t="s">
        <v>338</v>
      </c>
    </row>
    <row r="67" spans="1:10">
      <c r="A67" s="818"/>
      <c r="B67" s="831"/>
      <c r="C67" s="829"/>
      <c r="D67" s="832"/>
      <c r="E67" s="435" t="s">
        <v>1198</v>
      </c>
      <c r="F67" s="831"/>
      <c r="G67" s="829">
        <v>0.3</v>
      </c>
      <c r="H67" s="832">
        <f>G67*G66*F66</f>
        <v>1.74</v>
      </c>
      <c r="I67" s="833"/>
    </row>
    <row r="68" spans="1:10">
      <c r="A68" s="818"/>
      <c r="B68" s="831">
        <v>8</v>
      </c>
      <c r="C68" s="829">
        <v>6.6</v>
      </c>
      <c r="D68" s="832"/>
      <c r="E68" s="833" t="s">
        <v>1087</v>
      </c>
      <c r="F68" s="831"/>
      <c r="G68" s="829"/>
      <c r="H68" s="832"/>
      <c r="I68" s="442"/>
    </row>
    <row r="69" spans="1:10">
      <c r="A69" s="818"/>
      <c r="B69" s="839"/>
      <c r="C69" s="935"/>
      <c r="D69" s="838">
        <f>B68*C68</f>
        <v>52.8</v>
      </c>
      <c r="E69" s="839" t="s">
        <v>2349</v>
      </c>
      <c r="F69" s="831">
        <v>8</v>
      </c>
      <c r="G69" s="829">
        <v>2.73</v>
      </c>
      <c r="H69" s="832"/>
      <c r="I69" s="833" t="s">
        <v>1089</v>
      </c>
    </row>
    <row r="70" spans="1:10">
      <c r="A70" s="818"/>
      <c r="B70" s="831"/>
      <c r="C70" s="829"/>
      <c r="D70" s="832"/>
      <c r="E70" s="833"/>
      <c r="F70" s="831"/>
      <c r="G70" s="829">
        <v>0.2</v>
      </c>
      <c r="H70" s="832">
        <f>G70*G69*F69</f>
        <v>4.3680000000000003</v>
      </c>
      <c r="I70" s="442"/>
    </row>
    <row r="71" spans="1:10">
      <c r="A71" s="818"/>
      <c r="B71" s="831"/>
      <c r="C71" s="829"/>
      <c r="D71" s="832"/>
      <c r="E71" s="943" t="s">
        <v>122</v>
      </c>
      <c r="F71" s="831"/>
      <c r="G71" s="829"/>
      <c r="H71" s="832"/>
      <c r="I71" s="833"/>
    </row>
    <row r="72" spans="1:10">
      <c r="A72" s="818"/>
      <c r="B72" s="831">
        <v>4</v>
      </c>
      <c r="C72" s="829">
        <v>3.1</v>
      </c>
      <c r="D72" s="832"/>
      <c r="E72" s="833"/>
      <c r="F72" s="831"/>
      <c r="G72" s="829"/>
      <c r="H72" s="832">
        <v>30.04</v>
      </c>
      <c r="I72" s="442" t="s">
        <v>1243</v>
      </c>
    </row>
    <row r="73" spans="1:10">
      <c r="A73" s="818"/>
      <c r="B73" s="831"/>
      <c r="C73" s="829"/>
      <c r="D73" s="832">
        <f>B72*C72</f>
        <v>12.4</v>
      </c>
      <c r="E73" s="435"/>
      <c r="F73" s="7"/>
      <c r="G73" s="7"/>
      <c r="H73" s="7"/>
      <c r="I73" s="40"/>
    </row>
    <row r="74" spans="1:10">
      <c r="A74" s="818"/>
      <c r="B74" s="831"/>
      <c r="C74" s="829"/>
      <c r="D74" s="832"/>
      <c r="E74" s="833"/>
      <c r="F74" s="839"/>
      <c r="G74" s="935"/>
      <c r="H74" s="838">
        <f>SUM(H67:H70)+SUM(D104:D121)-H72</f>
        <v>21.801000000000009</v>
      </c>
      <c r="I74" s="981" t="s">
        <v>2184</v>
      </c>
    </row>
    <row r="75" spans="1:10">
      <c r="A75" s="818"/>
      <c r="B75" s="831">
        <v>2</v>
      </c>
      <c r="C75" s="829">
        <v>6.4</v>
      </c>
      <c r="D75" s="832"/>
      <c r="E75" s="435"/>
      <c r="F75" s="831"/>
      <c r="G75" s="829"/>
      <c r="H75" s="832"/>
      <c r="I75" s="943"/>
    </row>
    <row r="76" spans="1:10">
      <c r="A76" s="818"/>
      <c r="B76" s="831"/>
      <c r="C76" s="829"/>
      <c r="D76" s="832">
        <f>B75*C75</f>
        <v>12.8</v>
      </c>
      <c r="E76" s="833"/>
      <c r="F76" s="831"/>
      <c r="G76" s="829"/>
      <c r="H76" s="832"/>
      <c r="I76" s="844" t="s">
        <v>437</v>
      </c>
    </row>
    <row r="77" spans="1:10">
      <c r="A77" s="818"/>
      <c r="B77" s="831"/>
      <c r="C77" s="829"/>
      <c r="D77" s="832"/>
      <c r="E77" s="435"/>
      <c r="F77" s="831">
        <v>1</v>
      </c>
      <c r="G77" s="829">
        <v>5</v>
      </c>
      <c r="H77" s="832"/>
      <c r="I77" s="435"/>
    </row>
    <row r="78" spans="1:10">
      <c r="A78" s="818"/>
      <c r="B78" s="839"/>
      <c r="C78" s="935"/>
      <c r="D78" s="838">
        <f>SUM(D72:D76)</f>
        <v>25.200000000000003</v>
      </c>
      <c r="E78" s="839" t="s">
        <v>2350</v>
      </c>
      <c r="F78" s="831"/>
      <c r="G78" s="829">
        <v>2.5</v>
      </c>
      <c r="H78" s="832"/>
      <c r="I78" s="943"/>
    </row>
    <row r="79" spans="1:10">
      <c r="A79" s="818"/>
      <c r="B79" s="831"/>
      <c r="C79" s="829"/>
      <c r="D79" s="832"/>
      <c r="E79" s="435"/>
      <c r="F79" s="839"/>
      <c r="G79" s="935"/>
      <c r="H79" s="838">
        <f>G77*G78*F77</f>
        <v>12.5</v>
      </c>
      <c r="I79" s="981" t="s">
        <v>2146</v>
      </c>
    </row>
    <row r="80" spans="1:10">
      <c r="A80" s="818"/>
      <c r="B80" s="831"/>
      <c r="C80" s="829"/>
      <c r="D80" s="832"/>
      <c r="E80" s="943" t="s">
        <v>135</v>
      </c>
      <c r="F80" s="831"/>
      <c r="G80" s="829"/>
      <c r="H80" s="832"/>
      <c r="I80" s="435"/>
    </row>
    <row r="81" spans="1:9">
      <c r="A81" s="818"/>
      <c r="B81" s="831">
        <v>3</v>
      </c>
      <c r="C81" s="829">
        <v>1</v>
      </c>
      <c r="D81" s="832"/>
      <c r="E81" s="435" t="s">
        <v>3156</v>
      </c>
      <c r="F81" s="831"/>
      <c r="G81" s="829"/>
      <c r="H81" s="832"/>
      <c r="I81" s="844" t="s">
        <v>483</v>
      </c>
    </row>
    <row r="82" spans="1:9">
      <c r="A82" s="818"/>
      <c r="B82" s="839"/>
      <c r="C82" s="935"/>
      <c r="D82" s="838">
        <f>B81*C81</f>
        <v>3</v>
      </c>
      <c r="E82" s="839" t="s">
        <v>2514</v>
      </c>
      <c r="F82" s="831">
        <v>2</v>
      </c>
      <c r="G82" s="829">
        <v>6.8</v>
      </c>
      <c r="H82" s="832"/>
      <c r="I82" s="435"/>
    </row>
    <row r="83" spans="1:9">
      <c r="A83" s="818"/>
      <c r="B83" s="831"/>
      <c r="C83" s="829"/>
      <c r="D83" s="943"/>
      <c r="E83" s="435"/>
      <c r="F83" s="831"/>
      <c r="G83" s="829">
        <v>1.2</v>
      </c>
      <c r="H83" s="832"/>
      <c r="I83" s="943"/>
    </row>
    <row r="84" spans="1:9">
      <c r="A84" s="818"/>
      <c r="B84" s="831"/>
      <c r="C84" s="829"/>
      <c r="D84" s="832"/>
      <c r="E84" s="943" t="s">
        <v>141</v>
      </c>
      <c r="F84" s="831"/>
      <c r="G84" s="829"/>
      <c r="H84" s="832">
        <f>G82*G83*F82</f>
        <v>16.32</v>
      </c>
      <c r="I84" s="844"/>
    </row>
    <row r="85" spans="1:9">
      <c r="A85" s="818"/>
      <c r="B85" s="831"/>
      <c r="C85" s="829"/>
      <c r="D85" s="832"/>
      <c r="E85" s="943" t="s">
        <v>142</v>
      </c>
      <c r="F85" s="831">
        <v>1</v>
      </c>
      <c r="G85" s="829">
        <v>2.9</v>
      </c>
      <c r="H85" s="832"/>
      <c r="I85" s="435"/>
    </row>
    <row r="86" spans="1:9">
      <c r="A86" s="818"/>
      <c r="B86" s="831">
        <v>2</v>
      </c>
      <c r="C86" s="829">
        <v>5</v>
      </c>
      <c r="D86" s="832"/>
      <c r="E86" s="435" t="s">
        <v>1072</v>
      </c>
      <c r="F86" s="831"/>
      <c r="G86" s="829">
        <v>1.2</v>
      </c>
      <c r="H86" s="832"/>
      <c r="I86" s="943"/>
    </row>
    <row r="87" spans="1:9">
      <c r="A87" s="818"/>
      <c r="B87" s="831"/>
      <c r="C87" s="829">
        <v>2.73</v>
      </c>
      <c r="D87" s="832">
        <f>C86*C87*B86</f>
        <v>27.3</v>
      </c>
      <c r="E87" s="435"/>
      <c r="F87" s="943"/>
      <c r="G87" s="829"/>
      <c r="H87" s="832">
        <f>G85*G86*F85</f>
        <v>3.48</v>
      </c>
      <c r="I87" s="844"/>
    </row>
    <row r="88" spans="1:9">
      <c r="A88" s="818"/>
      <c r="B88" s="831"/>
      <c r="C88" s="829"/>
      <c r="D88" s="832"/>
      <c r="E88" s="435"/>
      <c r="F88" s="831"/>
      <c r="G88" s="829"/>
      <c r="H88" s="832"/>
      <c r="I88" s="435"/>
    </row>
    <row r="89" spans="1:9">
      <c r="A89" s="818"/>
      <c r="B89" s="831">
        <v>2</v>
      </c>
      <c r="C89" s="829">
        <v>2.5</v>
      </c>
      <c r="D89" s="832"/>
      <c r="E89" s="435" t="s">
        <v>1073</v>
      </c>
      <c r="F89" s="839"/>
      <c r="G89" s="935"/>
      <c r="H89" s="838">
        <f>SUM(H82:H88)</f>
        <v>19.8</v>
      </c>
      <c r="I89" s="981" t="s">
        <v>2472</v>
      </c>
    </row>
    <row r="90" spans="1:9">
      <c r="A90" s="818"/>
      <c r="B90" s="831"/>
      <c r="C90" s="829">
        <v>2.73</v>
      </c>
      <c r="D90" s="832">
        <f>C89*C90*B89</f>
        <v>13.65</v>
      </c>
      <c r="E90" s="435"/>
      <c r="F90" s="831"/>
      <c r="G90" s="829"/>
      <c r="H90" s="832"/>
      <c r="I90" s="844"/>
    </row>
    <row r="91" spans="1:9">
      <c r="A91" s="818"/>
      <c r="B91" s="831"/>
      <c r="C91" s="829"/>
      <c r="D91" s="832"/>
      <c r="E91" s="435"/>
      <c r="F91" s="831"/>
      <c r="G91" s="829"/>
      <c r="H91" s="832"/>
      <c r="I91" s="943" t="s">
        <v>444</v>
      </c>
    </row>
    <row r="92" spans="1:9">
      <c r="A92" s="818"/>
      <c r="B92" s="831">
        <v>2</v>
      </c>
      <c r="C92" s="829">
        <v>0.5</v>
      </c>
      <c r="D92" s="832"/>
      <c r="E92" s="435" t="s">
        <v>1199</v>
      </c>
      <c r="F92" s="831"/>
      <c r="G92" s="829"/>
      <c r="H92" s="832"/>
      <c r="I92" s="943" t="s">
        <v>445</v>
      </c>
    </row>
    <row r="93" spans="1:9">
      <c r="A93" s="818"/>
      <c r="B93" s="831"/>
      <c r="C93" s="829">
        <v>2.73</v>
      </c>
      <c r="D93" s="832">
        <f>C92*C93*B92</f>
        <v>2.73</v>
      </c>
      <c r="E93" s="435" t="s">
        <v>217</v>
      </c>
      <c r="F93" s="831">
        <v>2</v>
      </c>
      <c r="G93" s="829">
        <v>7.4</v>
      </c>
      <c r="H93" s="832"/>
      <c r="I93" s="442" t="s">
        <v>1200</v>
      </c>
    </row>
    <row r="94" spans="1:9">
      <c r="A94" s="818"/>
      <c r="B94" s="831"/>
      <c r="C94" s="829"/>
      <c r="D94" s="832"/>
      <c r="E94" s="435"/>
      <c r="F94" s="831"/>
      <c r="G94" s="829"/>
      <c r="H94" s="832">
        <f>F93*G93</f>
        <v>14.8</v>
      </c>
      <c r="I94" s="435"/>
    </row>
    <row r="95" spans="1:9">
      <c r="A95" s="818"/>
      <c r="B95" s="831">
        <v>4</v>
      </c>
      <c r="C95" s="829">
        <v>1.1000000000000001</v>
      </c>
      <c r="D95" s="832"/>
      <c r="E95" s="435" t="s">
        <v>1077</v>
      </c>
      <c r="F95" s="943"/>
      <c r="G95" s="848"/>
      <c r="H95" s="843"/>
      <c r="I95" s="435"/>
    </row>
    <row r="96" spans="1:9">
      <c r="A96" s="818"/>
      <c r="B96" s="831"/>
      <c r="C96" s="829">
        <v>0.6</v>
      </c>
      <c r="D96" s="832">
        <f>-C95*C96*B95</f>
        <v>-2.64</v>
      </c>
      <c r="E96" s="435"/>
      <c r="F96" s="943"/>
      <c r="G96" s="848"/>
      <c r="H96" s="843"/>
      <c r="I96" s="844"/>
    </row>
    <row r="97" spans="1:9">
      <c r="A97" s="818"/>
      <c r="B97" s="831"/>
      <c r="C97" s="829"/>
      <c r="D97" s="832"/>
      <c r="E97" s="435"/>
      <c r="F97" s="831">
        <v>2</v>
      </c>
      <c r="G97" s="829">
        <v>5.9</v>
      </c>
      <c r="H97" s="832"/>
      <c r="I97" s="435"/>
    </row>
    <row r="98" spans="1:9">
      <c r="A98" s="818"/>
      <c r="B98" s="831">
        <v>1</v>
      </c>
      <c r="C98" s="829">
        <v>0.9</v>
      </c>
      <c r="D98" s="832"/>
      <c r="E98" s="435" t="s">
        <v>574</v>
      </c>
      <c r="F98" s="831"/>
      <c r="G98" s="829"/>
      <c r="H98" s="832">
        <f>F97*G97</f>
        <v>11.8</v>
      </c>
      <c r="I98" s="943"/>
    </row>
    <row r="99" spans="1:9">
      <c r="A99" s="818"/>
      <c r="B99" s="831"/>
      <c r="C99" s="829">
        <v>2.73</v>
      </c>
      <c r="D99" s="832">
        <f>-C98*C99*B98</f>
        <v>-2.4569999999999999</v>
      </c>
      <c r="E99" s="435"/>
      <c r="F99" s="831"/>
      <c r="G99" s="829"/>
      <c r="H99" s="832"/>
      <c r="I99" s="844"/>
    </row>
    <row r="100" spans="1:9">
      <c r="A100" s="818"/>
      <c r="B100" s="831"/>
      <c r="C100" s="829"/>
      <c r="D100" s="832"/>
      <c r="E100" s="435"/>
      <c r="F100" s="839"/>
      <c r="G100" s="935"/>
      <c r="H100" s="838">
        <f>SUM(H94:H98)</f>
        <v>26.6</v>
      </c>
      <c r="I100" s="981" t="s">
        <v>2515</v>
      </c>
    </row>
    <row r="101" spans="1:9">
      <c r="A101" s="818"/>
      <c r="B101" s="839"/>
      <c r="C101" s="935"/>
      <c r="D101" s="838">
        <f>SUM(D87:D99)</f>
        <v>38.582999999999998</v>
      </c>
      <c r="E101" s="839" t="s">
        <v>2182</v>
      </c>
      <c r="F101" s="831"/>
      <c r="G101" s="829"/>
      <c r="H101" s="832"/>
      <c r="I101" s="943"/>
    </row>
    <row r="102" spans="1:9">
      <c r="A102" s="818"/>
      <c r="B102" s="831"/>
      <c r="C102" s="829"/>
      <c r="D102" s="832"/>
      <c r="E102" s="435"/>
      <c r="F102" s="435"/>
      <c r="G102" s="435"/>
      <c r="H102" s="435"/>
      <c r="I102" s="844" t="s">
        <v>271</v>
      </c>
    </row>
    <row r="103" spans="1:9">
      <c r="B103" s="831"/>
      <c r="C103" s="829"/>
      <c r="D103" s="832"/>
      <c r="E103" s="435" t="s">
        <v>358</v>
      </c>
      <c r="F103" s="435"/>
      <c r="G103" s="435"/>
      <c r="H103" s="435"/>
      <c r="I103" s="844" t="s">
        <v>440</v>
      </c>
    </row>
    <row r="104" spans="1:9" s="966" customFormat="1">
      <c r="A104" s="965"/>
      <c r="B104" s="831"/>
      <c r="C104" s="829"/>
      <c r="D104" s="832"/>
      <c r="E104" s="435" t="s">
        <v>359</v>
      </c>
      <c r="F104" s="435">
        <v>1</v>
      </c>
      <c r="G104" s="832">
        <f>D101</f>
        <v>38.582999999999998</v>
      </c>
      <c r="H104" s="435"/>
      <c r="I104" s="831" t="s">
        <v>2286</v>
      </c>
    </row>
    <row r="105" spans="1:9">
      <c r="A105" s="818"/>
      <c r="B105" s="831">
        <v>1</v>
      </c>
      <c r="C105" s="829">
        <v>15</v>
      </c>
      <c r="D105" s="832"/>
      <c r="E105" s="435" t="s">
        <v>1196</v>
      </c>
      <c r="F105" s="839"/>
      <c r="G105" s="839"/>
      <c r="H105" s="838">
        <f>G104*F104</f>
        <v>38.582999999999998</v>
      </c>
      <c r="I105" s="839" t="s">
        <v>2158</v>
      </c>
    </row>
    <row r="106" spans="1:9">
      <c r="A106" s="818"/>
      <c r="B106" s="831"/>
      <c r="C106" s="829">
        <v>2.73</v>
      </c>
      <c r="D106" s="832">
        <f>C106*C105*B105</f>
        <v>40.950000000000003</v>
      </c>
      <c r="E106" s="435"/>
      <c r="F106" s="831"/>
      <c r="G106" s="829"/>
      <c r="H106" s="832"/>
      <c r="I106" s="943"/>
    </row>
    <row r="107" spans="1:9">
      <c r="A107" s="818"/>
      <c r="B107" s="831"/>
      <c r="C107" s="829"/>
      <c r="D107" s="832"/>
      <c r="E107" s="435"/>
      <c r="F107" s="831"/>
      <c r="G107" s="829"/>
      <c r="H107" s="832"/>
      <c r="I107" s="943"/>
    </row>
    <row r="108" spans="1:9">
      <c r="A108" s="818"/>
      <c r="B108" s="831">
        <v>4</v>
      </c>
      <c r="C108" s="829">
        <v>1.1000000000000001</v>
      </c>
      <c r="D108" s="832"/>
      <c r="E108" s="435" t="s">
        <v>1085</v>
      </c>
      <c r="F108" s="831"/>
      <c r="G108" s="829"/>
      <c r="H108" s="832"/>
      <c r="I108" s="943"/>
    </row>
    <row r="109" spans="1:9">
      <c r="A109" s="818"/>
      <c r="B109" s="831"/>
      <c r="C109" s="829">
        <v>0.6</v>
      </c>
      <c r="D109" s="832">
        <f>-C108*C109*B108</f>
        <v>-2.64</v>
      </c>
      <c r="E109" s="435"/>
      <c r="F109" s="831"/>
      <c r="G109" s="829"/>
      <c r="H109" s="832"/>
      <c r="I109" s="943"/>
    </row>
    <row r="110" spans="1:9">
      <c r="A110" s="818"/>
      <c r="B110" s="831"/>
      <c r="C110" s="829"/>
      <c r="D110" s="832"/>
      <c r="E110" s="435"/>
      <c r="F110" s="831"/>
      <c r="G110" s="829"/>
      <c r="H110" s="832"/>
      <c r="I110" s="943"/>
    </row>
    <row r="111" spans="1:9">
      <c r="A111" s="818"/>
      <c r="B111" s="831">
        <v>1</v>
      </c>
      <c r="C111" s="829">
        <v>0.9</v>
      </c>
      <c r="D111" s="832"/>
      <c r="E111" s="435" t="s">
        <v>573</v>
      </c>
      <c r="F111" s="831"/>
      <c r="G111" s="829"/>
      <c r="H111" s="832"/>
      <c r="I111" s="943"/>
    </row>
    <row r="112" spans="1:9">
      <c r="A112" s="818"/>
      <c r="B112" s="831"/>
      <c r="C112" s="829">
        <v>2.73</v>
      </c>
      <c r="D112" s="832">
        <f>-C111*C112*B111</f>
        <v>-2.4569999999999999</v>
      </c>
      <c r="E112" s="435"/>
      <c r="F112" s="831"/>
      <c r="G112" s="829"/>
      <c r="H112" s="832"/>
      <c r="I112" s="943"/>
    </row>
    <row r="113" spans="1:9">
      <c r="A113" s="818"/>
      <c r="B113" s="831"/>
      <c r="C113" s="829"/>
      <c r="D113" s="832"/>
      <c r="E113" s="435"/>
      <c r="F113" s="831"/>
      <c r="G113" s="829"/>
      <c r="H113" s="832"/>
      <c r="I113" s="943"/>
    </row>
    <row r="114" spans="1:9">
      <c r="A114" s="818"/>
      <c r="B114" s="831">
        <v>2</v>
      </c>
      <c r="C114" s="829">
        <v>5.4</v>
      </c>
      <c r="D114" s="832"/>
      <c r="E114" s="435" t="s">
        <v>1088</v>
      </c>
      <c r="F114" s="831"/>
      <c r="G114" s="829"/>
      <c r="H114" s="832"/>
      <c r="I114" s="943"/>
    </row>
    <row r="115" spans="1:9">
      <c r="A115" s="818"/>
      <c r="B115" s="831"/>
      <c r="C115" s="829">
        <v>0.4</v>
      </c>
      <c r="D115" s="832">
        <f>C115*C114*B114</f>
        <v>4.32</v>
      </c>
      <c r="E115" s="435"/>
      <c r="F115" s="831"/>
      <c r="G115" s="829"/>
      <c r="H115" s="832"/>
      <c r="I115" s="943"/>
    </row>
    <row r="116" spans="1:9">
      <c r="A116" s="818"/>
      <c r="B116" s="831"/>
      <c r="C116" s="829"/>
      <c r="D116" s="832"/>
      <c r="E116" s="435"/>
      <c r="F116" s="831"/>
      <c r="G116" s="829"/>
      <c r="H116" s="832"/>
      <c r="I116" s="943"/>
    </row>
    <row r="117" spans="1:9">
      <c r="A117" s="818"/>
      <c r="B117" s="831">
        <v>2</v>
      </c>
      <c r="C117" s="829">
        <v>2.9</v>
      </c>
      <c r="D117" s="832"/>
      <c r="E117" s="435" t="s">
        <v>121</v>
      </c>
      <c r="F117" s="831"/>
      <c r="G117" s="829"/>
      <c r="H117" s="832"/>
      <c r="I117" s="943"/>
    </row>
    <row r="118" spans="1:9">
      <c r="A118" s="818"/>
      <c r="B118" s="831"/>
      <c r="C118" s="829">
        <v>0.4</v>
      </c>
      <c r="D118" s="832">
        <f>C118*C117*B117</f>
        <v>2.3199999999999998</v>
      </c>
      <c r="E118" s="435"/>
      <c r="F118" s="831"/>
      <c r="G118" s="829"/>
      <c r="H118" s="832"/>
      <c r="I118" s="943"/>
    </row>
    <row r="119" spans="1:9">
      <c r="A119" s="818"/>
      <c r="B119" s="831"/>
      <c r="C119" s="829"/>
      <c r="D119" s="832"/>
      <c r="E119" s="435"/>
      <c r="F119" s="837"/>
      <c r="G119" s="837"/>
      <c r="H119" s="837"/>
      <c r="I119" s="837"/>
    </row>
    <row r="120" spans="1:9">
      <c r="A120" s="818"/>
      <c r="B120" s="831">
        <v>2</v>
      </c>
      <c r="C120" s="829">
        <v>5.4</v>
      </c>
      <c r="D120" s="832"/>
      <c r="E120" s="435" t="s">
        <v>338</v>
      </c>
      <c r="F120" s="837"/>
      <c r="G120" s="837"/>
      <c r="H120" s="837"/>
      <c r="I120" s="837"/>
    </row>
    <row r="121" spans="1:9">
      <c r="A121" s="818"/>
      <c r="B121" s="831"/>
      <c r="C121" s="829">
        <v>0.3</v>
      </c>
      <c r="D121" s="832">
        <f>C121*C120*B120</f>
        <v>3.24</v>
      </c>
      <c r="E121" s="435"/>
      <c r="F121" s="837"/>
      <c r="G121" s="837"/>
      <c r="H121" s="837"/>
      <c r="I121" s="837"/>
    </row>
    <row r="122" spans="1:9">
      <c r="A122" s="818"/>
      <c r="B122" s="109"/>
      <c r="C122" s="860"/>
      <c r="D122" s="860"/>
      <c r="E122" s="109"/>
      <c r="F122" s="976"/>
      <c r="G122" s="977"/>
      <c r="H122" s="109"/>
      <c r="I122" s="978"/>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1" manualBreakCount="1">
    <brk id="64" max="9" man="1"/>
  </rowBreaks>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M66"/>
  <sheetViews>
    <sheetView view="pageBreakPreview" zoomScaleSheetLayoutView="100" workbookViewId="0">
      <selection activeCell="E42" sqref="E42"/>
    </sheetView>
  </sheetViews>
  <sheetFormatPr defaultRowHeight="15.75"/>
  <cols>
    <col min="1" max="1" width="4.42578125" style="158" customWidth="1"/>
    <col min="2" max="2" width="18.85546875" style="158" customWidth="1"/>
    <col min="3" max="3" width="20" style="158" customWidth="1"/>
    <col min="4" max="4" width="8.7109375" style="158" customWidth="1"/>
    <col min="5" max="5" width="9" style="158" customWidth="1"/>
    <col min="6" max="6" width="8.42578125" style="158" customWidth="1"/>
    <col min="7" max="7" width="10.5703125" style="158" customWidth="1"/>
    <col min="8" max="8" width="7.5703125" style="158" customWidth="1"/>
    <col min="9" max="9" width="8.140625" style="158" customWidth="1"/>
    <col min="10" max="10" width="10.42578125" style="158" customWidth="1"/>
    <col min="11" max="11" width="7.7109375" style="158" customWidth="1"/>
    <col min="12" max="12" width="12.28515625" style="158" customWidth="1"/>
    <col min="13" max="13" width="12.85546875" style="158" customWidth="1"/>
    <col min="14" max="16384" width="9.140625" style="158"/>
  </cols>
  <sheetData>
    <row r="1" spans="1:13">
      <c r="A1" s="2184" t="s">
        <v>1257</v>
      </c>
      <c r="B1" s="2184"/>
      <c r="C1" s="2184"/>
      <c r="D1" s="2184"/>
      <c r="E1" s="2184"/>
      <c r="F1" s="2184"/>
      <c r="K1" s="2221" t="s">
        <v>1206</v>
      </c>
      <c r="L1" s="2221"/>
      <c r="M1" s="2221"/>
    </row>
    <row r="2" spans="1:13">
      <c r="A2" s="2184" t="s">
        <v>1208</v>
      </c>
      <c r="B2" s="2184"/>
      <c r="C2" s="2184"/>
      <c r="D2" s="2184"/>
      <c r="E2" s="2184"/>
      <c r="F2" s="2184"/>
      <c r="K2" s="2221" t="s">
        <v>1265</v>
      </c>
      <c r="L2" s="2221"/>
      <c r="M2" s="2221"/>
    </row>
    <row r="3" spans="1:13">
      <c r="A3" s="2184" t="s">
        <v>1258</v>
      </c>
      <c r="B3" s="2184"/>
      <c r="C3" s="2184"/>
      <c r="D3" s="2184"/>
      <c r="E3" s="2184"/>
      <c r="F3" s="2184"/>
      <c r="K3" s="2221" t="s">
        <v>1808</v>
      </c>
      <c r="L3" s="2221"/>
      <c r="M3" s="2221"/>
    </row>
    <row r="4" spans="1:13" ht="16.5" thickBot="1">
      <c r="A4" s="2184" t="s">
        <v>1209</v>
      </c>
      <c r="B4" s="2184"/>
      <c r="C4" s="2184"/>
      <c r="D4" s="2184"/>
      <c r="E4" s="2184"/>
      <c r="F4" s="2184"/>
      <c r="I4" s="157"/>
      <c r="J4" s="157"/>
      <c r="K4" s="2221"/>
      <c r="L4" s="2221"/>
      <c r="M4" s="2221"/>
    </row>
    <row r="5" spans="1:13" ht="16.5" thickTop="1">
      <c r="A5" s="2247" t="s">
        <v>4</v>
      </c>
      <c r="B5" s="2245" t="s">
        <v>293</v>
      </c>
      <c r="C5" s="2245" t="s">
        <v>309</v>
      </c>
      <c r="D5" s="2245" t="s">
        <v>310</v>
      </c>
      <c r="E5" s="413" t="s">
        <v>295</v>
      </c>
      <c r="F5" s="2249" t="s">
        <v>311</v>
      </c>
      <c r="G5" s="2250"/>
      <c r="H5" s="2251"/>
      <c r="I5" s="407"/>
      <c r="J5" s="407" t="s">
        <v>312</v>
      </c>
      <c r="K5" s="407"/>
      <c r="L5" s="407"/>
      <c r="M5" s="408"/>
    </row>
    <row r="6" spans="1:13" ht="16.5" thickBot="1">
      <c r="A6" s="2248"/>
      <c r="B6" s="2246"/>
      <c r="C6" s="2246"/>
      <c r="D6" s="2246"/>
      <c r="E6" s="124" t="s">
        <v>313</v>
      </c>
      <c r="F6" s="124" t="s">
        <v>314</v>
      </c>
      <c r="G6" s="124" t="s">
        <v>315</v>
      </c>
      <c r="H6" s="145" t="s">
        <v>316</v>
      </c>
      <c r="I6" s="347" t="s">
        <v>317</v>
      </c>
      <c r="J6" s="412" t="s">
        <v>318</v>
      </c>
      <c r="K6" s="145" t="s">
        <v>319</v>
      </c>
      <c r="L6" s="145" t="s">
        <v>320</v>
      </c>
      <c r="M6" s="348" t="s">
        <v>321</v>
      </c>
    </row>
    <row r="7" spans="1:13" ht="16.5" thickTop="1">
      <c r="A7" s="140"/>
      <c r="B7" s="445" t="s">
        <v>1</v>
      </c>
      <c r="C7" s="110" t="s">
        <v>877</v>
      </c>
      <c r="D7" s="110">
        <v>12</v>
      </c>
      <c r="E7" s="111">
        <v>6.05</v>
      </c>
      <c r="F7" s="110">
        <v>2</v>
      </c>
      <c r="G7" s="110">
        <v>3</v>
      </c>
      <c r="H7" s="119">
        <f t="shared" ref="H7:H12" si="0">F7*G7</f>
        <v>6</v>
      </c>
      <c r="I7" s="134"/>
      <c r="J7" s="119"/>
      <c r="K7" s="134"/>
      <c r="L7" s="119">
        <f>H7*E7</f>
        <v>36.299999999999997</v>
      </c>
      <c r="M7" s="354"/>
    </row>
    <row r="8" spans="1:13">
      <c r="A8" s="140"/>
      <c r="B8" s="447"/>
      <c r="C8" s="110"/>
      <c r="D8" s="110">
        <v>12</v>
      </c>
      <c r="E8" s="111">
        <v>5.35</v>
      </c>
      <c r="F8" s="110">
        <v>2</v>
      </c>
      <c r="G8" s="110">
        <v>3</v>
      </c>
      <c r="H8" s="119">
        <f t="shared" si="0"/>
        <v>6</v>
      </c>
      <c r="I8" s="134"/>
      <c r="J8" s="119"/>
      <c r="K8" s="134"/>
      <c r="L8" s="119">
        <f>H8*E8</f>
        <v>32.099999999999994</v>
      </c>
      <c r="M8" s="354"/>
    </row>
    <row r="9" spans="1:13">
      <c r="A9" s="140"/>
      <c r="B9" s="447"/>
      <c r="C9" s="110" t="s">
        <v>395</v>
      </c>
      <c r="D9" s="110">
        <v>8</v>
      </c>
      <c r="E9" s="111">
        <v>1.2</v>
      </c>
      <c r="F9" s="110">
        <v>2</v>
      </c>
      <c r="G9" s="110">
        <v>26</v>
      </c>
      <c r="H9" s="119">
        <f t="shared" si="0"/>
        <v>52</v>
      </c>
      <c r="I9" s="134"/>
      <c r="J9" s="371">
        <f>H9*E9</f>
        <v>62.4</v>
      </c>
      <c r="K9" s="119"/>
      <c r="L9" s="371"/>
      <c r="M9" s="354"/>
    </row>
    <row r="10" spans="1:13">
      <c r="A10" s="140"/>
      <c r="B10" s="447"/>
      <c r="C10" s="110" t="s">
        <v>486</v>
      </c>
      <c r="D10" s="369">
        <v>12</v>
      </c>
      <c r="E10" s="513">
        <v>3.55</v>
      </c>
      <c r="F10" s="369">
        <v>2</v>
      </c>
      <c r="G10" s="369">
        <v>3</v>
      </c>
      <c r="H10" s="376">
        <f t="shared" si="0"/>
        <v>6</v>
      </c>
      <c r="I10" s="514"/>
      <c r="J10" s="376"/>
      <c r="K10" s="514"/>
      <c r="L10" s="376">
        <f>H10*E10</f>
        <v>21.299999999999997</v>
      </c>
      <c r="M10" s="354"/>
    </row>
    <row r="11" spans="1:13">
      <c r="A11" s="140"/>
      <c r="B11" s="447"/>
      <c r="C11" s="110"/>
      <c r="D11" s="110">
        <v>12</v>
      </c>
      <c r="E11" s="111">
        <v>2.85</v>
      </c>
      <c r="F11" s="110">
        <v>2</v>
      </c>
      <c r="G11" s="110">
        <v>3</v>
      </c>
      <c r="H11" s="119">
        <f t="shared" si="0"/>
        <v>6</v>
      </c>
      <c r="I11" s="134"/>
      <c r="J11" s="119"/>
      <c r="K11" s="134"/>
      <c r="L11" s="119">
        <f>H11*E11</f>
        <v>17.100000000000001</v>
      </c>
      <c r="M11" s="354"/>
    </row>
    <row r="12" spans="1:13">
      <c r="A12" s="140"/>
      <c r="B12" s="447"/>
      <c r="C12" s="110" t="s">
        <v>395</v>
      </c>
      <c r="D12" s="110">
        <v>8</v>
      </c>
      <c r="E12" s="111">
        <v>1.2</v>
      </c>
      <c r="F12" s="110">
        <v>2</v>
      </c>
      <c r="G12" s="110">
        <v>14</v>
      </c>
      <c r="H12" s="119">
        <f t="shared" si="0"/>
        <v>28</v>
      </c>
      <c r="I12" s="134"/>
      <c r="J12" s="371">
        <f>H12*E12</f>
        <v>33.6</v>
      </c>
      <c r="K12" s="119"/>
      <c r="L12" s="371"/>
      <c r="M12" s="354"/>
    </row>
    <row r="13" spans="1:13">
      <c r="A13" s="140"/>
      <c r="B13" s="447"/>
      <c r="C13" s="110"/>
      <c r="D13" s="110"/>
      <c r="E13" s="111"/>
      <c r="F13" s="110"/>
      <c r="G13" s="110"/>
      <c r="H13" s="119"/>
      <c r="I13" s="134"/>
      <c r="J13" s="371"/>
      <c r="K13" s="119"/>
      <c r="L13" s="371"/>
      <c r="M13" s="372"/>
    </row>
    <row r="14" spans="1:13">
      <c r="A14" s="140"/>
      <c r="B14" s="142" t="s">
        <v>945</v>
      </c>
      <c r="C14" s="134"/>
      <c r="D14" s="134"/>
      <c r="E14" s="119"/>
      <c r="F14" s="134"/>
      <c r="G14" s="134"/>
      <c r="H14" s="119"/>
      <c r="I14" s="134"/>
      <c r="J14" s="371"/>
      <c r="K14" s="119"/>
      <c r="L14" s="371"/>
      <c r="M14" s="354"/>
    </row>
    <row r="15" spans="1:13">
      <c r="A15" s="140"/>
      <c r="B15" s="142"/>
      <c r="C15" s="134"/>
      <c r="D15" s="134">
        <v>8</v>
      </c>
      <c r="E15" s="119">
        <v>2.37</v>
      </c>
      <c r="F15" s="134">
        <v>1</v>
      </c>
      <c r="G15" s="134">
        <v>25</v>
      </c>
      <c r="H15" s="119">
        <f>F15*G15</f>
        <v>25</v>
      </c>
      <c r="I15" s="134"/>
      <c r="J15" s="371">
        <f>H15*E15</f>
        <v>59.25</v>
      </c>
      <c r="K15" s="119"/>
      <c r="L15" s="371"/>
      <c r="M15" s="354"/>
    </row>
    <row r="16" spans="1:13">
      <c r="A16" s="140"/>
      <c r="B16" s="142"/>
      <c r="C16" s="134"/>
      <c r="D16" s="134">
        <v>8</v>
      </c>
      <c r="E16" s="119">
        <v>4.87</v>
      </c>
      <c r="F16" s="134">
        <v>1</v>
      </c>
      <c r="G16" s="134">
        <v>13</v>
      </c>
      <c r="H16" s="119">
        <f>F16*G16</f>
        <v>13</v>
      </c>
      <c r="I16" s="134"/>
      <c r="J16" s="371">
        <f>H16*E16</f>
        <v>63.31</v>
      </c>
      <c r="K16" s="119"/>
      <c r="L16" s="371"/>
      <c r="M16" s="354"/>
    </row>
    <row r="17" spans="1:13">
      <c r="A17" s="140"/>
      <c r="B17" s="447"/>
      <c r="C17" s="110"/>
      <c r="D17" s="110"/>
      <c r="E17" s="111"/>
      <c r="F17" s="110"/>
      <c r="G17" s="110"/>
      <c r="H17" s="119"/>
      <c r="I17" s="134"/>
      <c r="J17" s="371"/>
      <c r="K17" s="119"/>
      <c r="L17" s="371"/>
      <c r="M17" s="354"/>
    </row>
    <row r="18" spans="1:13">
      <c r="A18" s="140"/>
      <c r="B18" s="447"/>
      <c r="C18" s="110"/>
      <c r="D18" s="110"/>
      <c r="E18" s="111"/>
      <c r="F18" s="110"/>
      <c r="G18" s="110"/>
      <c r="H18" s="119"/>
      <c r="I18" s="134"/>
      <c r="J18" s="371"/>
      <c r="K18" s="119"/>
      <c r="L18" s="371"/>
      <c r="M18" s="354"/>
    </row>
    <row r="19" spans="1:13">
      <c r="A19" s="140"/>
      <c r="B19" s="447"/>
      <c r="C19" s="110"/>
      <c r="D19" s="110"/>
      <c r="E19" s="111"/>
      <c r="F19" s="110"/>
      <c r="G19" s="110"/>
      <c r="H19" s="119"/>
      <c r="I19" s="134"/>
      <c r="J19" s="371"/>
      <c r="K19" s="119"/>
      <c r="L19" s="371"/>
      <c r="M19" s="354"/>
    </row>
    <row r="20" spans="1:13">
      <c r="A20" s="140"/>
      <c r="B20" s="447"/>
      <c r="C20" s="110"/>
      <c r="D20" s="110"/>
      <c r="E20" s="111"/>
      <c r="F20" s="110"/>
      <c r="G20" s="110"/>
      <c r="H20" s="119"/>
      <c r="I20" s="134"/>
      <c r="J20" s="371"/>
      <c r="K20" s="119"/>
      <c r="L20" s="371"/>
      <c r="M20" s="354"/>
    </row>
    <row r="21" spans="1:13">
      <c r="A21" s="140"/>
      <c r="B21" s="134"/>
      <c r="C21" s="134"/>
      <c r="D21" s="134"/>
      <c r="E21" s="119"/>
      <c r="F21" s="134"/>
      <c r="G21" s="134"/>
      <c r="H21" s="119">
        <f>F21*G21</f>
        <v>0</v>
      </c>
      <c r="I21" s="134"/>
      <c r="J21" s="371">
        <f>H21*E21</f>
        <v>0</v>
      </c>
      <c r="K21" s="119"/>
      <c r="L21" s="371"/>
      <c r="M21" s="354"/>
    </row>
    <row r="22" spans="1:13">
      <c r="A22" s="140"/>
      <c r="B22" s="142"/>
      <c r="C22" s="134"/>
      <c r="D22" s="134"/>
      <c r="E22" s="119"/>
      <c r="F22" s="134"/>
      <c r="G22" s="134"/>
      <c r="H22" s="119"/>
      <c r="I22" s="134"/>
      <c r="J22" s="371"/>
      <c r="K22" s="119"/>
      <c r="L22" s="371"/>
      <c r="M22" s="354"/>
    </row>
    <row r="23" spans="1:13">
      <c r="A23" s="140"/>
      <c r="B23" s="142"/>
      <c r="C23" s="134"/>
      <c r="D23" s="134"/>
      <c r="E23" s="119"/>
      <c r="F23" s="134"/>
      <c r="G23" s="134"/>
      <c r="H23" s="119"/>
      <c r="I23" s="134"/>
      <c r="J23" s="371"/>
      <c r="K23" s="119"/>
      <c r="L23" s="371"/>
      <c r="M23" s="354"/>
    </row>
    <row r="24" spans="1:13">
      <c r="A24" s="140"/>
      <c r="B24" s="142"/>
      <c r="C24" s="134"/>
      <c r="D24" s="134"/>
      <c r="E24" s="119"/>
      <c r="F24" s="134"/>
      <c r="G24" s="134"/>
      <c r="H24" s="119"/>
      <c r="I24" s="134"/>
      <c r="J24" s="371"/>
      <c r="K24" s="119"/>
      <c r="L24" s="371"/>
      <c r="M24" s="354"/>
    </row>
    <row r="25" spans="1:13">
      <c r="A25" s="140"/>
      <c r="B25" s="142"/>
      <c r="C25" s="134"/>
      <c r="D25" s="134"/>
      <c r="E25" s="119"/>
      <c r="F25" s="134"/>
      <c r="G25" s="134"/>
      <c r="H25" s="134"/>
      <c r="I25" s="134"/>
      <c r="J25" s="371"/>
      <c r="K25" s="119"/>
      <c r="L25" s="371"/>
      <c r="M25" s="354"/>
    </row>
    <row r="26" spans="1:13">
      <c r="A26" s="140"/>
      <c r="B26" s="134"/>
      <c r="C26" s="134"/>
      <c r="D26" s="134"/>
      <c r="E26" s="119"/>
      <c r="F26" s="134"/>
      <c r="G26" s="134"/>
      <c r="H26" s="134"/>
      <c r="I26" s="134"/>
      <c r="J26" s="371"/>
      <c r="K26" s="119"/>
      <c r="L26" s="371"/>
      <c r="M26" s="354"/>
    </row>
    <row r="27" spans="1:13">
      <c r="A27" s="140"/>
      <c r="B27" s="134"/>
      <c r="C27" s="134"/>
      <c r="D27" s="134"/>
      <c r="E27" s="119"/>
      <c r="F27" s="134"/>
      <c r="G27" s="134"/>
      <c r="H27" s="134"/>
      <c r="I27" s="134"/>
      <c r="J27" s="371"/>
      <c r="K27" s="119"/>
      <c r="L27" s="371"/>
      <c r="M27" s="354"/>
    </row>
    <row r="28" spans="1:13">
      <c r="A28" s="140"/>
      <c r="B28" s="142"/>
      <c r="C28" s="134"/>
      <c r="D28" s="134"/>
      <c r="E28" s="119"/>
      <c r="F28" s="134"/>
      <c r="G28" s="134"/>
      <c r="H28" s="134"/>
      <c r="I28" s="134"/>
      <c r="J28" s="371"/>
      <c r="K28" s="119"/>
      <c r="L28" s="371"/>
      <c r="M28" s="354"/>
    </row>
    <row r="29" spans="1:13">
      <c r="A29" s="140"/>
      <c r="B29" s="134"/>
      <c r="C29" s="134"/>
      <c r="D29" s="134"/>
      <c r="E29" s="119"/>
      <c r="F29" s="134"/>
      <c r="G29" s="134"/>
      <c r="H29" s="134"/>
      <c r="I29" s="134"/>
      <c r="J29" s="371"/>
      <c r="K29" s="119"/>
      <c r="L29" s="371"/>
      <c r="M29" s="354"/>
    </row>
    <row r="30" spans="1:13" ht="16.5" thickBot="1">
      <c r="A30" s="411"/>
      <c r="B30" s="145"/>
      <c r="C30" s="145"/>
      <c r="D30" s="145"/>
      <c r="E30" s="356"/>
      <c r="F30" s="145"/>
      <c r="G30" s="145"/>
      <c r="H30" s="145"/>
      <c r="I30" s="145"/>
      <c r="J30" s="374"/>
      <c r="K30" s="356"/>
      <c r="L30" s="374"/>
      <c r="M30" s="357"/>
    </row>
    <row r="31" spans="1:13" ht="16.5" thickTop="1">
      <c r="A31" s="407"/>
      <c r="B31" s="407"/>
      <c r="C31" s="407"/>
      <c r="D31" s="407"/>
      <c r="E31" s="2250" t="s">
        <v>301</v>
      </c>
      <c r="F31" s="2250"/>
      <c r="G31" s="2250"/>
      <c r="H31" s="2315"/>
      <c r="I31" s="359"/>
      <c r="J31" s="350">
        <f>SUM(J7:J30)</f>
        <v>218.56</v>
      </c>
      <c r="K31" s="350">
        <f>SUM(K7:K30)</f>
        <v>0</v>
      </c>
      <c r="L31" s="350">
        <f>SUM(L7:L30)</f>
        <v>106.79999999999998</v>
      </c>
      <c r="M31" s="350">
        <f>SUM(M7:M30)</f>
        <v>0</v>
      </c>
    </row>
    <row r="32" spans="1:13">
      <c r="A32" s="155"/>
      <c r="B32" s="155"/>
      <c r="C32" s="155"/>
      <c r="D32" s="155"/>
      <c r="E32" s="155" t="s">
        <v>302</v>
      </c>
      <c r="F32" s="155"/>
      <c r="G32" s="155"/>
      <c r="H32" s="424"/>
      <c r="I32" s="361"/>
      <c r="J32" s="425" t="s">
        <v>303</v>
      </c>
      <c r="K32" s="426" t="s">
        <v>304</v>
      </c>
      <c r="L32" s="425" t="s">
        <v>305</v>
      </c>
      <c r="M32" s="427" t="s">
        <v>306</v>
      </c>
    </row>
    <row r="33" spans="1:13" ht="16.5" thickBot="1">
      <c r="A33" s="156"/>
      <c r="B33" s="515"/>
      <c r="C33" s="515"/>
      <c r="D33" s="515"/>
      <c r="E33" s="515" t="s">
        <v>307</v>
      </c>
      <c r="F33" s="515"/>
      <c r="G33" s="515"/>
      <c r="H33" s="516"/>
      <c r="I33" s="517"/>
      <c r="J33" s="518">
        <f>J31*J32</f>
        <v>86.33120000000001</v>
      </c>
      <c r="K33" s="518">
        <f>K31*K32</f>
        <v>0</v>
      </c>
      <c r="L33" s="518">
        <f>L31*L32</f>
        <v>94.838399999999993</v>
      </c>
      <c r="M33" s="519">
        <f>M31*M32</f>
        <v>0</v>
      </c>
    </row>
    <row r="34" spans="1:13" ht="16.5" thickTop="1">
      <c r="A34" s="410"/>
      <c r="B34" s="375" t="s">
        <v>337</v>
      </c>
      <c r="C34" s="131"/>
      <c r="D34" s="131">
        <v>12</v>
      </c>
      <c r="E34" s="350">
        <v>3.58</v>
      </c>
      <c r="F34" s="131">
        <v>4</v>
      </c>
      <c r="G34" s="131">
        <v>4</v>
      </c>
      <c r="H34" s="131">
        <f>F34*G34</f>
        <v>16</v>
      </c>
      <c r="I34" s="131"/>
      <c r="J34" s="131"/>
      <c r="K34" s="131"/>
      <c r="L34" s="500">
        <f>E34*H34</f>
        <v>57.28</v>
      </c>
      <c r="M34" s="465"/>
    </row>
    <row r="35" spans="1:13">
      <c r="A35" s="140"/>
      <c r="B35" s="142"/>
      <c r="C35" s="134"/>
      <c r="D35" s="134">
        <v>8</v>
      </c>
      <c r="E35" s="119">
        <v>0.7</v>
      </c>
      <c r="F35" s="134">
        <v>4</v>
      </c>
      <c r="G35" s="134">
        <v>14</v>
      </c>
      <c r="H35" s="134">
        <f>F35*G35</f>
        <v>56</v>
      </c>
      <c r="I35" s="134"/>
      <c r="J35" s="371">
        <f>E35*H35</f>
        <v>39.199999999999996</v>
      </c>
      <c r="K35" s="134"/>
      <c r="L35" s="371"/>
      <c r="M35" s="372"/>
    </row>
    <row r="36" spans="1:13">
      <c r="A36" s="140"/>
      <c r="B36" s="142" t="s">
        <v>339</v>
      </c>
      <c r="C36" s="134"/>
      <c r="D36" s="134">
        <v>14</v>
      </c>
      <c r="E36" s="119">
        <v>6.05</v>
      </c>
      <c r="F36" s="134">
        <v>2</v>
      </c>
      <c r="G36" s="134">
        <v>3</v>
      </c>
      <c r="H36" s="134">
        <f t="shared" ref="H36:H41" si="1">F36*G36</f>
        <v>6</v>
      </c>
      <c r="I36" s="134"/>
      <c r="J36" s="371"/>
      <c r="K36" s="119"/>
      <c r="L36" s="119">
        <f>E36*H36</f>
        <v>36.299999999999997</v>
      </c>
      <c r="M36" s="367"/>
    </row>
    <row r="37" spans="1:13">
      <c r="A37" s="140"/>
      <c r="B37" s="134"/>
      <c r="C37" s="134"/>
      <c r="D37" s="134">
        <v>14</v>
      </c>
      <c r="E37" s="119">
        <v>5.35</v>
      </c>
      <c r="F37" s="134">
        <v>2</v>
      </c>
      <c r="G37" s="134">
        <v>3</v>
      </c>
      <c r="H37" s="134">
        <f t="shared" si="1"/>
        <v>6</v>
      </c>
      <c r="I37" s="134"/>
      <c r="J37" s="371"/>
      <c r="K37" s="119"/>
      <c r="L37" s="119">
        <f>E37*H37</f>
        <v>32.099999999999994</v>
      </c>
      <c r="M37" s="367"/>
    </row>
    <row r="38" spans="1:13">
      <c r="A38" s="140"/>
      <c r="B38" s="143"/>
      <c r="C38" s="134"/>
      <c r="D38" s="134">
        <v>8</v>
      </c>
      <c r="E38" s="119">
        <v>0.9</v>
      </c>
      <c r="F38" s="134">
        <v>2</v>
      </c>
      <c r="G38" s="134">
        <v>26</v>
      </c>
      <c r="H38" s="134">
        <f t="shared" si="1"/>
        <v>52</v>
      </c>
      <c r="I38" s="134"/>
      <c r="J38" s="371">
        <f>E38*H38</f>
        <v>46.800000000000004</v>
      </c>
      <c r="K38" s="119"/>
      <c r="L38" s="119"/>
      <c r="M38" s="367"/>
    </row>
    <row r="39" spans="1:13">
      <c r="A39" s="140"/>
      <c r="B39" s="142" t="s">
        <v>340</v>
      </c>
      <c r="C39" s="134"/>
      <c r="D39" s="134">
        <v>14</v>
      </c>
      <c r="E39" s="119">
        <v>3.55</v>
      </c>
      <c r="F39" s="134">
        <v>2</v>
      </c>
      <c r="G39" s="134">
        <v>3</v>
      </c>
      <c r="H39" s="134">
        <f t="shared" si="1"/>
        <v>6</v>
      </c>
      <c r="I39" s="134"/>
      <c r="J39" s="371"/>
      <c r="K39" s="134"/>
      <c r="L39" s="119">
        <f>E38*H38</f>
        <v>46.800000000000004</v>
      </c>
      <c r="M39" s="367"/>
    </row>
    <row r="40" spans="1:13">
      <c r="A40" s="140"/>
      <c r="B40" s="134"/>
      <c r="C40" s="134"/>
      <c r="D40" s="134">
        <v>14</v>
      </c>
      <c r="E40" s="119">
        <v>2.85</v>
      </c>
      <c r="F40" s="134">
        <v>2</v>
      </c>
      <c r="G40" s="134">
        <v>3</v>
      </c>
      <c r="H40" s="134">
        <f t="shared" si="1"/>
        <v>6</v>
      </c>
      <c r="I40" s="134"/>
      <c r="J40" s="371"/>
      <c r="K40" s="134"/>
      <c r="L40" s="119">
        <f>E39*H39</f>
        <v>21.299999999999997</v>
      </c>
      <c r="M40" s="367"/>
    </row>
    <row r="41" spans="1:13">
      <c r="A41" s="140"/>
      <c r="B41" s="134"/>
      <c r="C41" s="134"/>
      <c r="D41" s="134">
        <v>8</v>
      </c>
      <c r="E41" s="119">
        <v>0.9</v>
      </c>
      <c r="F41" s="134">
        <v>2</v>
      </c>
      <c r="G41" s="134">
        <v>14</v>
      </c>
      <c r="H41" s="134">
        <f t="shared" si="1"/>
        <v>28</v>
      </c>
      <c r="I41" s="134"/>
      <c r="J41" s="371">
        <f>E41*H41</f>
        <v>25.2</v>
      </c>
      <c r="K41" s="119"/>
      <c r="L41" s="371"/>
      <c r="M41" s="354"/>
    </row>
    <row r="42" spans="1:13">
      <c r="A42" s="140"/>
      <c r="B42" s="142"/>
      <c r="C42" s="134"/>
      <c r="D42" s="134"/>
      <c r="E42" s="119"/>
      <c r="F42" s="134"/>
      <c r="G42" s="134"/>
      <c r="H42" s="134"/>
      <c r="I42" s="134"/>
      <c r="J42" s="371"/>
      <c r="K42" s="134"/>
      <c r="L42" s="371"/>
      <c r="M42" s="466"/>
    </row>
    <row r="43" spans="1:13">
      <c r="A43" s="140"/>
      <c r="B43" s="142" t="s">
        <v>1091</v>
      </c>
      <c r="C43" s="134"/>
      <c r="D43" s="134">
        <v>8</v>
      </c>
      <c r="E43" s="119">
        <v>3.6</v>
      </c>
      <c r="F43" s="134">
        <v>1</v>
      </c>
      <c r="G43" s="134">
        <v>8</v>
      </c>
      <c r="H43" s="134">
        <f>F43*G43</f>
        <v>8</v>
      </c>
      <c r="I43" s="134"/>
      <c r="J43" s="371">
        <f>E43*H43</f>
        <v>28.8</v>
      </c>
      <c r="K43" s="119"/>
      <c r="L43" s="371"/>
      <c r="M43" s="372"/>
    </row>
    <row r="44" spans="1:13">
      <c r="A44" s="140"/>
      <c r="B44" s="142"/>
      <c r="C44" s="134"/>
      <c r="D44" s="134">
        <v>8</v>
      </c>
      <c r="E44" s="119">
        <v>1.71</v>
      </c>
      <c r="F44" s="134">
        <v>1</v>
      </c>
      <c r="G44" s="134">
        <v>12</v>
      </c>
      <c r="H44" s="134">
        <f>F44*G44</f>
        <v>12</v>
      </c>
      <c r="I44" s="134"/>
      <c r="J44" s="371">
        <f>E44*H44</f>
        <v>20.52</v>
      </c>
      <c r="K44" s="119"/>
      <c r="L44" s="371"/>
      <c r="M44" s="354"/>
    </row>
    <row r="45" spans="1:13">
      <c r="A45" s="140"/>
      <c r="B45" s="142"/>
      <c r="C45" s="134"/>
      <c r="D45" s="134"/>
      <c r="E45" s="119"/>
      <c r="F45" s="134"/>
      <c r="G45" s="134"/>
      <c r="H45" s="134"/>
      <c r="I45" s="134"/>
      <c r="J45" s="371"/>
      <c r="K45" s="119"/>
      <c r="L45" s="371"/>
      <c r="M45" s="354"/>
    </row>
    <row r="46" spans="1:13">
      <c r="A46" s="140"/>
      <c r="B46" s="134"/>
      <c r="C46" s="134"/>
      <c r="D46" s="134"/>
      <c r="E46" s="119"/>
      <c r="F46" s="134"/>
      <c r="G46" s="134"/>
      <c r="H46" s="134"/>
      <c r="I46" s="134"/>
      <c r="J46" s="371"/>
      <c r="K46" s="134"/>
      <c r="L46" s="371"/>
      <c r="M46" s="354"/>
    </row>
    <row r="47" spans="1:13">
      <c r="A47" s="140"/>
      <c r="B47" s="134"/>
      <c r="C47" s="134"/>
      <c r="D47" s="134"/>
      <c r="E47" s="119"/>
      <c r="F47" s="134"/>
      <c r="G47" s="134"/>
      <c r="H47" s="134"/>
      <c r="I47" s="134"/>
      <c r="J47" s="371"/>
      <c r="K47" s="134"/>
      <c r="L47" s="371"/>
      <c r="M47" s="354"/>
    </row>
    <row r="48" spans="1:13">
      <c r="A48" s="140"/>
      <c r="B48" s="134"/>
      <c r="C48" s="134"/>
      <c r="D48" s="134"/>
      <c r="E48" s="119"/>
      <c r="F48" s="134"/>
      <c r="G48" s="134"/>
      <c r="H48" s="134"/>
      <c r="I48" s="134"/>
      <c r="J48" s="371"/>
      <c r="K48" s="119"/>
      <c r="L48" s="371"/>
      <c r="M48" s="354"/>
    </row>
    <row r="49" spans="1:13">
      <c r="A49" s="140"/>
      <c r="B49" s="134"/>
      <c r="C49" s="134"/>
      <c r="D49" s="134"/>
      <c r="E49" s="119"/>
      <c r="F49" s="134"/>
      <c r="G49" s="134"/>
      <c r="H49" s="134"/>
      <c r="I49" s="134"/>
      <c r="J49" s="371"/>
      <c r="K49" s="134"/>
      <c r="L49" s="371"/>
      <c r="M49" s="354"/>
    </row>
    <row r="50" spans="1:13">
      <c r="A50" s="140"/>
      <c r="B50" s="142"/>
      <c r="C50" s="134"/>
      <c r="D50" s="134"/>
      <c r="E50" s="119"/>
      <c r="F50" s="134"/>
      <c r="G50" s="134"/>
      <c r="H50" s="134"/>
      <c r="I50" s="134"/>
      <c r="J50" s="371"/>
      <c r="K50" s="119"/>
      <c r="L50" s="371"/>
      <c r="M50" s="354"/>
    </row>
    <row r="51" spans="1:13">
      <c r="A51" s="140"/>
      <c r="B51" s="142"/>
      <c r="C51" s="134"/>
      <c r="D51" s="134"/>
      <c r="E51" s="119"/>
      <c r="F51" s="134"/>
      <c r="G51" s="134"/>
      <c r="H51" s="134"/>
      <c r="I51" s="134"/>
      <c r="J51" s="371"/>
      <c r="K51" s="119"/>
      <c r="L51" s="371"/>
      <c r="M51" s="354"/>
    </row>
    <row r="52" spans="1:13">
      <c r="A52" s="140"/>
      <c r="B52" s="142"/>
      <c r="C52" s="134"/>
      <c r="D52" s="134"/>
      <c r="E52" s="119"/>
      <c r="F52" s="134"/>
      <c r="G52" s="134"/>
      <c r="H52" s="134"/>
      <c r="I52" s="134"/>
      <c r="J52" s="371"/>
      <c r="K52" s="119"/>
      <c r="L52" s="371">
        <f>E52*H52</f>
        <v>0</v>
      </c>
      <c r="M52" s="354"/>
    </row>
    <row r="53" spans="1:13">
      <c r="A53" s="140"/>
      <c r="B53" s="134"/>
      <c r="C53" s="134"/>
      <c r="D53" s="134"/>
      <c r="E53" s="119"/>
      <c r="F53" s="134"/>
      <c r="G53" s="134"/>
      <c r="H53" s="134"/>
      <c r="I53" s="134"/>
      <c r="J53" s="371"/>
      <c r="K53" s="119"/>
      <c r="L53" s="371">
        <f>E53*H53</f>
        <v>0</v>
      </c>
      <c r="M53" s="354"/>
    </row>
    <row r="54" spans="1:13">
      <c r="A54" s="140"/>
      <c r="B54" s="134"/>
      <c r="C54" s="134"/>
      <c r="D54" s="134"/>
      <c r="E54" s="119"/>
      <c r="F54" s="134"/>
      <c r="G54" s="134"/>
      <c r="H54" s="134"/>
      <c r="I54" s="134"/>
      <c r="J54" s="371"/>
      <c r="K54" s="119"/>
      <c r="L54" s="371"/>
      <c r="M54" s="354"/>
    </row>
    <row r="55" spans="1:13">
      <c r="A55" s="140"/>
      <c r="B55" s="142"/>
      <c r="C55" s="134"/>
      <c r="D55" s="134"/>
      <c r="E55" s="119"/>
      <c r="F55" s="134"/>
      <c r="G55" s="134"/>
      <c r="H55" s="134"/>
      <c r="I55" s="134"/>
      <c r="J55" s="371"/>
      <c r="K55" s="119"/>
      <c r="L55" s="371">
        <f>E55*H55</f>
        <v>0</v>
      </c>
      <c r="M55" s="354"/>
    </row>
    <row r="56" spans="1:13">
      <c r="A56" s="140"/>
      <c r="B56" s="134"/>
      <c r="C56" s="134"/>
      <c r="D56" s="134"/>
      <c r="E56" s="119"/>
      <c r="F56" s="134"/>
      <c r="G56" s="134"/>
      <c r="H56" s="134"/>
      <c r="I56" s="134"/>
      <c r="J56" s="371"/>
      <c r="K56" s="119"/>
      <c r="L56" s="371">
        <f>E56*H56</f>
        <v>0</v>
      </c>
      <c r="M56" s="354"/>
    </row>
    <row r="57" spans="1:13" ht="16.5" thickBot="1">
      <c r="A57" s="411"/>
      <c r="B57" s="145"/>
      <c r="C57" s="145"/>
      <c r="D57" s="145"/>
      <c r="E57" s="356"/>
      <c r="F57" s="145"/>
      <c r="G57" s="145"/>
      <c r="H57" s="145"/>
      <c r="I57" s="145"/>
      <c r="J57" s="374"/>
      <c r="K57" s="356"/>
      <c r="L57" s="374"/>
      <c r="M57" s="357"/>
    </row>
    <row r="58" spans="1:13" ht="16.5" thickTop="1">
      <c r="A58" s="422"/>
      <c r="B58" s="407"/>
      <c r="C58" s="407"/>
      <c r="D58" s="407"/>
      <c r="E58" s="2250" t="s">
        <v>301</v>
      </c>
      <c r="F58" s="2250"/>
      <c r="G58" s="2250"/>
      <c r="H58" s="2315"/>
      <c r="I58" s="430"/>
      <c r="J58" s="376">
        <f>SUM(J34:J57)</f>
        <v>160.52000000000001</v>
      </c>
      <c r="K58" s="376"/>
      <c r="L58" s="376">
        <f>SUM(L34:L57)</f>
        <v>193.77999999999997</v>
      </c>
      <c r="M58" s="376">
        <f>SUM(M34:M57)</f>
        <v>0</v>
      </c>
    </row>
    <row r="59" spans="1:13">
      <c r="A59" s="423"/>
      <c r="B59" s="155"/>
      <c r="C59" s="155"/>
      <c r="D59" s="155"/>
      <c r="E59" s="155" t="s">
        <v>302</v>
      </c>
      <c r="F59" s="155"/>
      <c r="G59" s="155"/>
      <c r="H59" s="424"/>
      <c r="I59" s="361"/>
      <c r="J59" s="425" t="s">
        <v>303</v>
      </c>
      <c r="K59" s="426"/>
      <c r="L59" s="425" t="s">
        <v>305</v>
      </c>
      <c r="M59" s="427" t="s">
        <v>306</v>
      </c>
    </row>
    <row r="60" spans="1:13" ht="16.5" thickBot="1">
      <c r="A60" s="428"/>
      <c r="B60" s="156"/>
      <c r="C60" s="156"/>
      <c r="D60" s="156"/>
      <c r="E60" s="156" t="s">
        <v>307</v>
      </c>
      <c r="F60" s="156"/>
      <c r="G60" s="156"/>
      <c r="H60" s="429"/>
      <c r="I60" s="363"/>
      <c r="J60" s="120">
        <f>J58*J59</f>
        <v>63.405400000000007</v>
      </c>
      <c r="K60" s="120">
        <f>K58*K59</f>
        <v>0</v>
      </c>
      <c r="L60" s="120">
        <f>L58*L59</f>
        <v>172.07663999999997</v>
      </c>
      <c r="M60" s="364">
        <f>M58*M59</f>
        <v>0</v>
      </c>
    </row>
    <row r="61" spans="1:13" ht="16.5" thickTop="1">
      <c r="A61" s="346"/>
      <c r="B61" s="346"/>
      <c r="C61" s="346"/>
      <c r="D61" s="346"/>
      <c r="E61" s="346"/>
      <c r="F61" s="346"/>
      <c r="G61" s="346"/>
      <c r="H61" s="346"/>
      <c r="I61" s="365"/>
      <c r="J61" s="122"/>
      <c r="K61" s="122"/>
      <c r="L61" s="122"/>
      <c r="M61" s="122"/>
    </row>
    <row r="62" spans="1:13">
      <c r="A62" s="346"/>
      <c r="B62" s="463" t="s">
        <v>24</v>
      </c>
      <c r="C62" s="346"/>
      <c r="D62" s="346"/>
      <c r="E62" s="346"/>
      <c r="F62" s="346"/>
      <c r="G62" s="346"/>
      <c r="H62" s="346"/>
      <c r="I62" s="346"/>
      <c r="J62" s="346"/>
      <c r="K62" s="2314" t="s">
        <v>308</v>
      </c>
      <c r="L62" s="2314"/>
      <c r="M62" s="346"/>
    </row>
    <row r="63" spans="1:13">
      <c r="A63" s="504"/>
      <c r="B63" s="504"/>
      <c r="C63" s="504"/>
      <c r="D63" s="504"/>
      <c r="E63" s="504"/>
      <c r="F63" s="504"/>
      <c r="G63" s="504"/>
      <c r="H63" s="504"/>
      <c r="I63" s="505"/>
      <c r="J63" s="503"/>
      <c r="K63" s="503"/>
      <c r="L63" s="503"/>
      <c r="M63" s="503"/>
    </row>
    <row r="64" spans="1:13">
      <c r="A64" s="504"/>
      <c r="B64" s="504"/>
      <c r="C64" s="504"/>
      <c r="D64" s="504"/>
      <c r="E64" s="504"/>
      <c r="F64" s="504"/>
      <c r="G64" s="504"/>
      <c r="H64" s="504"/>
      <c r="I64" s="505"/>
      <c r="J64" s="503"/>
      <c r="K64" s="503"/>
      <c r="L64" s="503"/>
      <c r="M64" s="503"/>
    </row>
    <row r="65" spans="1:13">
      <c r="A65" s="504"/>
      <c r="B65" s="504"/>
      <c r="C65" s="504"/>
      <c r="D65" s="504"/>
      <c r="E65" s="504"/>
      <c r="F65" s="504"/>
      <c r="G65" s="504"/>
      <c r="H65" s="504"/>
      <c r="I65" s="505"/>
      <c r="J65" s="503"/>
      <c r="K65" s="503"/>
      <c r="L65" s="503"/>
      <c r="M65" s="503"/>
    </row>
    <row r="66" spans="1:13">
      <c r="A66" s="504"/>
      <c r="B66" s="520"/>
      <c r="C66" s="504"/>
      <c r="D66" s="504"/>
      <c r="E66" s="504"/>
      <c r="F66" s="504"/>
      <c r="G66" s="504"/>
      <c r="H66" s="504"/>
      <c r="I66" s="504"/>
      <c r="J66" s="504"/>
      <c r="K66" s="520"/>
      <c r="L66" s="520"/>
      <c r="M66" s="504"/>
    </row>
  </sheetData>
  <mergeCells count="16">
    <mergeCell ref="A1:F1"/>
    <mergeCell ref="K1:M1"/>
    <mergeCell ref="K2:M2"/>
    <mergeCell ref="K3:M3"/>
    <mergeCell ref="A2:F2"/>
    <mergeCell ref="A3:F3"/>
    <mergeCell ref="A4:F4"/>
    <mergeCell ref="E58:H58"/>
    <mergeCell ref="K4:M4"/>
    <mergeCell ref="K62:L62"/>
    <mergeCell ref="A5:A6"/>
    <mergeCell ref="B5:B6"/>
    <mergeCell ref="C5:C6"/>
    <mergeCell ref="D5:D6"/>
    <mergeCell ref="F5:H5"/>
    <mergeCell ref="E31:H31"/>
  </mergeCells>
  <pageMargins left="0.7" right="0.7" top="1" bottom="0.75" header="0.3" footer="0.3"/>
  <pageSetup scale="85" orientation="landscape" horizontalDpi="300" verticalDpi="300" r:id="rId1"/>
  <rowBreaks count="1" manualBreakCount="1">
    <brk id="33" max="12"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46"/>
  <sheetViews>
    <sheetView view="pageBreakPreview" zoomScale="66" zoomScaleNormal="66" zoomScaleSheetLayoutView="66" zoomScalePageLayoutView="70" workbookViewId="0">
      <selection activeCell="F27" sqref="F27"/>
    </sheetView>
  </sheetViews>
  <sheetFormatPr defaultRowHeight="21"/>
  <cols>
    <col min="1" max="1" width="9.28515625" style="528" customWidth="1"/>
    <col min="2" max="2" width="10.28515625" style="1023" customWidth="1"/>
    <col min="3" max="3" width="45.5703125" style="1073" customWidth="1"/>
    <col min="4" max="4" width="26" style="536" customWidth="1"/>
    <col min="5" max="5" width="25.42578125" style="536" customWidth="1"/>
    <col min="6" max="6" width="26.7109375" style="536" customWidth="1"/>
    <col min="7" max="7" width="24.5703125" style="536" customWidth="1"/>
    <col min="8" max="8" width="9.28515625" style="528" customWidth="1"/>
    <col min="9" max="16384" width="9.140625" style="528"/>
  </cols>
  <sheetData>
    <row r="1" spans="2:7">
      <c r="C1" s="1024"/>
    </row>
    <row r="2" spans="2:7" s="1025" customFormat="1" ht="20.25">
      <c r="B2" s="2399" t="s">
        <v>2572</v>
      </c>
      <c r="C2" s="2399"/>
      <c r="D2" s="2399"/>
      <c r="E2" s="2399"/>
      <c r="F2" s="2399"/>
      <c r="G2" s="2399"/>
    </row>
    <row r="3" spans="2:7">
      <c r="C3" s="528"/>
    </row>
    <row r="4" spans="2:7" s="1026" customFormat="1" ht="20.25">
      <c r="B4" s="2378" t="s">
        <v>3527</v>
      </c>
      <c r="C4" s="2378"/>
      <c r="D4" s="2378"/>
      <c r="E4" s="2378"/>
      <c r="F4" s="2378"/>
      <c r="G4" s="2378"/>
    </row>
    <row r="5" spans="2:7" s="1026" customFormat="1" ht="20.25">
      <c r="B5" s="2400" t="s">
        <v>2573</v>
      </c>
      <c r="C5" s="2400"/>
      <c r="D5" s="2400"/>
      <c r="E5" s="1027"/>
    </row>
    <row r="6" spans="2:7" s="1026" customFormat="1" ht="20.25">
      <c r="B6" s="2400" t="s">
        <v>2574</v>
      </c>
      <c r="C6" s="2400"/>
      <c r="D6" s="2400"/>
      <c r="E6" s="1028"/>
    </row>
    <row r="7" spans="2:7" s="1026" customFormat="1" ht="20.25">
      <c r="B7" s="2400" t="s">
        <v>2575</v>
      </c>
      <c r="C7" s="2400"/>
      <c r="D7" s="2400"/>
      <c r="E7" s="1028"/>
    </row>
    <row r="8" spans="2:7" s="1031" customFormat="1">
      <c r="B8" s="1029"/>
      <c r="C8" s="1030"/>
      <c r="D8" s="1030"/>
      <c r="E8" s="1030"/>
    </row>
    <row r="9" spans="2:7" s="1031" customFormat="1">
      <c r="B9" s="2398" t="s">
        <v>2576</v>
      </c>
      <c r="C9" s="2398"/>
      <c r="D9" s="2398"/>
      <c r="E9" s="2398"/>
      <c r="F9" s="2398"/>
      <c r="G9" s="2398"/>
    </row>
    <row r="10" spans="2:7" s="1026" customFormat="1" ht="20.25">
      <c r="B10" s="2378" t="s">
        <v>2577</v>
      </c>
      <c r="C10" s="2378"/>
      <c r="D10" s="2378"/>
      <c r="E10" s="2378"/>
      <c r="F10" s="2378"/>
      <c r="G10" s="2378"/>
    </row>
    <row r="11" spans="2:7" ht="21" customHeight="1" thickBot="1">
      <c r="B11" s="1032"/>
      <c r="C11" s="1033"/>
      <c r="D11" s="1034"/>
      <c r="E11" s="1034"/>
      <c r="F11" s="1034"/>
      <c r="G11" s="1035"/>
    </row>
    <row r="12" spans="2:7" ht="21" customHeight="1" thickTop="1">
      <c r="B12" s="2379" t="s">
        <v>2578</v>
      </c>
      <c r="C12" s="2382" t="s">
        <v>2579</v>
      </c>
      <c r="D12" s="2385" t="s">
        <v>2580</v>
      </c>
      <c r="E12" s="2386"/>
      <c r="F12" s="2387" t="s">
        <v>2581</v>
      </c>
      <c r="G12" s="2388"/>
    </row>
    <row r="13" spans="2:7" ht="21" customHeight="1">
      <c r="B13" s="2380"/>
      <c r="C13" s="2383"/>
      <c r="D13" s="2389" t="s">
        <v>2582</v>
      </c>
      <c r="E13" s="2389"/>
      <c r="F13" s="2390" t="s">
        <v>2583</v>
      </c>
      <c r="G13" s="2391"/>
    </row>
    <row r="14" spans="2:7" ht="21" customHeight="1">
      <c r="B14" s="2380"/>
      <c r="C14" s="2383"/>
      <c r="D14" s="1036" t="s">
        <v>2584</v>
      </c>
      <c r="E14" s="1036" t="s">
        <v>2585</v>
      </c>
      <c r="F14" s="1036" t="s">
        <v>2584</v>
      </c>
      <c r="G14" s="1037" t="s">
        <v>2585</v>
      </c>
    </row>
    <row r="15" spans="2:7" ht="21" customHeight="1" thickBot="1">
      <c r="B15" s="2381"/>
      <c r="C15" s="2384"/>
      <c r="D15" s="1038" t="s">
        <v>1307</v>
      </c>
      <c r="E15" s="1038" t="s">
        <v>1308</v>
      </c>
      <c r="F15" s="1038" t="s">
        <v>1307</v>
      </c>
      <c r="G15" s="1039" t="s">
        <v>1308</v>
      </c>
    </row>
    <row r="16" spans="2:7" s="1044" customFormat="1" thickTop="1">
      <c r="B16" s="1040"/>
      <c r="C16" s="1041"/>
      <c r="D16" s="1042"/>
      <c r="E16" s="1042"/>
      <c r="F16" s="1042"/>
      <c r="G16" s="1043"/>
    </row>
    <row r="17" spans="2:7" s="1044" customFormat="1" ht="20.25">
      <c r="B17" s="1045">
        <v>1</v>
      </c>
      <c r="C17" s="1046" t="s">
        <v>2586</v>
      </c>
      <c r="D17" s="1047">
        <v>3935585</v>
      </c>
      <c r="E17" s="1047">
        <f>'Site Meas '!I53</f>
        <v>3192226.9048052002</v>
      </c>
      <c r="F17" s="1047"/>
      <c r="G17" s="1048"/>
    </row>
    <row r="18" spans="2:7" s="1044" customFormat="1" ht="20.25">
      <c r="B18" s="1045">
        <v>2</v>
      </c>
      <c r="C18" s="1046" t="s">
        <v>2587</v>
      </c>
      <c r="D18" s="1047">
        <v>389895</v>
      </c>
      <c r="E18" s="1047">
        <f>'Site Meas '!I69</f>
        <v>358027.03200000001</v>
      </c>
      <c r="F18" s="1047"/>
      <c r="G18" s="1048"/>
    </row>
    <row r="19" spans="2:7" s="1044" customFormat="1" ht="20.25">
      <c r="B19" s="1045">
        <v>3</v>
      </c>
      <c r="C19" s="1046" t="s">
        <v>2588</v>
      </c>
      <c r="D19" s="1047">
        <v>1345100</v>
      </c>
      <c r="E19" s="1047">
        <f>'Site Meas '!I92</f>
        <v>1312633.5</v>
      </c>
      <c r="F19" s="1047"/>
      <c r="G19" s="1048"/>
    </row>
    <row r="20" spans="2:7" s="1044" customFormat="1" ht="20.25">
      <c r="B20" s="1045">
        <v>4</v>
      </c>
      <c r="C20" s="1046" t="s">
        <v>2589</v>
      </c>
      <c r="D20" s="1047">
        <v>61650</v>
      </c>
      <c r="E20" s="1047">
        <f>'Site Meas '!I106</f>
        <v>194614.07200000001</v>
      </c>
      <c r="F20" s="1047"/>
      <c r="G20" s="1048"/>
    </row>
    <row r="21" spans="2:7" s="1044" customFormat="1" ht="20.25">
      <c r="B21" s="1045">
        <v>5</v>
      </c>
      <c r="C21" s="1046" t="s">
        <v>2590</v>
      </c>
      <c r="D21" s="1047">
        <v>150638</v>
      </c>
      <c r="E21" s="1047">
        <f>'Site Meas '!I120</f>
        <v>21773.089799999998</v>
      </c>
      <c r="F21" s="1047"/>
      <c r="G21" s="1048"/>
    </row>
    <row r="22" spans="2:7" s="1044" customFormat="1" ht="20.25">
      <c r="B22" s="1045">
        <v>6</v>
      </c>
      <c r="C22" s="1046" t="s">
        <v>2591</v>
      </c>
      <c r="D22" s="1047">
        <v>135501.25</v>
      </c>
      <c r="E22" s="1047">
        <f>'Site Meas '!I141</f>
        <v>58200.181250000001</v>
      </c>
      <c r="F22" s="1047"/>
      <c r="G22" s="1048"/>
    </row>
    <row r="23" spans="2:7" s="1044" customFormat="1" ht="20.25">
      <c r="B23" s="1045">
        <v>7</v>
      </c>
      <c r="C23" s="1046" t="s">
        <v>2592</v>
      </c>
      <c r="D23" s="1047">
        <v>77113.86</v>
      </c>
      <c r="E23" s="1047">
        <f>'Site Meas '!I148</f>
        <v>5250</v>
      </c>
      <c r="F23" s="1047"/>
      <c r="G23" s="1048"/>
    </row>
    <row r="24" spans="2:7" s="1044" customFormat="1" ht="20.25">
      <c r="B24" s="1045">
        <v>8</v>
      </c>
      <c r="C24" s="1046" t="s">
        <v>2593</v>
      </c>
      <c r="D24" s="1047">
        <v>1051255.8700000001</v>
      </c>
      <c r="E24" s="1047">
        <f>'Site Meas '!I182</f>
        <v>111549.7672</v>
      </c>
      <c r="F24" s="1047"/>
      <c r="G24" s="1048"/>
    </row>
    <row r="25" spans="2:7" s="1044" customFormat="1" thickBot="1">
      <c r="B25" s="1049"/>
      <c r="C25" s="1050"/>
      <c r="D25" s="1051"/>
      <c r="E25" s="1051"/>
      <c r="F25" s="1051"/>
      <c r="G25" s="1052"/>
    </row>
    <row r="26" spans="2:7" s="1056" customFormat="1" ht="27" thickTop="1" thickBot="1">
      <c r="B26" s="2392" t="s">
        <v>2594</v>
      </c>
      <c r="C26" s="2393"/>
      <c r="D26" s="1053"/>
      <c r="E26" s="1054"/>
      <c r="F26" s="1054">
        <f>SUM(D17:D25)</f>
        <v>7146738.9800000004</v>
      </c>
      <c r="G26" s="1055">
        <f>SUM(E17:E24)</f>
        <v>5254274.5470551997</v>
      </c>
    </row>
    <row r="27" spans="2:7" s="1044" customFormat="1" ht="21.75" thickTop="1" thickBot="1">
      <c r="B27" s="1057"/>
      <c r="C27" s="1058"/>
      <c r="D27" s="1059"/>
      <c r="E27" s="1059"/>
      <c r="F27" s="1059"/>
      <c r="G27" s="1060"/>
    </row>
    <row r="28" spans="2:7" ht="21.75" thickTop="1">
      <c r="C28" s="528"/>
    </row>
    <row r="29" spans="2:7" s="1061" customFormat="1">
      <c r="B29" s="2394" t="s">
        <v>2595</v>
      </c>
      <c r="C29" s="2394"/>
      <c r="D29" s="2394"/>
      <c r="E29" s="2394"/>
      <c r="F29" s="2394"/>
      <c r="G29" s="2394"/>
    </row>
    <row r="30" spans="2:7" s="1061" customFormat="1" ht="21.75" thickBot="1">
      <c r="B30" s="2395" t="s">
        <v>2596</v>
      </c>
      <c r="C30" s="2395"/>
      <c r="D30" s="2395"/>
      <c r="E30" s="1062">
        <f>G26</f>
        <v>5254274.5470551997</v>
      </c>
      <c r="F30" s="2396" t="s">
        <v>2597</v>
      </c>
      <c r="G30" s="2396"/>
    </row>
    <row r="31" spans="2:7" s="1061" customFormat="1" ht="21.75" thickTop="1">
      <c r="B31" s="1063"/>
      <c r="C31" s="1063"/>
      <c r="D31" s="1063"/>
      <c r="E31" s="1064"/>
      <c r="F31" s="1065"/>
      <c r="G31" s="1065"/>
    </row>
    <row r="32" spans="2:7" s="1061" customFormat="1" ht="20.25" customHeight="1">
      <c r="B32" s="2397" t="s">
        <v>2598</v>
      </c>
      <c r="C32" s="2397"/>
      <c r="D32" s="2397"/>
      <c r="E32" s="2397"/>
      <c r="F32" s="2397"/>
      <c r="G32" s="2397"/>
    </row>
    <row r="33" spans="2:9" s="1067" customFormat="1" ht="20.25" customHeight="1" thickBot="1">
      <c r="B33" s="2377" t="s">
        <v>2599</v>
      </c>
      <c r="C33" s="2377"/>
      <c r="D33" s="2377"/>
      <c r="E33" s="1066">
        <f>G26</f>
        <v>5254274.5470551997</v>
      </c>
      <c r="G33" s="1068"/>
    </row>
    <row r="34" spans="2:9" s="1061" customFormat="1" ht="20.25" customHeight="1" thickTop="1">
      <c r="B34" s="1069"/>
      <c r="C34" s="1070"/>
      <c r="D34" s="1071"/>
      <c r="E34" s="1070"/>
      <c r="F34" s="1070"/>
      <c r="G34" s="1070"/>
    </row>
    <row r="35" spans="2:9" s="1061" customFormat="1" ht="20.25" customHeight="1">
      <c r="B35" s="1069"/>
      <c r="C35" s="1070"/>
      <c r="D35" s="1070"/>
      <c r="E35" s="1070"/>
      <c r="F35" s="1070"/>
      <c r="G35" s="1070"/>
    </row>
    <row r="36" spans="2:9" s="1072" customFormat="1" ht="20.25" customHeight="1">
      <c r="B36" s="2376" t="s">
        <v>2600</v>
      </c>
      <c r="C36" s="2376"/>
      <c r="D36" s="2376" t="s">
        <v>2601</v>
      </c>
      <c r="E36" s="2376"/>
      <c r="F36" s="2376" t="s">
        <v>2601</v>
      </c>
      <c r="G36" s="2376"/>
    </row>
    <row r="37" spans="2:9" s="1061" customFormat="1" ht="20.25" customHeight="1">
      <c r="B37" s="2376" t="s">
        <v>23</v>
      </c>
      <c r="C37" s="2376"/>
      <c r="D37" s="2376" t="s">
        <v>2602</v>
      </c>
      <c r="E37" s="2376"/>
      <c r="F37" s="2376" t="s">
        <v>2603</v>
      </c>
      <c r="G37" s="2376"/>
    </row>
    <row r="46" spans="2:9">
      <c r="I46" s="528">
        <f>K46</f>
        <v>0</v>
      </c>
    </row>
  </sheetData>
  <mergeCells count="25">
    <mergeCell ref="B9:G9"/>
    <mergeCell ref="B2:G2"/>
    <mergeCell ref="B4:G4"/>
    <mergeCell ref="B5:D5"/>
    <mergeCell ref="B6:D6"/>
    <mergeCell ref="B7:D7"/>
    <mergeCell ref="B33:D33"/>
    <mergeCell ref="B10:G10"/>
    <mergeCell ref="B12:B15"/>
    <mergeCell ref="C12:C15"/>
    <mergeCell ref="D12:E12"/>
    <mergeCell ref="F12:G12"/>
    <mergeCell ref="D13:E13"/>
    <mergeCell ref="F13:G13"/>
    <mergeCell ref="B26:C26"/>
    <mergeCell ref="B29:G29"/>
    <mergeCell ref="B30:D30"/>
    <mergeCell ref="F30:G30"/>
    <mergeCell ref="B32:G32"/>
    <mergeCell ref="B36:C36"/>
    <mergeCell ref="D36:E36"/>
    <mergeCell ref="F36:G36"/>
    <mergeCell ref="B37:C37"/>
    <mergeCell ref="D37:E37"/>
    <mergeCell ref="F37:G37"/>
  </mergeCells>
  <pageMargins left="0.7" right="0.7" top="1" bottom="0.3" header="0.3" footer="0.3"/>
  <pageSetup scale="69"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183"/>
  <sheetViews>
    <sheetView tabSelected="1" view="pageBreakPreview" zoomScale="70" zoomScaleNormal="56" zoomScaleSheetLayoutView="70" zoomScalePageLayoutView="55" workbookViewId="0">
      <selection activeCell="A156" sqref="A156:XFD156"/>
    </sheetView>
  </sheetViews>
  <sheetFormatPr defaultRowHeight="21"/>
  <cols>
    <col min="1" max="1" width="5.7109375" style="527" customWidth="1"/>
    <col min="2" max="2" width="14.5703125" style="1084" customWidth="1"/>
    <col min="3" max="3" width="72.5703125" style="1085" customWidth="1"/>
    <col min="4" max="4" width="7.7109375" style="1084" customWidth="1"/>
    <col min="5" max="5" width="13.85546875" style="1086" bestFit="1" customWidth="1"/>
    <col min="6" max="6" width="14.5703125" style="1084" customWidth="1"/>
    <col min="7" max="7" width="23.5703125" style="1084" bestFit="1" customWidth="1"/>
    <col min="8" max="8" width="15.85546875" style="1084" customWidth="1"/>
    <col min="9" max="9" width="25.42578125" style="568" bestFit="1" customWidth="1"/>
    <col min="10" max="10" width="3.85546875" style="527" customWidth="1"/>
    <col min="11" max="11" width="18.5703125" style="527" customWidth="1"/>
    <col min="12" max="16384" width="9.140625" style="527"/>
  </cols>
  <sheetData>
    <row r="1" spans="2:11" s="524" customFormat="1">
      <c r="B1" s="2406" t="s">
        <v>1821</v>
      </c>
      <c r="C1" s="2406"/>
      <c r="D1" s="522"/>
      <c r="E1" s="523"/>
      <c r="F1" s="522"/>
      <c r="G1" s="1074"/>
      <c r="H1" s="1074"/>
      <c r="I1" s="1074"/>
    </row>
    <row r="2" spans="2:11" s="524" customFormat="1">
      <c r="B2" s="2406" t="s">
        <v>1822</v>
      </c>
      <c r="C2" s="2406"/>
      <c r="D2" s="988"/>
      <c r="E2" s="525"/>
      <c r="F2" s="988"/>
      <c r="G2" s="537"/>
      <c r="H2" s="537"/>
      <c r="I2" s="1074"/>
    </row>
    <row r="3" spans="2:11" s="524" customFormat="1">
      <c r="B3" s="2407" t="s">
        <v>1823</v>
      </c>
      <c r="C3" s="2407"/>
      <c r="D3" s="988"/>
      <c r="E3" s="525"/>
      <c r="F3" s="988"/>
      <c r="G3" s="537"/>
      <c r="H3" s="537"/>
      <c r="I3" s="1074"/>
    </row>
    <row r="4" spans="2:11" s="524" customFormat="1">
      <c r="B4" s="2406" t="s">
        <v>1870</v>
      </c>
      <c r="C4" s="2406"/>
      <c r="D4" s="988"/>
      <c r="E4" s="525"/>
      <c r="F4" s="988"/>
      <c r="G4" s="988"/>
      <c r="H4" s="988"/>
      <c r="I4" s="1074"/>
    </row>
    <row r="5" spans="2:11" s="1075" customFormat="1">
      <c r="B5" s="2408" t="s">
        <v>2604</v>
      </c>
      <c r="C5" s="2408"/>
      <c r="D5" s="2408"/>
      <c r="E5" s="2408"/>
      <c r="F5" s="2408"/>
      <c r="G5" s="2408"/>
      <c r="H5" s="2408"/>
      <c r="I5" s="2408"/>
    </row>
    <row r="6" spans="2:11">
      <c r="B6" s="2403" t="s">
        <v>1824</v>
      </c>
      <c r="C6" s="1674" t="s">
        <v>1825</v>
      </c>
      <c r="D6" s="2404" t="s">
        <v>1491</v>
      </c>
      <c r="E6" s="2405" t="s">
        <v>1488</v>
      </c>
      <c r="F6" s="2402" t="s">
        <v>1826</v>
      </c>
      <c r="G6" s="2402" t="s">
        <v>1827</v>
      </c>
      <c r="H6" s="2402" t="s">
        <v>1828</v>
      </c>
      <c r="I6" s="2402" t="s">
        <v>3446</v>
      </c>
      <c r="J6" s="526"/>
    </row>
    <row r="7" spans="2:11">
      <c r="B7" s="2403"/>
      <c r="C7" s="1674" t="s">
        <v>2605</v>
      </c>
      <c r="D7" s="2404"/>
      <c r="E7" s="2405"/>
      <c r="F7" s="2402"/>
      <c r="G7" s="2402"/>
      <c r="H7" s="2402" t="s">
        <v>1828</v>
      </c>
      <c r="I7" s="2402"/>
      <c r="J7" s="526"/>
    </row>
    <row r="8" spans="2:11">
      <c r="B8" s="1713"/>
      <c r="C8" s="1714" t="s">
        <v>2606</v>
      </c>
      <c r="D8" s="1715"/>
      <c r="E8" s="1716"/>
      <c r="F8" s="1717"/>
      <c r="G8" s="1718"/>
      <c r="H8" s="1718"/>
      <c r="I8" s="1719"/>
      <c r="J8" s="526"/>
    </row>
    <row r="9" spans="2:11" ht="63">
      <c r="B9" s="1703" t="s">
        <v>2607</v>
      </c>
      <c r="C9" s="1684" t="s">
        <v>2608</v>
      </c>
      <c r="D9" s="1682" t="s">
        <v>1406</v>
      </c>
      <c r="E9" s="1683">
        <v>500</v>
      </c>
      <c r="F9" s="1679">
        <v>100</v>
      </c>
      <c r="G9" s="1679">
        <f>F9*E9</f>
        <v>50000</v>
      </c>
      <c r="H9" s="1679"/>
      <c r="I9" s="1705">
        <f t="shared" ref="I9:I52" si="0">H9*E9</f>
        <v>0</v>
      </c>
      <c r="J9" s="526"/>
      <c r="K9" s="527">
        <f>H9*E9</f>
        <v>0</v>
      </c>
    </row>
    <row r="10" spans="2:11" ht="126">
      <c r="B10" s="1706" t="s">
        <v>2609</v>
      </c>
      <c r="C10" s="1681" t="s">
        <v>2610</v>
      </c>
      <c r="D10" s="1682"/>
      <c r="E10" s="1683"/>
      <c r="F10" s="1679"/>
      <c r="G10" s="1679"/>
      <c r="H10" s="1679"/>
      <c r="I10" s="1705"/>
      <c r="J10" s="526"/>
      <c r="K10" s="527">
        <f>H10*E10</f>
        <v>0</v>
      </c>
    </row>
    <row r="11" spans="2:11">
      <c r="B11" s="1706"/>
      <c r="C11" s="1681" t="s">
        <v>3444</v>
      </c>
      <c r="D11" s="1682" t="s">
        <v>3445</v>
      </c>
      <c r="E11" s="1767">
        <v>684.97</v>
      </c>
      <c r="F11" s="1679"/>
      <c r="G11" s="1679">
        <f t="shared" ref="G11" si="1">F11*E11</f>
        <v>0</v>
      </c>
      <c r="H11" s="1679">
        <f>Variation!D25</f>
        <v>20.594999999999999</v>
      </c>
      <c r="I11" s="1705">
        <f t="shared" si="0"/>
        <v>14106.95715</v>
      </c>
      <c r="J11" s="526"/>
    </row>
    <row r="12" spans="2:11">
      <c r="B12" s="1706"/>
      <c r="C12" s="1676" t="s">
        <v>2611</v>
      </c>
      <c r="D12" s="1682" t="s">
        <v>1406</v>
      </c>
      <c r="E12" s="1683">
        <v>120</v>
      </c>
      <c r="F12" s="1679">
        <v>303.10000000000002</v>
      </c>
      <c r="G12" s="1679">
        <f>F12*E12</f>
        <v>36372</v>
      </c>
      <c r="H12" s="1679"/>
      <c r="I12" s="1705">
        <f t="shared" si="0"/>
        <v>0</v>
      </c>
      <c r="J12" s="526"/>
      <c r="K12" s="527">
        <f t="shared" ref="K12:K23" si="2">H12*E12</f>
        <v>0</v>
      </c>
    </row>
    <row r="13" spans="2:11">
      <c r="B13" s="1703"/>
      <c r="C13" s="1676" t="s">
        <v>2612</v>
      </c>
      <c r="D13" s="1682" t="s">
        <v>1406</v>
      </c>
      <c r="E13" s="1683">
        <v>200</v>
      </c>
      <c r="F13" s="1679">
        <v>63</v>
      </c>
      <c r="G13" s="1679">
        <f>F13*E13</f>
        <v>12600</v>
      </c>
      <c r="H13" s="1679"/>
      <c r="I13" s="1705">
        <f t="shared" si="0"/>
        <v>0</v>
      </c>
      <c r="J13" s="526"/>
      <c r="K13" s="527">
        <f t="shared" si="2"/>
        <v>0</v>
      </c>
    </row>
    <row r="14" spans="2:11" ht="63">
      <c r="B14" s="1703" t="s">
        <v>2613</v>
      </c>
      <c r="C14" s="1684" t="s">
        <v>2614</v>
      </c>
      <c r="D14" s="1682" t="s">
        <v>4</v>
      </c>
      <c r="E14" s="1683">
        <v>200</v>
      </c>
      <c r="F14" s="1679">
        <v>1</v>
      </c>
      <c r="G14" s="1679">
        <f>F14*E14</f>
        <v>200</v>
      </c>
      <c r="H14" s="1679"/>
      <c r="I14" s="1705">
        <f t="shared" si="0"/>
        <v>0</v>
      </c>
      <c r="J14" s="526"/>
      <c r="K14" s="527">
        <f t="shared" si="2"/>
        <v>0</v>
      </c>
    </row>
    <row r="15" spans="2:11" ht="105">
      <c r="B15" s="1703" t="s">
        <v>2615</v>
      </c>
      <c r="C15" s="1684" t="s">
        <v>2616</v>
      </c>
      <c r="D15" s="1682"/>
      <c r="E15" s="1683"/>
      <c r="F15" s="1679"/>
      <c r="G15" s="1679"/>
      <c r="H15" s="1679"/>
      <c r="I15" s="1705">
        <f t="shared" si="0"/>
        <v>0</v>
      </c>
      <c r="J15" s="526"/>
      <c r="K15" s="527">
        <f t="shared" si="2"/>
        <v>0</v>
      </c>
    </row>
    <row r="16" spans="2:11">
      <c r="B16" s="1703"/>
      <c r="C16" s="1676" t="s">
        <v>2617</v>
      </c>
      <c r="D16" s="1682" t="s">
        <v>4</v>
      </c>
      <c r="E16" s="1683">
        <v>2500</v>
      </c>
      <c r="F16" s="1679">
        <v>23</v>
      </c>
      <c r="G16" s="1679">
        <f>F16*E16</f>
        <v>57500</v>
      </c>
      <c r="H16" s="1679"/>
      <c r="I16" s="1705">
        <f t="shared" si="0"/>
        <v>0</v>
      </c>
      <c r="J16" s="1077"/>
      <c r="K16" s="527">
        <f t="shared" si="2"/>
        <v>0</v>
      </c>
    </row>
    <row r="17" spans="1:11" ht="63">
      <c r="B17" s="1703">
        <v>10.11</v>
      </c>
      <c r="C17" s="1684" t="s">
        <v>2618</v>
      </c>
      <c r="D17" s="1682"/>
      <c r="E17" s="1683"/>
      <c r="F17" s="1679"/>
      <c r="G17" s="1679"/>
      <c r="H17" s="1679"/>
      <c r="I17" s="1705"/>
      <c r="J17" s="1077"/>
      <c r="K17" s="527">
        <f t="shared" si="2"/>
        <v>0</v>
      </c>
    </row>
    <row r="18" spans="1:11">
      <c r="B18" s="1703"/>
      <c r="C18" s="1676" t="s">
        <v>2619</v>
      </c>
      <c r="D18" s="1682" t="s">
        <v>1406</v>
      </c>
      <c r="E18" s="1683">
        <v>150</v>
      </c>
      <c r="F18" s="1679">
        <v>803.6</v>
      </c>
      <c r="G18" s="1679">
        <f>F18*E18</f>
        <v>120540</v>
      </c>
      <c r="H18" s="1679"/>
      <c r="I18" s="1705">
        <f t="shared" si="0"/>
        <v>0</v>
      </c>
      <c r="J18" s="1077"/>
      <c r="K18" s="527">
        <f t="shared" si="2"/>
        <v>0</v>
      </c>
    </row>
    <row r="19" spans="1:11" ht="42">
      <c r="B19" s="1703" t="s">
        <v>2620</v>
      </c>
      <c r="C19" s="1684" t="s">
        <v>2621</v>
      </c>
      <c r="D19" s="1682"/>
      <c r="E19" s="1683"/>
      <c r="F19" s="1679"/>
      <c r="G19" s="1679"/>
      <c r="H19" s="1679"/>
      <c r="I19" s="1705">
        <f t="shared" si="0"/>
        <v>0</v>
      </c>
      <c r="J19" s="1077"/>
      <c r="K19" s="527">
        <f t="shared" si="2"/>
        <v>0</v>
      </c>
    </row>
    <row r="20" spans="1:11">
      <c r="B20" s="1703"/>
      <c r="C20" s="1676" t="s">
        <v>2622</v>
      </c>
      <c r="D20" s="1682" t="s">
        <v>4</v>
      </c>
      <c r="E20" s="1683">
        <v>15000</v>
      </c>
      <c r="F20" s="1679">
        <v>1</v>
      </c>
      <c r="G20" s="1679">
        <f>F20*E20</f>
        <v>15000</v>
      </c>
      <c r="H20" s="1679"/>
      <c r="I20" s="1705">
        <f t="shared" si="0"/>
        <v>0</v>
      </c>
      <c r="J20" s="1077"/>
      <c r="K20" s="527">
        <f t="shared" si="2"/>
        <v>0</v>
      </c>
    </row>
    <row r="21" spans="1:11">
      <c r="B21" s="1707"/>
      <c r="C21" s="1676" t="s">
        <v>2623</v>
      </c>
      <c r="D21" s="1682"/>
      <c r="E21" s="1683"/>
      <c r="F21" s="1679"/>
      <c r="G21" s="1679"/>
      <c r="H21" s="1679"/>
      <c r="I21" s="1705">
        <f t="shared" si="0"/>
        <v>0</v>
      </c>
      <c r="K21" s="527">
        <f t="shared" si="2"/>
        <v>0</v>
      </c>
    </row>
    <row r="22" spans="1:11" ht="86.25">
      <c r="A22" s="1672"/>
      <c r="B22" s="1703" t="s">
        <v>2624</v>
      </c>
      <c r="C22" s="1684" t="s">
        <v>2625</v>
      </c>
      <c r="D22" s="1682"/>
      <c r="E22" s="1683"/>
      <c r="F22" s="1679"/>
      <c r="G22" s="1679"/>
      <c r="H22" s="1679"/>
      <c r="I22" s="1705"/>
      <c r="K22" s="527">
        <f t="shared" si="2"/>
        <v>0</v>
      </c>
    </row>
    <row r="23" spans="1:11">
      <c r="A23" s="1672"/>
      <c r="B23" s="1703"/>
      <c r="C23" s="1684" t="s">
        <v>2626</v>
      </c>
      <c r="D23" s="1682"/>
      <c r="E23" s="1683"/>
      <c r="F23" s="1679"/>
      <c r="G23" s="1679"/>
      <c r="H23" s="1679"/>
      <c r="I23" s="1705"/>
      <c r="K23" s="527">
        <f t="shared" si="2"/>
        <v>0</v>
      </c>
    </row>
    <row r="24" spans="1:11">
      <c r="A24" s="1672"/>
      <c r="B24" s="1703"/>
      <c r="C24" s="1684" t="s">
        <v>3494</v>
      </c>
      <c r="D24" s="1682"/>
      <c r="E24" s="1683"/>
      <c r="F24" s="1679"/>
      <c r="G24" s="1679"/>
      <c r="H24" s="1679"/>
      <c r="I24" s="1705"/>
    </row>
    <row r="25" spans="1:11">
      <c r="A25" s="1672"/>
      <c r="B25" s="1703"/>
      <c r="C25" s="1684" t="s">
        <v>3495</v>
      </c>
      <c r="D25" s="1682"/>
      <c r="E25" s="1683"/>
      <c r="F25" s="1679"/>
      <c r="G25" s="1679"/>
      <c r="H25" s="1679"/>
      <c r="I25" s="1705"/>
    </row>
    <row r="26" spans="1:11">
      <c r="A26" s="1672"/>
      <c r="B26" s="1703" t="s">
        <v>3493</v>
      </c>
      <c r="C26" s="1684" t="s">
        <v>1483</v>
      </c>
      <c r="D26" s="1682" t="s">
        <v>1445</v>
      </c>
      <c r="E26" s="1683">
        <v>8</v>
      </c>
      <c r="F26" s="1679">
        <v>0</v>
      </c>
      <c r="G26" s="1679">
        <f>F26*E26</f>
        <v>0</v>
      </c>
      <c r="H26" s="1679">
        <f>Variation!D32</f>
        <v>41.602499999999999</v>
      </c>
      <c r="I26" s="1705">
        <f t="shared" si="0"/>
        <v>332.82</v>
      </c>
    </row>
    <row r="27" spans="1:11">
      <c r="A27" s="1672"/>
      <c r="B27" s="1703" t="s">
        <v>3497</v>
      </c>
      <c r="C27" s="1684" t="s">
        <v>3496</v>
      </c>
      <c r="D27" s="1682" t="s">
        <v>3445</v>
      </c>
      <c r="E27" s="1683">
        <v>550</v>
      </c>
      <c r="F27" s="1679">
        <v>0</v>
      </c>
      <c r="G27" s="1679">
        <f t="shared" ref="G27:G47" si="3">F27*E27</f>
        <v>0</v>
      </c>
      <c r="H27" s="1679">
        <f>Variation!D38</f>
        <v>23.119999999999997</v>
      </c>
      <c r="I27" s="1705">
        <f t="shared" si="0"/>
        <v>12715.999999999998</v>
      </c>
    </row>
    <row r="28" spans="1:11">
      <c r="A28" s="1672"/>
      <c r="B28" s="1703" t="s">
        <v>3499</v>
      </c>
      <c r="C28" s="1684" t="s">
        <v>3498</v>
      </c>
      <c r="D28" s="1682" t="s">
        <v>3445</v>
      </c>
      <c r="E28" s="1683">
        <v>150</v>
      </c>
      <c r="F28" s="1679">
        <v>0</v>
      </c>
      <c r="G28" s="1679">
        <f t="shared" si="3"/>
        <v>0</v>
      </c>
      <c r="H28" s="1679">
        <f>Variation!D44</f>
        <v>9.2159999999999993</v>
      </c>
      <c r="I28" s="1705">
        <f t="shared" si="0"/>
        <v>1382.3999999999999</v>
      </c>
    </row>
    <row r="29" spans="1:11">
      <c r="A29" s="1672"/>
      <c r="B29" s="1703" t="s">
        <v>3501</v>
      </c>
      <c r="C29" s="1684" t="s">
        <v>3500</v>
      </c>
      <c r="D29" s="1682" t="s">
        <v>3445</v>
      </c>
      <c r="E29" s="1683">
        <v>70</v>
      </c>
      <c r="F29" s="1679">
        <v>0</v>
      </c>
      <c r="G29" s="1679">
        <f t="shared" si="3"/>
        <v>0</v>
      </c>
      <c r="H29" s="1679">
        <f>Variation!D53</f>
        <v>35.600749999999998</v>
      </c>
      <c r="I29" s="1705">
        <f t="shared" si="0"/>
        <v>2492.0524999999998</v>
      </c>
    </row>
    <row r="30" spans="1:11">
      <c r="A30" s="1672"/>
      <c r="B30" s="1703" t="s">
        <v>3503</v>
      </c>
      <c r="C30" s="1684" t="s">
        <v>3502</v>
      </c>
      <c r="D30" s="1682" t="s">
        <v>1445</v>
      </c>
      <c r="E30" s="1683">
        <v>150</v>
      </c>
      <c r="F30" s="1679">
        <v>0</v>
      </c>
      <c r="G30" s="1679">
        <f t="shared" si="3"/>
        <v>0</v>
      </c>
      <c r="H30" s="1679">
        <f>Variation!D63</f>
        <v>9.7600000000000016</v>
      </c>
      <c r="I30" s="1705">
        <f t="shared" si="0"/>
        <v>1464.0000000000002</v>
      </c>
    </row>
    <row r="31" spans="1:11">
      <c r="A31" s="1672"/>
      <c r="B31" s="1703" t="s">
        <v>3505</v>
      </c>
      <c r="C31" s="1684" t="s">
        <v>3504</v>
      </c>
      <c r="D31" s="1682" t="s">
        <v>3445</v>
      </c>
      <c r="E31" s="1683">
        <v>3200</v>
      </c>
      <c r="F31" s="1679">
        <v>0</v>
      </c>
      <c r="G31" s="1679">
        <f t="shared" si="3"/>
        <v>0</v>
      </c>
      <c r="H31" s="1679">
        <f>Variation!H12</f>
        <v>1.44</v>
      </c>
      <c r="I31" s="1705">
        <f t="shared" si="0"/>
        <v>4608</v>
      </c>
    </row>
    <row r="32" spans="1:11">
      <c r="A32" s="1672"/>
      <c r="B32" s="1703" t="s">
        <v>3507</v>
      </c>
      <c r="C32" s="1684" t="s">
        <v>3506</v>
      </c>
      <c r="D32" s="1682" t="s">
        <v>3445</v>
      </c>
      <c r="E32" s="1683">
        <v>3200</v>
      </c>
      <c r="F32" s="1679">
        <v>0</v>
      </c>
      <c r="G32" s="1679">
        <f t="shared" si="3"/>
        <v>0</v>
      </c>
      <c r="H32" s="1679">
        <f>Variation!H18</f>
        <v>10.799999999999999</v>
      </c>
      <c r="I32" s="1705">
        <f t="shared" si="0"/>
        <v>34560</v>
      </c>
    </row>
    <row r="33" spans="1:11">
      <c r="A33" s="1672"/>
      <c r="B33" s="1703" t="s">
        <v>3509</v>
      </c>
      <c r="C33" s="1684" t="s">
        <v>3508</v>
      </c>
      <c r="D33" s="1682" t="s">
        <v>3445</v>
      </c>
      <c r="E33" s="1683">
        <v>3200</v>
      </c>
      <c r="F33" s="1679">
        <v>0</v>
      </c>
      <c r="G33" s="1679">
        <f t="shared" si="3"/>
        <v>0</v>
      </c>
      <c r="H33" s="1679">
        <f>Variation!H24</f>
        <v>2.3039999999999998</v>
      </c>
      <c r="I33" s="1705">
        <f t="shared" si="0"/>
        <v>7372.7999999999993</v>
      </c>
    </row>
    <row r="34" spans="1:11">
      <c r="A34" s="1672"/>
      <c r="B34" s="1703" t="s">
        <v>3510</v>
      </c>
      <c r="C34" s="1684" t="s">
        <v>3487</v>
      </c>
      <c r="D34" s="1682" t="s">
        <v>3445</v>
      </c>
      <c r="E34" s="1683">
        <v>3200</v>
      </c>
      <c r="F34" s="1679">
        <v>0</v>
      </c>
      <c r="G34" s="1679">
        <f t="shared" si="3"/>
        <v>0</v>
      </c>
      <c r="H34" s="1679">
        <f>Variation!H30</f>
        <v>1.44</v>
      </c>
      <c r="I34" s="1705">
        <f t="shared" si="0"/>
        <v>4608</v>
      </c>
    </row>
    <row r="35" spans="1:11">
      <c r="A35" s="1672"/>
      <c r="B35" s="1703" t="s">
        <v>3511</v>
      </c>
      <c r="C35" s="1684" t="s">
        <v>3490</v>
      </c>
      <c r="D35" s="1682" t="s">
        <v>3445</v>
      </c>
      <c r="E35" s="1683">
        <v>3200</v>
      </c>
      <c r="F35" s="1679">
        <v>0</v>
      </c>
      <c r="G35" s="1679">
        <f t="shared" ref="G35:G43" si="4">F35*E35</f>
        <v>0</v>
      </c>
      <c r="H35" s="1679">
        <f>Variation!H36</f>
        <v>1.9200000000000004</v>
      </c>
      <c r="I35" s="1705">
        <f t="shared" ref="I35:I43" si="5">H35*E35</f>
        <v>6144.0000000000009</v>
      </c>
    </row>
    <row r="36" spans="1:11">
      <c r="A36" s="1672"/>
      <c r="B36" s="1703" t="s">
        <v>3514</v>
      </c>
      <c r="C36" s="1684" t="s">
        <v>3513</v>
      </c>
      <c r="D36" s="1682" t="s">
        <v>3445</v>
      </c>
      <c r="E36" s="1683">
        <v>3200</v>
      </c>
      <c r="F36" s="1679">
        <v>0</v>
      </c>
      <c r="G36" s="1679">
        <f t="shared" si="4"/>
        <v>0</v>
      </c>
      <c r="H36" s="1679">
        <f>Variation!H42</f>
        <v>0.28000000000000003</v>
      </c>
      <c r="I36" s="1705">
        <f t="shared" si="5"/>
        <v>896.00000000000011</v>
      </c>
    </row>
    <row r="37" spans="1:11">
      <c r="A37" s="1672"/>
      <c r="B37" s="1703"/>
      <c r="C37" s="1684" t="s">
        <v>3515</v>
      </c>
      <c r="D37" s="1682"/>
      <c r="E37" s="1683"/>
      <c r="F37" s="1679"/>
      <c r="G37" s="1679"/>
      <c r="H37" s="1679"/>
      <c r="I37" s="1705"/>
    </row>
    <row r="38" spans="1:11">
      <c r="A38" s="1672"/>
      <c r="B38" s="1703" t="s">
        <v>3516</v>
      </c>
      <c r="C38" s="1684" t="s">
        <v>3504</v>
      </c>
      <c r="D38" s="1682" t="s">
        <v>1445</v>
      </c>
      <c r="E38" s="1683">
        <v>120</v>
      </c>
      <c r="F38" s="1679">
        <v>0</v>
      </c>
      <c r="G38" s="1679">
        <f t="shared" si="4"/>
        <v>0</v>
      </c>
      <c r="H38" s="1679">
        <f>Variation!H48</f>
        <v>9</v>
      </c>
      <c r="I38" s="1705">
        <f t="shared" si="5"/>
        <v>1080</v>
      </c>
    </row>
    <row r="39" spans="1:11">
      <c r="A39" s="1672"/>
      <c r="B39" s="1703" t="s">
        <v>3517</v>
      </c>
      <c r="C39" s="1684" t="s">
        <v>3506</v>
      </c>
      <c r="D39" s="1682" t="s">
        <v>1445</v>
      </c>
      <c r="E39" s="1683">
        <v>120</v>
      </c>
      <c r="F39" s="1679">
        <v>0</v>
      </c>
      <c r="G39" s="1679">
        <f t="shared" si="4"/>
        <v>0</v>
      </c>
      <c r="H39" s="1679">
        <f>Variation!D69</f>
        <v>30.33</v>
      </c>
      <c r="I39" s="1705">
        <f t="shared" si="5"/>
        <v>3639.6</v>
      </c>
    </row>
    <row r="40" spans="1:11">
      <c r="A40" s="1672"/>
      <c r="B40" s="1703" t="s">
        <v>3518</v>
      </c>
      <c r="C40" s="1684" t="s">
        <v>3508</v>
      </c>
      <c r="D40" s="1682" t="s">
        <v>1445</v>
      </c>
      <c r="E40" s="1683">
        <v>120</v>
      </c>
      <c r="F40" s="1679">
        <v>0</v>
      </c>
      <c r="G40" s="1679">
        <f t="shared" si="4"/>
        <v>0</v>
      </c>
      <c r="H40" s="1679">
        <f>Variation!D74</f>
        <v>76.800000000000011</v>
      </c>
      <c r="I40" s="1705">
        <f t="shared" si="5"/>
        <v>9216.0000000000018</v>
      </c>
    </row>
    <row r="41" spans="1:11">
      <c r="A41" s="1672"/>
      <c r="B41" s="1703" t="s">
        <v>3519</v>
      </c>
      <c r="C41" s="1684" t="s">
        <v>3487</v>
      </c>
      <c r="D41" s="1682" t="s">
        <v>1445</v>
      </c>
      <c r="E41" s="1683">
        <v>120</v>
      </c>
      <c r="F41" s="1679">
        <v>0</v>
      </c>
      <c r="G41" s="1679">
        <f t="shared" si="4"/>
        <v>0</v>
      </c>
      <c r="H41" s="1679">
        <f>Variation!D79</f>
        <v>4.8</v>
      </c>
      <c r="I41" s="1705">
        <f t="shared" si="5"/>
        <v>576</v>
      </c>
    </row>
    <row r="42" spans="1:11">
      <c r="A42" s="1672"/>
      <c r="B42" s="1703" t="s">
        <v>3520</v>
      </c>
      <c r="C42" s="1684" t="s">
        <v>3490</v>
      </c>
      <c r="D42" s="1682" t="s">
        <v>1445</v>
      </c>
      <c r="E42" s="1683">
        <v>120</v>
      </c>
      <c r="F42" s="1679">
        <v>0</v>
      </c>
      <c r="G42" s="1679">
        <f t="shared" si="4"/>
        <v>0</v>
      </c>
      <c r="H42" s="1679">
        <f>Variation!D84</f>
        <v>12</v>
      </c>
      <c r="I42" s="1705">
        <f t="shared" si="5"/>
        <v>1440</v>
      </c>
    </row>
    <row r="43" spans="1:11">
      <c r="A43" s="1672"/>
      <c r="B43" s="1703" t="s">
        <v>3521</v>
      </c>
      <c r="C43" s="1684" t="s">
        <v>3513</v>
      </c>
      <c r="D43" s="1682" t="s">
        <v>1445</v>
      </c>
      <c r="E43" s="1683">
        <v>120</v>
      </c>
      <c r="F43" s="1679">
        <v>0</v>
      </c>
      <c r="G43" s="1679">
        <f t="shared" si="4"/>
        <v>0</v>
      </c>
      <c r="H43" s="1679">
        <f>Variation!D89</f>
        <v>5.6000000000000005</v>
      </c>
      <c r="I43" s="1705">
        <f t="shared" si="5"/>
        <v>672.00000000000011</v>
      </c>
    </row>
    <row r="44" spans="1:11">
      <c r="A44" s="1672"/>
      <c r="B44" s="1703"/>
      <c r="C44" s="1684" t="s">
        <v>1454</v>
      </c>
      <c r="D44" s="1682"/>
      <c r="E44" s="1683"/>
      <c r="F44" s="1679"/>
      <c r="G44" s="1679"/>
      <c r="H44" s="1679"/>
      <c r="I44" s="1705"/>
    </row>
    <row r="45" spans="1:11">
      <c r="A45" s="1672"/>
      <c r="B45" s="1703">
        <v>2.11</v>
      </c>
      <c r="C45" s="1684" t="s">
        <v>3522</v>
      </c>
      <c r="D45" s="1682" t="s">
        <v>1450</v>
      </c>
      <c r="E45" s="1683">
        <v>36</v>
      </c>
      <c r="F45" s="1679">
        <v>0</v>
      </c>
      <c r="G45" s="1679">
        <f t="shared" si="3"/>
        <v>0</v>
      </c>
      <c r="H45" s="1679">
        <f>'Elev. Water Tank Rein.'!K30</f>
        <v>244.98240000000001</v>
      </c>
      <c r="I45" s="1705">
        <f t="shared" si="0"/>
        <v>8819.3664000000008</v>
      </c>
    </row>
    <row r="46" spans="1:11">
      <c r="A46" s="1672"/>
      <c r="B46" s="1703">
        <v>2.12</v>
      </c>
      <c r="C46" s="1684" t="s">
        <v>1467</v>
      </c>
      <c r="D46" s="1682" t="s">
        <v>1450</v>
      </c>
      <c r="E46" s="1683">
        <v>36</v>
      </c>
      <c r="F46" s="1679">
        <v>0</v>
      </c>
      <c r="G46" s="1679">
        <f t="shared" si="3"/>
        <v>0</v>
      </c>
      <c r="H46" s="1679">
        <f>'Elev. Water Tank Rein.'!J30</f>
        <v>524.36524320000012</v>
      </c>
      <c r="I46" s="1705">
        <f t="shared" si="0"/>
        <v>18877.148755200004</v>
      </c>
    </row>
    <row r="47" spans="1:11">
      <c r="A47" s="1672"/>
      <c r="B47" s="1703">
        <v>2.13</v>
      </c>
      <c r="C47" s="1684" t="s">
        <v>1451</v>
      </c>
      <c r="D47" s="1682" t="s">
        <v>1450</v>
      </c>
      <c r="E47" s="1683">
        <v>36</v>
      </c>
      <c r="F47" s="1679">
        <v>0</v>
      </c>
      <c r="G47" s="1679">
        <f t="shared" si="3"/>
        <v>0</v>
      </c>
      <c r="H47" s="1679">
        <f>'Elev. Water Tank Rein.'!H30</f>
        <v>200.66</v>
      </c>
      <c r="I47" s="1705">
        <f t="shared" si="0"/>
        <v>7223.76</v>
      </c>
    </row>
    <row r="48" spans="1:11">
      <c r="B48" s="1706"/>
      <c r="C48" s="1685" t="s">
        <v>2628</v>
      </c>
      <c r="D48" s="1675"/>
      <c r="E48" s="1686"/>
      <c r="F48" s="1679"/>
      <c r="G48" s="1680"/>
      <c r="H48" s="1687"/>
      <c r="I48" s="1705"/>
      <c r="K48" s="527">
        <f t="shared" ref="K48:K53" si="6">H48*E48</f>
        <v>0</v>
      </c>
    </row>
    <row r="49" spans="2:11">
      <c r="B49" s="1703" t="s">
        <v>2629</v>
      </c>
      <c r="C49" s="1681" t="s">
        <v>3512</v>
      </c>
      <c r="D49" s="1682" t="s">
        <v>4</v>
      </c>
      <c r="E49" s="1683">
        <v>294000</v>
      </c>
      <c r="F49" s="1679">
        <v>2</v>
      </c>
      <c r="G49" s="1687">
        <f>E49*F49</f>
        <v>588000</v>
      </c>
      <c r="H49" s="1687">
        <f>'Site TOS'!D10:D10</f>
        <v>2</v>
      </c>
      <c r="I49" s="1705">
        <f t="shared" si="0"/>
        <v>588000</v>
      </c>
      <c r="K49" s="527">
        <f t="shared" si="6"/>
        <v>588000</v>
      </c>
    </row>
    <row r="50" spans="2:11">
      <c r="B50" s="1703"/>
      <c r="C50" s="1676" t="s">
        <v>2627</v>
      </c>
      <c r="D50" s="1680"/>
      <c r="E50" s="1678"/>
      <c r="F50" s="1680"/>
      <c r="G50" s="1677"/>
      <c r="H50" s="1688"/>
      <c r="I50" s="1705"/>
      <c r="K50" s="527">
        <f t="shared" si="6"/>
        <v>0</v>
      </c>
    </row>
    <row r="51" spans="2:11" s="524" customFormat="1">
      <c r="B51" s="1703" t="s">
        <v>2630</v>
      </c>
      <c r="C51" s="1681" t="s">
        <v>2631</v>
      </c>
      <c r="D51" s="1682" t="s">
        <v>4</v>
      </c>
      <c r="E51" s="1683">
        <v>293000</v>
      </c>
      <c r="F51" s="1679">
        <v>4</v>
      </c>
      <c r="G51" s="1688">
        <f>E51*F51</f>
        <v>1172000</v>
      </c>
      <c r="H51" s="1688">
        <f>'Site TOS'!D14</f>
        <v>4</v>
      </c>
      <c r="I51" s="1705">
        <f t="shared" si="0"/>
        <v>1172000</v>
      </c>
      <c r="K51" s="527">
        <f t="shared" si="6"/>
        <v>1172000</v>
      </c>
    </row>
    <row r="52" spans="2:11">
      <c r="B52" s="1720" t="s">
        <v>2632</v>
      </c>
      <c r="C52" s="1721" t="s">
        <v>2633</v>
      </c>
      <c r="D52" s="1722" t="s">
        <v>4</v>
      </c>
      <c r="E52" s="1723">
        <v>430000</v>
      </c>
      <c r="F52" s="1724">
        <v>3</v>
      </c>
      <c r="G52" s="1725">
        <f>E52*F52</f>
        <v>1290000</v>
      </c>
      <c r="H52" s="1725">
        <f>'Site TOS'!D18</f>
        <v>3</v>
      </c>
      <c r="I52" s="1726">
        <f t="shared" si="0"/>
        <v>1290000</v>
      </c>
      <c r="K52" s="527">
        <f t="shared" si="6"/>
        <v>1290000</v>
      </c>
    </row>
    <row r="53" spans="2:11" s="1079" customFormat="1" ht="26.25">
      <c r="B53" s="2401" t="s">
        <v>2634</v>
      </c>
      <c r="C53" s="2401"/>
      <c r="D53" s="2401"/>
      <c r="E53" s="1733"/>
      <c r="F53" s="1734"/>
      <c r="G53" s="1735">
        <f>SUM(G9:G52)</f>
        <v>3342212</v>
      </c>
      <c r="H53" s="1736"/>
      <c r="I53" s="1737">
        <f>SUM(I9:I52)</f>
        <v>3192226.9048052002</v>
      </c>
      <c r="K53" s="527">
        <f t="shared" si="6"/>
        <v>0</v>
      </c>
    </row>
    <row r="54" spans="2:11" s="524" customFormat="1">
      <c r="B54" s="1727"/>
      <c r="C54" s="1728" t="s">
        <v>2587</v>
      </c>
      <c r="D54" s="1729"/>
      <c r="E54" s="1730"/>
      <c r="F54" s="1717"/>
      <c r="G54" s="1731"/>
      <c r="H54" s="1731"/>
      <c r="I54" s="1732"/>
      <c r="K54" s="527"/>
    </row>
    <row r="55" spans="2:11" s="524" customFormat="1">
      <c r="B55" s="1706">
        <v>3</v>
      </c>
      <c r="C55" s="1681" t="s">
        <v>3365</v>
      </c>
      <c r="D55" s="1675"/>
      <c r="E55" s="1683"/>
      <c r="F55" s="1679"/>
      <c r="G55" s="1688"/>
      <c r="H55" s="1688"/>
      <c r="I55" s="1708"/>
      <c r="K55" s="527"/>
    </row>
    <row r="56" spans="2:11" s="524" customFormat="1" ht="42">
      <c r="B56" s="1706">
        <v>3.1</v>
      </c>
      <c r="C56" s="1681" t="s">
        <v>3366</v>
      </c>
      <c r="D56" s="1675"/>
      <c r="E56" s="1683"/>
      <c r="F56" s="1679"/>
      <c r="G56" s="1688"/>
      <c r="H56" s="1688"/>
      <c r="I56" s="1708"/>
      <c r="K56" s="527"/>
    </row>
    <row r="57" spans="2:11" s="524" customFormat="1">
      <c r="B57" s="1706"/>
      <c r="C57" s="1681" t="s">
        <v>3367</v>
      </c>
      <c r="D57" s="1675" t="s">
        <v>4</v>
      </c>
      <c r="E57" s="1683">
        <v>5000</v>
      </c>
      <c r="F57" s="1679">
        <v>1</v>
      </c>
      <c r="G57" s="1688">
        <f t="shared" ref="G57:G68" si="7">E57*F57</f>
        <v>5000</v>
      </c>
      <c r="H57" s="1688"/>
      <c r="I57" s="1705">
        <f t="shared" ref="I57:I68" si="8">H57*E57</f>
        <v>0</v>
      </c>
      <c r="K57" s="527"/>
    </row>
    <row r="58" spans="2:11" s="524" customFormat="1">
      <c r="B58" s="1706"/>
      <c r="C58" s="1681" t="s">
        <v>3368</v>
      </c>
      <c r="D58" s="1675" t="s">
        <v>4</v>
      </c>
      <c r="E58" s="1683">
        <v>5000</v>
      </c>
      <c r="F58" s="1679">
        <v>9</v>
      </c>
      <c r="G58" s="1688">
        <f t="shared" si="7"/>
        <v>45000</v>
      </c>
      <c r="H58" s="1688">
        <f>'Site TOS'!D24</f>
        <v>6</v>
      </c>
      <c r="I58" s="1705">
        <f t="shared" si="8"/>
        <v>30000</v>
      </c>
      <c r="K58" s="527"/>
    </row>
    <row r="59" spans="2:11" s="524" customFormat="1">
      <c r="B59" s="1706"/>
      <c r="C59" s="1681" t="s">
        <v>3369</v>
      </c>
      <c r="D59" s="1675" t="s">
        <v>4</v>
      </c>
      <c r="E59" s="1683">
        <v>3500</v>
      </c>
      <c r="F59" s="1679">
        <v>9</v>
      </c>
      <c r="G59" s="1688">
        <f t="shared" si="7"/>
        <v>31500</v>
      </c>
      <c r="H59" s="1688">
        <f>'Site TOS'!D27</f>
        <v>3</v>
      </c>
      <c r="I59" s="1705">
        <f t="shared" si="8"/>
        <v>10500</v>
      </c>
      <c r="K59" s="527"/>
    </row>
    <row r="60" spans="2:11" s="524" customFormat="1" ht="42">
      <c r="B60" s="1706">
        <v>3.2</v>
      </c>
      <c r="C60" s="1681" t="s">
        <v>3370</v>
      </c>
      <c r="D60" s="1675" t="s">
        <v>1331</v>
      </c>
      <c r="E60" s="1767">
        <f>684.97+70</f>
        <v>754.97</v>
      </c>
      <c r="F60" s="1679">
        <v>16.8</v>
      </c>
      <c r="G60" s="1688">
        <f t="shared" si="7"/>
        <v>12683.496000000001</v>
      </c>
      <c r="H60" s="1688">
        <f>Variation!H77</f>
        <v>365.6</v>
      </c>
      <c r="I60" s="1705">
        <f t="shared" si="8"/>
        <v>276017.03200000001</v>
      </c>
      <c r="K60" s="527"/>
    </row>
    <row r="61" spans="2:11" s="524" customFormat="1">
      <c r="B61" s="1706">
        <v>4</v>
      </c>
      <c r="C61" s="1681" t="s">
        <v>3371</v>
      </c>
      <c r="D61" s="1675"/>
      <c r="E61" s="1683"/>
      <c r="F61" s="1679"/>
      <c r="G61" s="1688"/>
      <c r="H61" s="1688"/>
      <c r="I61" s="1705">
        <f t="shared" si="8"/>
        <v>0</v>
      </c>
      <c r="K61" s="527"/>
    </row>
    <row r="62" spans="2:11" s="524" customFormat="1">
      <c r="B62" s="1706">
        <v>4.0999999999999996</v>
      </c>
      <c r="C62" s="1681" t="s">
        <v>3372</v>
      </c>
      <c r="D62" s="1675" t="s">
        <v>1331</v>
      </c>
      <c r="E62" s="1683">
        <v>2000</v>
      </c>
      <c r="F62" s="1679">
        <v>17.5</v>
      </c>
      <c r="G62" s="1688">
        <f t="shared" si="7"/>
        <v>35000</v>
      </c>
      <c r="H62" s="1688"/>
      <c r="I62" s="1705">
        <f t="shared" si="8"/>
        <v>0</v>
      </c>
      <c r="K62" s="527"/>
    </row>
    <row r="63" spans="2:11" s="524" customFormat="1">
      <c r="B63" s="1706">
        <v>4.2</v>
      </c>
      <c r="C63" s="1681" t="s">
        <v>3373</v>
      </c>
      <c r="D63" s="1675" t="s">
        <v>1331</v>
      </c>
      <c r="E63" s="1683">
        <v>1000</v>
      </c>
      <c r="F63" s="1679">
        <v>70</v>
      </c>
      <c r="G63" s="1688">
        <f t="shared" si="7"/>
        <v>70000</v>
      </c>
      <c r="H63" s="1688"/>
      <c r="I63" s="1705">
        <f t="shared" si="8"/>
        <v>0</v>
      </c>
      <c r="K63" s="527"/>
    </row>
    <row r="64" spans="2:11" s="524" customFormat="1">
      <c r="B64" s="1706">
        <v>4.3</v>
      </c>
      <c r="C64" s="1681" t="s">
        <v>3374</v>
      </c>
      <c r="D64" s="1675" t="s">
        <v>1331</v>
      </c>
      <c r="E64" s="1683">
        <v>230</v>
      </c>
      <c r="F64" s="1679">
        <v>140</v>
      </c>
      <c r="G64" s="1688">
        <f t="shared" si="7"/>
        <v>32200</v>
      </c>
      <c r="H64" s="1688"/>
      <c r="I64" s="1705">
        <f t="shared" si="8"/>
        <v>0</v>
      </c>
      <c r="K64" s="527"/>
    </row>
    <row r="65" spans="2:11" s="524" customFormat="1">
      <c r="B65" s="1706">
        <v>4.4000000000000004</v>
      </c>
      <c r="C65" s="1681" t="s">
        <v>3375</v>
      </c>
      <c r="D65" s="1675" t="s">
        <v>1331</v>
      </c>
      <c r="E65" s="1683">
        <v>200</v>
      </c>
      <c r="F65" s="1679">
        <v>210</v>
      </c>
      <c r="G65" s="1688">
        <f t="shared" si="7"/>
        <v>42000</v>
      </c>
      <c r="H65" s="1688"/>
      <c r="I65" s="1705">
        <f t="shared" si="8"/>
        <v>0</v>
      </c>
      <c r="K65" s="527"/>
    </row>
    <row r="66" spans="2:11" s="524" customFormat="1">
      <c r="B66" s="1706">
        <v>4.5</v>
      </c>
      <c r="C66" s="1681" t="s">
        <v>1725</v>
      </c>
      <c r="D66" s="1675" t="s">
        <v>1331</v>
      </c>
      <c r="E66" s="1683">
        <v>115</v>
      </c>
      <c r="F66" s="1679">
        <v>448</v>
      </c>
      <c r="G66" s="1688">
        <f t="shared" si="7"/>
        <v>51520</v>
      </c>
      <c r="H66" s="1688"/>
      <c r="I66" s="1705">
        <f t="shared" si="8"/>
        <v>0</v>
      </c>
      <c r="K66" s="527"/>
    </row>
    <row r="67" spans="2:11" s="524" customFormat="1">
      <c r="B67" s="1706">
        <v>4.5999999999999996</v>
      </c>
      <c r="C67" s="1681" t="s">
        <v>3377</v>
      </c>
      <c r="D67" s="1675" t="s">
        <v>1331</v>
      </c>
      <c r="E67" s="1683">
        <v>70</v>
      </c>
      <c r="F67" s="1679"/>
      <c r="G67" s="1688">
        <f t="shared" si="7"/>
        <v>0</v>
      </c>
      <c r="H67" s="1688">
        <f>'Site TOS'!D32</f>
        <v>131</v>
      </c>
      <c r="I67" s="1705">
        <f t="shared" si="8"/>
        <v>9170</v>
      </c>
      <c r="K67" s="527"/>
    </row>
    <row r="68" spans="2:11" s="524" customFormat="1">
      <c r="B68" s="1738">
        <v>4.7</v>
      </c>
      <c r="C68" s="1739" t="s">
        <v>3378</v>
      </c>
      <c r="D68" s="1740" t="s">
        <v>1331</v>
      </c>
      <c r="E68" s="1723">
        <v>210</v>
      </c>
      <c r="F68" s="1724"/>
      <c r="G68" s="1725">
        <f t="shared" si="7"/>
        <v>0</v>
      </c>
      <c r="H68" s="1725">
        <f>'Site TOS'!D36</f>
        <v>154</v>
      </c>
      <c r="I68" s="1726">
        <f t="shared" si="8"/>
        <v>32340</v>
      </c>
      <c r="K68" s="527"/>
    </row>
    <row r="69" spans="2:11" s="1079" customFormat="1" ht="26.25">
      <c r="B69" s="2401" t="s">
        <v>2634</v>
      </c>
      <c r="C69" s="2401"/>
      <c r="D69" s="2401"/>
      <c r="E69" s="1733"/>
      <c r="F69" s="1734"/>
      <c r="G69" s="1735">
        <f>SUM(G22:G68)</f>
        <v>6717115.4960000003</v>
      </c>
      <c r="H69" s="1736"/>
      <c r="I69" s="1737">
        <f>SUM(I57:I68)</f>
        <v>358027.03200000001</v>
      </c>
      <c r="K69" s="527">
        <f t="shared" ref="K69:K103" si="9">H69*E69</f>
        <v>0</v>
      </c>
    </row>
    <row r="70" spans="2:11">
      <c r="B70" s="1727"/>
      <c r="C70" s="1741" t="s">
        <v>2635</v>
      </c>
      <c r="D70" s="1729"/>
      <c r="E70" s="1742"/>
      <c r="F70" s="1717"/>
      <c r="G70" s="1715"/>
      <c r="H70" s="1743"/>
      <c r="I70" s="1732"/>
      <c r="K70" s="527">
        <f t="shared" si="9"/>
        <v>0</v>
      </c>
    </row>
    <row r="71" spans="2:11">
      <c r="B71" s="1706"/>
      <c r="C71" s="1676" t="s">
        <v>2636</v>
      </c>
      <c r="D71" s="1682"/>
      <c r="E71" s="1683"/>
      <c r="F71" s="1680"/>
      <c r="G71" s="1682"/>
      <c r="H71" s="1682"/>
      <c r="I71" s="1705"/>
      <c r="K71" s="527">
        <f t="shared" si="9"/>
        <v>0</v>
      </c>
    </row>
    <row r="72" spans="2:11" ht="23.25">
      <c r="B72" s="1706" t="s">
        <v>2637</v>
      </c>
      <c r="C72" s="1681" t="s">
        <v>2638</v>
      </c>
      <c r="D72" s="1675" t="s">
        <v>1832</v>
      </c>
      <c r="E72" s="1683">
        <v>70</v>
      </c>
      <c r="F72" s="1679">
        <v>120</v>
      </c>
      <c r="G72" s="1682">
        <f>F72*E72</f>
        <v>8400</v>
      </c>
      <c r="H72" s="1682">
        <f>'Site TOS'!H23</f>
        <v>671.61250000000007</v>
      </c>
      <c r="I72" s="1705">
        <f t="shared" ref="I72:I91" si="10">H72*E72</f>
        <v>47012.875000000007</v>
      </c>
      <c r="K72" s="527">
        <f t="shared" si="9"/>
        <v>47012.875000000007</v>
      </c>
    </row>
    <row r="73" spans="2:11" ht="23.25">
      <c r="B73" s="1706" t="s">
        <v>2639</v>
      </c>
      <c r="C73" s="1681" t="s">
        <v>3447</v>
      </c>
      <c r="D73" s="1675" t="s">
        <v>1832</v>
      </c>
      <c r="E73" s="1683">
        <v>70</v>
      </c>
      <c r="F73" s="1679">
        <v>120</v>
      </c>
      <c r="G73" s="1682">
        <f t="shared" ref="G73:G82" si="11">F73*E73</f>
        <v>8400</v>
      </c>
      <c r="H73" s="1682">
        <f>'Site TOS'!H27</f>
        <v>671.61250000000007</v>
      </c>
      <c r="I73" s="1705">
        <f t="shared" si="10"/>
        <v>47012.875000000007</v>
      </c>
      <c r="K73" s="527">
        <f t="shared" si="9"/>
        <v>47012.875000000007</v>
      </c>
    </row>
    <row r="74" spans="2:11">
      <c r="B74" s="1706"/>
      <c r="C74" s="1676" t="s">
        <v>2640</v>
      </c>
      <c r="D74" s="1682"/>
      <c r="E74" s="1683"/>
      <c r="F74" s="1679"/>
      <c r="G74" s="1682"/>
      <c r="H74" s="1682"/>
      <c r="I74" s="1705">
        <f t="shared" si="10"/>
        <v>0</v>
      </c>
      <c r="K74" s="527">
        <f t="shared" si="9"/>
        <v>0</v>
      </c>
    </row>
    <row r="75" spans="2:11" ht="63">
      <c r="B75" s="1706" t="s">
        <v>2641</v>
      </c>
      <c r="C75" s="1681" t="s">
        <v>2642</v>
      </c>
      <c r="D75" s="1675" t="s">
        <v>1831</v>
      </c>
      <c r="E75" s="1683">
        <v>200</v>
      </c>
      <c r="F75" s="1679">
        <v>120</v>
      </c>
      <c r="G75" s="1679">
        <f t="shared" si="11"/>
        <v>24000</v>
      </c>
      <c r="H75" s="1679">
        <f>'Site TOS'!H61</f>
        <v>1557.6875</v>
      </c>
      <c r="I75" s="1705">
        <f t="shared" si="10"/>
        <v>311537.5</v>
      </c>
      <c r="K75" s="527">
        <f t="shared" si="9"/>
        <v>311537.5</v>
      </c>
    </row>
    <row r="76" spans="2:11">
      <c r="B76" s="1706"/>
      <c r="C76" s="1676" t="s">
        <v>2643</v>
      </c>
      <c r="D76" s="1675"/>
      <c r="E76" s="1683"/>
      <c r="F76" s="1679"/>
      <c r="G76" s="1679"/>
      <c r="H76" s="1679"/>
      <c r="I76" s="1705">
        <f t="shared" si="10"/>
        <v>0</v>
      </c>
      <c r="K76" s="527">
        <f t="shared" si="9"/>
        <v>0</v>
      </c>
    </row>
    <row r="77" spans="2:11" ht="63">
      <c r="B77" s="1706" t="s">
        <v>2644</v>
      </c>
      <c r="C77" s="1681" t="s">
        <v>2645</v>
      </c>
      <c r="D77" s="1675" t="s">
        <v>1831</v>
      </c>
      <c r="E77" s="1683">
        <v>200</v>
      </c>
      <c r="F77" s="1679">
        <v>120</v>
      </c>
      <c r="G77" s="1679">
        <f t="shared" si="11"/>
        <v>24000</v>
      </c>
      <c r="H77" s="1679"/>
      <c r="I77" s="1705">
        <f t="shared" si="10"/>
        <v>0</v>
      </c>
      <c r="K77" s="527">
        <f t="shared" si="9"/>
        <v>0</v>
      </c>
    </row>
    <row r="78" spans="2:11">
      <c r="B78" s="1706"/>
      <c r="C78" s="1676" t="s">
        <v>2646</v>
      </c>
      <c r="D78" s="1682"/>
      <c r="E78" s="1683"/>
      <c r="F78" s="1679"/>
      <c r="G78" s="1679"/>
      <c r="H78" s="1679"/>
      <c r="I78" s="1705">
        <f t="shared" si="10"/>
        <v>0</v>
      </c>
      <c r="K78" s="527">
        <f t="shared" si="9"/>
        <v>0</v>
      </c>
    </row>
    <row r="79" spans="2:11" ht="147">
      <c r="B79" s="1706" t="s">
        <v>2647</v>
      </c>
      <c r="C79" s="1681" t="s">
        <v>2648</v>
      </c>
      <c r="D79" s="1675" t="s">
        <v>1831</v>
      </c>
      <c r="E79" s="1683">
        <v>200</v>
      </c>
      <c r="F79" s="1679">
        <v>120</v>
      </c>
      <c r="G79" s="1679">
        <f t="shared" si="11"/>
        <v>24000</v>
      </c>
      <c r="H79" s="1679"/>
      <c r="I79" s="1705">
        <f t="shared" si="10"/>
        <v>0</v>
      </c>
      <c r="K79" s="527">
        <f t="shared" si="9"/>
        <v>0</v>
      </c>
    </row>
    <row r="80" spans="2:11" s="524" customFormat="1" ht="23.25">
      <c r="B80" s="1706" t="s">
        <v>2649</v>
      </c>
      <c r="C80" s="1681" t="s">
        <v>2650</v>
      </c>
      <c r="D80" s="1675" t="s">
        <v>1831</v>
      </c>
      <c r="E80" s="1683">
        <v>260</v>
      </c>
      <c r="F80" s="1679">
        <v>120</v>
      </c>
      <c r="G80" s="1679">
        <f t="shared" si="11"/>
        <v>31200</v>
      </c>
      <c r="H80" s="1679">
        <f>'Site TOS'!D79</f>
        <v>463.9375</v>
      </c>
      <c r="I80" s="1705">
        <f t="shared" si="10"/>
        <v>120623.75</v>
      </c>
      <c r="K80" s="527">
        <f t="shared" si="9"/>
        <v>120623.75</v>
      </c>
    </row>
    <row r="81" spans="2:11">
      <c r="B81" s="1706"/>
      <c r="C81" s="1676" t="s">
        <v>2651</v>
      </c>
      <c r="D81" s="1682"/>
      <c r="E81" s="1683"/>
      <c r="F81" s="1679"/>
      <c r="G81" s="1679"/>
      <c r="H81" s="1679"/>
      <c r="I81" s="1705">
        <f t="shared" si="10"/>
        <v>0</v>
      </c>
      <c r="K81" s="527">
        <f t="shared" si="9"/>
        <v>0</v>
      </c>
    </row>
    <row r="82" spans="2:11" ht="84">
      <c r="B82" s="1706" t="s">
        <v>2652</v>
      </c>
      <c r="C82" s="1681" t="s">
        <v>2653</v>
      </c>
      <c r="D82" s="1682" t="s">
        <v>1406</v>
      </c>
      <c r="E82" s="1683">
        <v>265</v>
      </c>
      <c r="F82" s="1679">
        <v>220</v>
      </c>
      <c r="G82" s="1679">
        <f t="shared" si="11"/>
        <v>58300</v>
      </c>
      <c r="H82" s="1679">
        <f>'Site TOS'!D88</f>
        <v>348</v>
      </c>
      <c r="I82" s="1705">
        <f t="shared" si="10"/>
        <v>92220</v>
      </c>
      <c r="K82" s="527">
        <f t="shared" si="9"/>
        <v>92220</v>
      </c>
    </row>
    <row r="83" spans="2:11">
      <c r="B83" s="1706"/>
      <c r="C83" s="1676" t="s">
        <v>2654</v>
      </c>
      <c r="D83" s="1682"/>
      <c r="E83" s="1683"/>
      <c r="F83" s="1679"/>
      <c r="G83" s="1679"/>
      <c r="H83" s="1679"/>
      <c r="I83" s="1705">
        <f t="shared" si="10"/>
        <v>0</v>
      </c>
      <c r="K83" s="527">
        <f t="shared" si="9"/>
        <v>0</v>
      </c>
    </row>
    <row r="84" spans="2:11">
      <c r="B84" s="1706"/>
      <c r="C84" s="1676" t="s">
        <v>2655</v>
      </c>
      <c r="D84" s="1682"/>
      <c r="E84" s="1683"/>
      <c r="F84" s="1679"/>
      <c r="G84" s="1679"/>
      <c r="H84" s="1679"/>
      <c r="I84" s="1705">
        <f t="shared" si="10"/>
        <v>0</v>
      </c>
      <c r="K84" s="527">
        <f t="shared" si="9"/>
        <v>0</v>
      </c>
    </row>
    <row r="85" spans="2:11" ht="23.25">
      <c r="B85" s="1706">
        <v>3.1</v>
      </c>
      <c r="C85" s="1681" t="s">
        <v>2656</v>
      </c>
      <c r="D85" s="1675" t="s">
        <v>1832</v>
      </c>
      <c r="E85" s="1683">
        <v>70</v>
      </c>
      <c r="F85" s="1679">
        <v>150</v>
      </c>
      <c r="G85" s="1679">
        <f>E85*F85</f>
        <v>10500</v>
      </c>
      <c r="H85" s="1679">
        <f>'Site TOS'!D96</f>
        <v>131.5</v>
      </c>
      <c r="I85" s="1705">
        <f t="shared" si="10"/>
        <v>9205</v>
      </c>
      <c r="K85" s="527">
        <f t="shared" si="9"/>
        <v>9205</v>
      </c>
    </row>
    <row r="86" spans="2:11" ht="23.25">
      <c r="B86" s="1706">
        <v>3.2</v>
      </c>
      <c r="C86" s="1681" t="s">
        <v>2657</v>
      </c>
      <c r="D86" s="1675" t="s">
        <v>1832</v>
      </c>
      <c r="E86" s="1683">
        <v>70</v>
      </c>
      <c r="F86" s="1679">
        <v>150</v>
      </c>
      <c r="G86" s="1679">
        <f>E86*F86</f>
        <v>10500</v>
      </c>
      <c r="H86" s="1679">
        <f>'Site TOS'!D99</f>
        <v>131.5</v>
      </c>
      <c r="I86" s="1705">
        <f t="shared" si="10"/>
        <v>9205</v>
      </c>
      <c r="K86" s="527">
        <f t="shared" si="9"/>
        <v>9205</v>
      </c>
    </row>
    <row r="87" spans="2:11" ht="23.25">
      <c r="B87" s="1706">
        <v>3.3</v>
      </c>
      <c r="C87" s="1681" t="s">
        <v>2658</v>
      </c>
      <c r="D87" s="1675" t="s">
        <v>1832</v>
      </c>
      <c r="E87" s="1683">
        <v>1250</v>
      </c>
      <c r="F87" s="1679">
        <v>150</v>
      </c>
      <c r="G87" s="1679">
        <f t="shared" ref="G87:G91" si="12">E87*F87</f>
        <v>187500</v>
      </c>
      <c r="H87" s="1679">
        <f>'Site TOS'!D109</f>
        <v>62.5</v>
      </c>
      <c r="I87" s="1705">
        <f t="shared" si="10"/>
        <v>78125</v>
      </c>
      <c r="K87" s="527">
        <f t="shared" si="9"/>
        <v>78125</v>
      </c>
    </row>
    <row r="88" spans="2:11" ht="42">
      <c r="B88" s="1706">
        <v>3.4</v>
      </c>
      <c r="C88" s="1681" t="s">
        <v>2659</v>
      </c>
      <c r="D88" s="1675" t="s">
        <v>1832</v>
      </c>
      <c r="E88" s="1683">
        <v>1450</v>
      </c>
      <c r="F88" s="1679">
        <v>150</v>
      </c>
      <c r="G88" s="1679">
        <f>F88*E88</f>
        <v>217500</v>
      </c>
      <c r="H88" s="1679">
        <f>'Site TOS'!D114</f>
        <v>100</v>
      </c>
      <c r="I88" s="1705">
        <f t="shared" si="10"/>
        <v>145000</v>
      </c>
      <c r="K88" s="527">
        <f t="shared" si="9"/>
        <v>145000</v>
      </c>
    </row>
    <row r="89" spans="2:11" ht="42">
      <c r="B89" s="1706">
        <v>3.5</v>
      </c>
      <c r="C89" s="1681" t="s">
        <v>2660</v>
      </c>
      <c r="D89" s="1675" t="s">
        <v>1832</v>
      </c>
      <c r="E89" s="1683">
        <v>1450</v>
      </c>
      <c r="F89" s="1679">
        <v>190</v>
      </c>
      <c r="G89" s="1679">
        <f t="shared" si="12"/>
        <v>275500</v>
      </c>
      <c r="H89" s="1679">
        <f>'Site TOS'!D120</f>
        <v>23.87</v>
      </c>
      <c r="I89" s="1705">
        <f t="shared" si="10"/>
        <v>34611.5</v>
      </c>
      <c r="K89" s="527">
        <f t="shared" si="9"/>
        <v>34611.5</v>
      </c>
    </row>
    <row r="90" spans="2:11" ht="63">
      <c r="B90" s="1706">
        <v>3.6</v>
      </c>
      <c r="C90" s="1689" t="s">
        <v>2661</v>
      </c>
      <c r="D90" s="1675" t="s">
        <v>1831</v>
      </c>
      <c r="E90" s="1683">
        <v>1300</v>
      </c>
      <c r="F90" s="1679">
        <v>181</v>
      </c>
      <c r="G90" s="1679">
        <f t="shared" si="12"/>
        <v>235300</v>
      </c>
      <c r="H90" s="1682">
        <f>'Site TOS'!H69</f>
        <v>151.19999999999999</v>
      </c>
      <c r="I90" s="1705">
        <f t="shared" si="10"/>
        <v>196559.99999999997</v>
      </c>
      <c r="K90" s="527">
        <f t="shared" si="9"/>
        <v>196559.99999999997</v>
      </c>
    </row>
    <row r="91" spans="2:11" ht="63">
      <c r="B91" s="1706">
        <v>3.7</v>
      </c>
      <c r="C91" s="1681" t="s">
        <v>2662</v>
      </c>
      <c r="D91" s="1675" t="s">
        <v>1831</v>
      </c>
      <c r="E91" s="1683">
        <v>130</v>
      </c>
      <c r="F91" s="1679">
        <v>1400</v>
      </c>
      <c r="G91" s="1679">
        <f t="shared" si="12"/>
        <v>182000</v>
      </c>
      <c r="H91" s="1679">
        <f>'Site TOS'!H81</f>
        <v>1704</v>
      </c>
      <c r="I91" s="1705">
        <f t="shared" si="10"/>
        <v>221520</v>
      </c>
      <c r="K91" s="527">
        <f t="shared" si="9"/>
        <v>221520</v>
      </c>
    </row>
    <row r="92" spans="2:11" s="1079" customFormat="1" ht="26.25">
      <c r="B92" s="2401" t="s">
        <v>2634</v>
      </c>
      <c r="C92" s="2401"/>
      <c r="D92" s="2401"/>
      <c r="E92" s="1733"/>
      <c r="F92" s="1734"/>
      <c r="G92" s="1745">
        <v>1345100</v>
      </c>
      <c r="H92" s="1734"/>
      <c r="I92" s="1737">
        <f>SUM(I72:I91)</f>
        <v>1312633.5</v>
      </c>
      <c r="K92" s="527">
        <f t="shared" si="9"/>
        <v>0</v>
      </c>
    </row>
    <row r="93" spans="2:11">
      <c r="B93" s="1727"/>
      <c r="C93" s="1741" t="s">
        <v>2589</v>
      </c>
      <c r="D93" s="1741"/>
      <c r="E93" s="1744"/>
      <c r="F93" s="1741"/>
      <c r="G93" s="1741"/>
      <c r="H93" s="1741"/>
      <c r="I93" s="1719"/>
      <c r="K93" s="527">
        <f t="shared" si="9"/>
        <v>0</v>
      </c>
    </row>
    <row r="94" spans="2:11">
      <c r="B94" s="1706"/>
      <c r="C94" s="1676" t="s">
        <v>2663</v>
      </c>
      <c r="D94" s="1682"/>
      <c r="E94" s="1690"/>
      <c r="F94" s="1680"/>
      <c r="G94" s="1680"/>
      <c r="H94" s="1680"/>
      <c r="I94" s="1704"/>
      <c r="K94" s="527">
        <f t="shared" si="9"/>
        <v>0</v>
      </c>
    </row>
    <row r="95" spans="2:11" ht="23.25">
      <c r="B95" s="1709">
        <v>1.1000000000000001</v>
      </c>
      <c r="C95" s="1681" t="s">
        <v>2664</v>
      </c>
      <c r="D95" s="1675" t="s">
        <v>1832</v>
      </c>
      <c r="E95" s="1683">
        <v>70</v>
      </c>
      <c r="F95" s="1680">
        <v>10</v>
      </c>
      <c r="G95" s="1680">
        <f t="shared" ref="G95:G100" si="13">F95*E95</f>
        <v>700</v>
      </c>
      <c r="H95" s="1680">
        <f>'Site TOS'!H122</f>
        <v>43.064000000000007</v>
      </c>
      <c r="I95" s="1705">
        <f t="shared" ref="I95:I105" si="14">H95*E95</f>
        <v>3014.4800000000005</v>
      </c>
      <c r="K95" s="527">
        <f t="shared" si="9"/>
        <v>3014.4800000000005</v>
      </c>
    </row>
    <row r="96" spans="2:11" ht="23.25">
      <c r="B96" s="1709">
        <v>1.2</v>
      </c>
      <c r="C96" s="1681" t="s">
        <v>2665</v>
      </c>
      <c r="D96" s="1675" t="s">
        <v>1832</v>
      </c>
      <c r="E96" s="1683">
        <v>1250</v>
      </c>
      <c r="F96" s="1680">
        <v>10</v>
      </c>
      <c r="G96" s="1680">
        <f t="shared" si="13"/>
        <v>12500</v>
      </c>
      <c r="H96" s="1680">
        <f>'Site TOS'!D162</f>
        <v>23.729999999999997</v>
      </c>
      <c r="I96" s="1705">
        <f t="shared" si="14"/>
        <v>29662.499999999996</v>
      </c>
      <c r="K96" s="527">
        <f t="shared" si="9"/>
        <v>29662.499999999996</v>
      </c>
    </row>
    <row r="97" spans="1:11" ht="23.25">
      <c r="B97" s="1709">
        <v>1.3</v>
      </c>
      <c r="C97" s="1681" t="s">
        <v>2666</v>
      </c>
      <c r="D97" s="1675" t="s">
        <v>1832</v>
      </c>
      <c r="E97" s="1683">
        <v>1450</v>
      </c>
      <c r="F97" s="1680">
        <v>5</v>
      </c>
      <c r="G97" s="1680">
        <f t="shared" si="13"/>
        <v>7250</v>
      </c>
      <c r="H97" s="1680">
        <f>'Site TOS'!H148</f>
        <v>22.14</v>
      </c>
      <c r="I97" s="1705">
        <f t="shared" si="14"/>
        <v>32103</v>
      </c>
      <c r="K97" s="527">
        <f t="shared" si="9"/>
        <v>32103</v>
      </c>
    </row>
    <row r="98" spans="1:11" ht="23.25">
      <c r="B98" s="1709">
        <v>1.4</v>
      </c>
      <c r="C98" s="1681" t="s">
        <v>2667</v>
      </c>
      <c r="D98" s="1675" t="s">
        <v>1832</v>
      </c>
      <c r="E98" s="1683">
        <v>150</v>
      </c>
      <c r="F98" s="1680">
        <v>10</v>
      </c>
      <c r="G98" s="1680">
        <f t="shared" si="13"/>
        <v>1500</v>
      </c>
      <c r="H98" s="1680">
        <f>'Site TOS'!H152</f>
        <v>43.064000000000007</v>
      </c>
      <c r="I98" s="1705">
        <f t="shared" si="14"/>
        <v>6459.6000000000013</v>
      </c>
      <c r="K98" s="527">
        <f t="shared" si="9"/>
        <v>6459.6000000000013</v>
      </c>
    </row>
    <row r="99" spans="1:11" ht="23.25">
      <c r="B99" s="1709">
        <v>1.5</v>
      </c>
      <c r="C99" s="1681" t="s">
        <v>2668</v>
      </c>
      <c r="D99" s="1675" t="s">
        <v>1832</v>
      </c>
      <c r="E99" s="1683">
        <v>150</v>
      </c>
      <c r="F99" s="1680">
        <v>5</v>
      </c>
      <c r="G99" s="1680">
        <f t="shared" si="13"/>
        <v>750</v>
      </c>
      <c r="H99" s="1680">
        <f>'Site TOS'!D187</f>
        <v>13.882000000000001</v>
      </c>
      <c r="I99" s="1705">
        <f t="shared" si="14"/>
        <v>2082.3000000000002</v>
      </c>
      <c r="K99" s="527">
        <f t="shared" si="9"/>
        <v>2082.3000000000002</v>
      </c>
    </row>
    <row r="100" spans="1:11" ht="23.25">
      <c r="B100" s="1709">
        <v>1.6</v>
      </c>
      <c r="C100" s="1681" t="s">
        <v>2669</v>
      </c>
      <c r="D100" s="1675" t="s">
        <v>1831</v>
      </c>
      <c r="E100" s="1683">
        <v>200</v>
      </c>
      <c r="F100" s="1680">
        <v>4</v>
      </c>
      <c r="G100" s="1680">
        <f t="shared" si="13"/>
        <v>800</v>
      </c>
      <c r="H100" s="1680">
        <f>'Site TOS'!D211</f>
        <v>99.88</v>
      </c>
      <c r="I100" s="1705">
        <f t="shared" si="14"/>
        <v>19976</v>
      </c>
      <c r="K100" s="527">
        <f t="shared" si="9"/>
        <v>19976</v>
      </c>
    </row>
    <row r="101" spans="1:11">
      <c r="B101" s="1709"/>
      <c r="C101" s="1676" t="s">
        <v>2670</v>
      </c>
      <c r="D101" s="1682"/>
      <c r="E101" s="1690"/>
      <c r="F101" s="1680"/>
      <c r="G101" s="1680"/>
      <c r="H101" s="1680"/>
      <c r="I101" s="1705">
        <f t="shared" si="14"/>
        <v>0</v>
      </c>
      <c r="K101" s="527">
        <f t="shared" si="9"/>
        <v>0</v>
      </c>
    </row>
    <row r="102" spans="1:11" ht="23.25">
      <c r="B102" s="1709">
        <v>2.1</v>
      </c>
      <c r="C102" s="1681" t="s">
        <v>2671</v>
      </c>
      <c r="D102" s="1675" t="s">
        <v>1831</v>
      </c>
      <c r="E102" s="1683">
        <v>150</v>
      </c>
      <c r="F102" s="1680">
        <v>5</v>
      </c>
      <c r="G102" s="1680">
        <f>F102*E102</f>
        <v>750</v>
      </c>
      <c r="H102" s="1680">
        <f>'Site TOS'!D239</f>
        <v>69.099999999999994</v>
      </c>
      <c r="I102" s="1705">
        <f t="shared" si="14"/>
        <v>10365</v>
      </c>
      <c r="K102" s="527">
        <f t="shared" si="9"/>
        <v>10365</v>
      </c>
    </row>
    <row r="103" spans="1:11" ht="23.25">
      <c r="B103" s="1709">
        <v>2.2000000000000002</v>
      </c>
      <c r="C103" s="1681" t="s">
        <v>2672</v>
      </c>
      <c r="D103" s="1675" t="s">
        <v>1831</v>
      </c>
      <c r="E103" s="1683">
        <v>400</v>
      </c>
      <c r="F103" s="1680">
        <v>25</v>
      </c>
      <c r="G103" s="1680">
        <f>F103*E103</f>
        <v>10000</v>
      </c>
      <c r="H103" s="1680">
        <f>'Site TOS'!H208</f>
        <v>177.48</v>
      </c>
      <c r="I103" s="1705">
        <f t="shared" si="14"/>
        <v>70992</v>
      </c>
      <c r="K103" s="527">
        <f t="shared" si="9"/>
        <v>70992</v>
      </c>
    </row>
    <row r="104" spans="1:11">
      <c r="B104" s="1709">
        <v>2.2999999999999998</v>
      </c>
      <c r="C104" s="1681" t="s">
        <v>2673</v>
      </c>
      <c r="D104" s="1691" t="s">
        <v>1779</v>
      </c>
      <c r="E104" s="1692">
        <v>36</v>
      </c>
      <c r="F104" s="1680"/>
      <c r="G104" s="1680"/>
      <c r="H104" s="1680">
        <f>'Ramp &amp; Covered Way Rein.'!H29</f>
        <v>554.42200000000003</v>
      </c>
      <c r="I104" s="1705">
        <f t="shared" si="14"/>
        <v>19959.192000000003</v>
      </c>
    </row>
    <row r="105" spans="1:11" ht="23.25">
      <c r="B105" s="1746">
        <v>2.4</v>
      </c>
      <c r="C105" s="1739" t="s">
        <v>2674</v>
      </c>
      <c r="D105" s="1740" t="s">
        <v>1831</v>
      </c>
      <c r="E105" s="1723">
        <v>390</v>
      </c>
      <c r="F105" s="1747">
        <v>10</v>
      </c>
      <c r="G105" s="1747">
        <f>F105*E105</f>
        <v>3900</v>
      </c>
      <c r="H105" s="1747"/>
      <c r="I105" s="1726">
        <f t="shared" si="14"/>
        <v>0</v>
      </c>
      <c r="K105" s="527">
        <f t="shared" ref="K105:K111" si="15">H105*E105</f>
        <v>0</v>
      </c>
    </row>
    <row r="106" spans="1:11" s="1080" customFormat="1" ht="26.25">
      <c r="A106" s="1079"/>
      <c r="B106" s="2401" t="s">
        <v>2634</v>
      </c>
      <c r="C106" s="2401"/>
      <c r="D106" s="2401"/>
      <c r="E106" s="1756"/>
      <c r="F106" s="1734"/>
      <c r="G106" s="1734">
        <f>SUM(G95:G105)</f>
        <v>38150</v>
      </c>
      <c r="H106" s="1734"/>
      <c r="I106" s="1737">
        <f>SUM(I95:I105)</f>
        <v>194614.07200000001</v>
      </c>
      <c r="J106" s="1079"/>
      <c r="K106" s="527">
        <f t="shared" si="15"/>
        <v>0</v>
      </c>
    </row>
    <row r="107" spans="1:11" s="528" customFormat="1">
      <c r="A107" s="527"/>
      <c r="B107" s="1748"/>
      <c r="C107" s="1749" t="s">
        <v>2590</v>
      </c>
      <c r="D107" s="1750"/>
      <c r="E107" s="1751"/>
      <c r="F107" s="1752"/>
      <c r="G107" s="1753"/>
      <c r="H107" s="1754"/>
      <c r="I107" s="1755"/>
      <c r="J107" s="527"/>
      <c r="K107" s="527">
        <f t="shared" si="15"/>
        <v>0</v>
      </c>
    </row>
    <row r="108" spans="1:11" s="528" customFormat="1">
      <c r="A108" s="527"/>
      <c r="B108" s="1710"/>
      <c r="C108" s="1694" t="s">
        <v>2663</v>
      </c>
      <c r="D108" s="1691"/>
      <c r="E108" s="1692"/>
      <c r="F108" s="1695"/>
      <c r="G108" s="1696"/>
      <c r="H108" s="1693"/>
      <c r="I108" s="1711"/>
      <c r="J108" s="527"/>
      <c r="K108" s="527">
        <f t="shared" si="15"/>
        <v>0</v>
      </c>
    </row>
    <row r="109" spans="1:11" s="528" customFormat="1" ht="23.25">
      <c r="A109" s="527"/>
      <c r="B109" s="1710">
        <v>1.01</v>
      </c>
      <c r="C109" s="1697" t="s">
        <v>2675</v>
      </c>
      <c r="D109" s="1675" t="s">
        <v>1832</v>
      </c>
      <c r="E109" s="2026">
        <v>337.53</v>
      </c>
      <c r="F109" s="1695">
        <v>84</v>
      </c>
      <c r="G109" s="1695">
        <f>E109*F109</f>
        <v>28352.519999999997</v>
      </c>
      <c r="H109" s="1693">
        <f>'Site TOS'!H216</f>
        <v>23.924999999999997</v>
      </c>
      <c r="I109" s="1705">
        <f t="shared" ref="I109:I119" si="16">H109*E109</f>
        <v>8075.405249999998</v>
      </c>
      <c r="J109" s="527"/>
      <c r="K109" s="527">
        <f t="shared" si="15"/>
        <v>8075.405249999998</v>
      </c>
    </row>
    <row r="110" spans="1:11" s="528" customFormat="1" ht="23.25">
      <c r="A110" s="527"/>
      <c r="B110" s="1710">
        <v>1.02</v>
      </c>
      <c r="C110" s="1697" t="s">
        <v>2676</v>
      </c>
      <c r="D110" s="1675" t="s">
        <v>1832</v>
      </c>
      <c r="E110" s="2026">
        <v>337.53</v>
      </c>
      <c r="F110" s="1695">
        <v>84</v>
      </c>
      <c r="G110" s="1695">
        <f>E110*F110</f>
        <v>28352.519999999997</v>
      </c>
      <c r="H110" s="1693">
        <f>'Site TOS'!H221</f>
        <v>20.734999999999999</v>
      </c>
      <c r="I110" s="1705">
        <f t="shared" si="16"/>
        <v>6998.684549999999</v>
      </c>
      <c r="J110" s="527"/>
      <c r="K110" s="527">
        <f t="shared" si="15"/>
        <v>6998.684549999999</v>
      </c>
    </row>
    <row r="111" spans="1:11" s="1082" customFormat="1" ht="23.25">
      <c r="A111" s="524"/>
      <c r="B111" s="1710">
        <v>1.03</v>
      </c>
      <c r="C111" s="1697" t="s">
        <v>2677</v>
      </c>
      <c r="D111" s="1675" t="s">
        <v>1832</v>
      </c>
      <c r="E111" s="1692">
        <v>70</v>
      </c>
      <c r="F111" s="1695">
        <v>84</v>
      </c>
      <c r="G111" s="1695">
        <f>E111*F111</f>
        <v>5880</v>
      </c>
      <c r="H111" s="1693">
        <f>'Site TOS'!H226</f>
        <v>0</v>
      </c>
      <c r="I111" s="1705">
        <f t="shared" si="16"/>
        <v>0</v>
      </c>
      <c r="J111" s="524"/>
      <c r="K111" s="527">
        <f t="shared" si="15"/>
        <v>0</v>
      </c>
    </row>
    <row r="112" spans="1:11" s="1082" customFormat="1" ht="23.25">
      <c r="A112" s="524"/>
      <c r="B112" s="1710">
        <v>1.04</v>
      </c>
      <c r="C112" s="1697" t="s">
        <v>3380</v>
      </c>
      <c r="D112" s="1675" t="s">
        <v>3381</v>
      </c>
      <c r="E112" s="1692">
        <v>150</v>
      </c>
      <c r="F112" s="1695">
        <v>0</v>
      </c>
      <c r="G112" s="1695">
        <f>E112*F112</f>
        <v>0</v>
      </c>
      <c r="H112" s="1693">
        <f>'Site TOS'!H230</f>
        <v>44.66</v>
      </c>
      <c r="I112" s="1705">
        <f t="shared" si="16"/>
        <v>6698.9999999999991</v>
      </c>
      <c r="J112" s="524"/>
      <c r="K112" s="527"/>
    </row>
    <row r="113" spans="1:11" s="528" customFormat="1">
      <c r="A113" s="527"/>
      <c r="B113" s="1710"/>
      <c r="C113" s="1694" t="s">
        <v>2678</v>
      </c>
      <c r="D113" s="1691"/>
      <c r="E113" s="1692"/>
      <c r="F113" s="1695"/>
      <c r="G113" s="1696"/>
      <c r="H113" s="1693"/>
      <c r="I113" s="1705">
        <f t="shared" si="16"/>
        <v>0</v>
      </c>
      <c r="J113" s="527"/>
      <c r="K113" s="527">
        <f t="shared" ref="K113:K141" si="17">H113*E113</f>
        <v>0</v>
      </c>
    </row>
    <row r="114" spans="1:11" s="1082" customFormat="1" ht="23.25">
      <c r="A114" s="524"/>
      <c r="B114" s="1710">
        <v>2.0099999999999998</v>
      </c>
      <c r="C114" s="1697" t="s">
        <v>2679</v>
      </c>
      <c r="D114" s="1675" t="s">
        <v>1832</v>
      </c>
      <c r="E114" s="1692">
        <v>1450</v>
      </c>
      <c r="F114" s="1693">
        <v>80</v>
      </c>
      <c r="G114" s="1695">
        <f>E114*F114</f>
        <v>116000</v>
      </c>
      <c r="H114" s="1693"/>
      <c r="I114" s="1705">
        <f t="shared" si="16"/>
        <v>0</v>
      </c>
      <c r="J114" s="524"/>
      <c r="K114" s="527">
        <f t="shared" si="17"/>
        <v>0</v>
      </c>
    </row>
    <row r="115" spans="1:11" s="528" customFormat="1">
      <c r="A115" s="527"/>
      <c r="B115" s="1710"/>
      <c r="C115" s="1694" t="s">
        <v>2680</v>
      </c>
      <c r="D115" s="1691"/>
      <c r="E115" s="1692"/>
      <c r="F115" s="1695"/>
      <c r="G115" s="1696"/>
      <c r="H115" s="1693"/>
      <c r="I115" s="1705">
        <f t="shared" si="16"/>
        <v>0</v>
      </c>
      <c r="J115" s="527"/>
      <c r="K115" s="527">
        <f t="shared" si="17"/>
        <v>0</v>
      </c>
    </row>
    <row r="116" spans="1:11" s="528" customFormat="1" ht="23.25">
      <c r="A116" s="527"/>
      <c r="B116" s="1710">
        <v>3.01</v>
      </c>
      <c r="C116" s="1697" t="s">
        <v>2681</v>
      </c>
      <c r="D116" s="1675" t="s">
        <v>1832</v>
      </c>
      <c r="E116" s="1692">
        <v>2600</v>
      </c>
      <c r="F116" s="1695">
        <v>3.75</v>
      </c>
      <c r="G116" s="1695">
        <f>E116*F116</f>
        <v>9750</v>
      </c>
      <c r="H116" s="1693"/>
      <c r="I116" s="1705">
        <f t="shared" si="16"/>
        <v>0</v>
      </c>
      <c r="J116" s="527"/>
      <c r="K116" s="527">
        <f t="shared" si="17"/>
        <v>0</v>
      </c>
    </row>
    <row r="117" spans="1:11" s="528" customFormat="1">
      <c r="A117" s="527"/>
      <c r="B117" s="1710">
        <v>3.02</v>
      </c>
      <c r="C117" s="1697" t="s">
        <v>2682</v>
      </c>
      <c r="D117" s="1691" t="s">
        <v>1779</v>
      </c>
      <c r="E117" s="1692">
        <v>36</v>
      </c>
      <c r="F117" s="1695">
        <v>63</v>
      </c>
      <c r="G117" s="1695">
        <f>E117*F117</f>
        <v>2268</v>
      </c>
      <c r="H117" s="1693"/>
      <c r="I117" s="1705">
        <f t="shared" si="16"/>
        <v>0</v>
      </c>
      <c r="J117" s="527"/>
      <c r="K117" s="527">
        <f t="shared" si="17"/>
        <v>0</v>
      </c>
    </row>
    <row r="118" spans="1:11" s="528" customFormat="1">
      <c r="A118" s="527"/>
      <c r="B118" s="1710">
        <v>3.02</v>
      </c>
      <c r="C118" s="1697" t="s">
        <v>2683</v>
      </c>
      <c r="D118" s="1691" t="s">
        <v>1779</v>
      </c>
      <c r="E118" s="1692">
        <v>36</v>
      </c>
      <c r="F118" s="1695">
        <v>85</v>
      </c>
      <c r="G118" s="1695">
        <f>E118*F118</f>
        <v>3060</v>
      </c>
      <c r="H118" s="1693"/>
      <c r="I118" s="1705">
        <f t="shared" si="16"/>
        <v>0</v>
      </c>
      <c r="J118" s="527"/>
      <c r="K118" s="527">
        <f t="shared" si="17"/>
        <v>0</v>
      </c>
    </row>
    <row r="119" spans="1:11" s="1082" customFormat="1" ht="23.25">
      <c r="A119" s="524"/>
      <c r="B119" s="1757">
        <v>3.03</v>
      </c>
      <c r="C119" s="1758" t="s">
        <v>2684</v>
      </c>
      <c r="D119" s="1740" t="s">
        <v>1831</v>
      </c>
      <c r="E119" s="1759">
        <v>120</v>
      </c>
      <c r="F119" s="1760">
        <v>16</v>
      </c>
      <c r="G119" s="1760">
        <f>E119*F119</f>
        <v>1920</v>
      </c>
      <c r="H119" s="1761"/>
      <c r="I119" s="1726">
        <f t="shared" si="16"/>
        <v>0</v>
      </c>
      <c r="J119" s="524"/>
      <c r="K119" s="527">
        <f t="shared" si="17"/>
        <v>0</v>
      </c>
    </row>
    <row r="120" spans="1:11" s="1080" customFormat="1" ht="26.25">
      <c r="A120" s="1079"/>
      <c r="B120" s="2401" t="s">
        <v>2634</v>
      </c>
      <c r="C120" s="2401"/>
      <c r="D120" s="2401"/>
      <c r="E120" s="1763"/>
      <c r="F120" s="1764"/>
      <c r="G120" s="1764">
        <f>SUM(G109:G119)</f>
        <v>195583.03999999998</v>
      </c>
      <c r="H120" s="1737"/>
      <c r="I120" s="1737">
        <f>SUM(I109:I119)</f>
        <v>21773.089799999998</v>
      </c>
      <c r="J120" s="1079"/>
      <c r="K120" s="527">
        <f t="shared" si="17"/>
        <v>0</v>
      </c>
    </row>
    <row r="121" spans="1:11" s="528" customFormat="1" ht="26.25">
      <c r="A121" s="527"/>
      <c r="B121" s="1748"/>
      <c r="C121" s="1762" t="s">
        <v>2591</v>
      </c>
      <c r="D121" s="1750"/>
      <c r="E121" s="1751"/>
      <c r="F121" s="1752"/>
      <c r="G121" s="1752"/>
      <c r="H121" s="1754"/>
      <c r="I121" s="1755"/>
      <c r="J121" s="527"/>
      <c r="K121" s="527">
        <f t="shared" si="17"/>
        <v>0</v>
      </c>
    </row>
    <row r="122" spans="1:11" s="528" customFormat="1">
      <c r="A122" s="527"/>
      <c r="B122" s="1710"/>
      <c r="C122" s="1694" t="s">
        <v>2663</v>
      </c>
      <c r="D122" s="1691"/>
      <c r="E122" s="1692"/>
      <c r="F122" s="1695"/>
      <c r="G122" s="1695"/>
      <c r="H122" s="1693"/>
      <c r="I122" s="1711"/>
      <c r="J122" s="527"/>
      <c r="K122" s="527">
        <f t="shared" si="17"/>
        <v>0</v>
      </c>
    </row>
    <row r="123" spans="1:11" s="528" customFormat="1" ht="23.25">
      <c r="A123" s="527"/>
      <c r="B123" s="1710">
        <v>1.01</v>
      </c>
      <c r="C123" s="1697" t="s">
        <v>2685</v>
      </c>
      <c r="D123" s="1675" t="s">
        <v>1831</v>
      </c>
      <c r="E123" s="2026">
        <v>669.75</v>
      </c>
      <c r="F123" s="1695">
        <v>73.983000000000004</v>
      </c>
      <c r="G123" s="1695">
        <f>E123*F123</f>
        <v>49550.114250000006</v>
      </c>
      <c r="H123" s="1693">
        <f>'Site TOS'!H237</f>
        <v>45.375</v>
      </c>
      <c r="I123" s="1705">
        <f t="shared" ref="I123:I140" si="18">H123*E123</f>
        <v>30389.90625</v>
      </c>
      <c r="J123" s="527"/>
      <c r="K123" s="527">
        <f t="shared" si="17"/>
        <v>30389.90625</v>
      </c>
    </row>
    <row r="124" spans="1:11" s="528" customFormat="1" ht="23.25">
      <c r="A124" s="527"/>
      <c r="B124" s="1710">
        <v>1.02</v>
      </c>
      <c r="C124" s="1697" t="s">
        <v>2686</v>
      </c>
      <c r="D124" s="1675" t="s">
        <v>1832</v>
      </c>
      <c r="E124" s="2026">
        <v>687.97</v>
      </c>
      <c r="F124" s="1695">
        <v>145</v>
      </c>
      <c r="G124" s="1695">
        <f>E124*F124</f>
        <v>99755.650000000009</v>
      </c>
      <c r="H124" s="1693">
        <f>'Site TOS'!D245</f>
        <v>32.5</v>
      </c>
      <c r="I124" s="1705">
        <f t="shared" si="18"/>
        <v>22359.025000000001</v>
      </c>
      <c r="J124" s="527"/>
      <c r="K124" s="527">
        <f t="shared" si="17"/>
        <v>22359.025000000001</v>
      </c>
    </row>
    <row r="125" spans="1:11" s="528" customFormat="1" ht="23.25">
      <c r="A125" s="527"/>
      <c r="B125" s="1710">
        <v>1.03</v>
      </c>
      <c r="C125" s="1697" t="s">
        <v>2687</v>
      </c>
      <c r="D125" s="1675" t="s">
        <v>1832</v>
      </c>
      <c r="E125" s="1692">
        <v>70</v>
      </c>
      <c r="F125" s="1695">
        <v>37.856000000000002</v>
      </c>
      <c r="G125" s="1695">
        <f>E125*F125</f>
        <v>2649.92</v>
      </c>
      <c r="H125" s="1693">
        <f>'Site TOS'!D250</f>
        <v>0</v>
      </c>
      <c r="I125" s="1705">
        <f t="shared" si="18"/>
        <v>0</v>
      </c>
      <c r="J125" s="527"/>
      <c r="K125" s="527">
        <f t="shared" si="17"/>
        <v>0</v>
      </c>
    </row>
    <row r="126" spans="1:11" s="1082" customFormat="1" ht="23.25">
      <c r="A126" s="524"/>
      <c r="B126" s="1710">
        <v>1.04</v>
      </c>
      <c r="C126" s="1697" t="s">
        <v>2688</v>
      </c>
      <c r="D126" s="1675" t="s">
        <v>1832</v>
      </c>
      <c r="E126" s="1692">
        <v>70</v>
      </c>
      <c r="F126" s="1695">
        <v>116.246</v>
      </c>
      <c r="G126" s="1695">
        <f>E126*F126</f>
        <v>8137.2199999999993</v>
      </c>
      <c r="H126" s="1693">
        <f>'Site TOS'!D254</f>
        <v>77.875</v>
      </c>
      <c r="I126" s="1705">
        <f t="shared" si="18"/>
        <v>5451.25</v>
      </c>
      <c r="J126" s="524"/>
      <c r="K126" s="527">
        <f t="shared" si="17"/>
        <v>5451.25</v>
      </c>
    </row>
    <row r="127" spans="1:11" s="528" customFormat="1">
      <c r="A127" s="527"/>
      <c r="B127" s="1710"/>
      <c r="C127" s="1694" t="s">
        <v>2670</v>
      </c>
      <c r="D127" s="1691"/>
      <c r="E127" s="1692"/>
      <c r="F127" s="1695"/>
      <c r="G127" s="1695"/>
      <c r="H127" s="1693"/>
      <c r="I127" s="1705">
        <f t="shared" si="18"/>
        <v>0</v>
      </c>
      <c r="J127" s="527"/>
      <c r="K127" s="527">
        <f t="shared" si="17"/>
        <v>0</v>
      </c>
    </row>
    <row r="128" spans="1:11" s="528" customFormat="1" ht="23.25">
      <c r="A128" s="527"/>
      <c r="B128" s="1710">
        <v>2.0099999999999998</v>
      </c>
      <c r="C128" s="1697" t="s">
        <v>2671</v>
      </c>
      <c r="D128" s="1675" t="s">
        <v>1831</v>
      </c>
      <c r="E128" s="1692">
        <v>150</v>
      </c>
      <c r="F128" s="1695">
        <v>49.322000000000003</v>
      </c>
      <c r="G128" s="1695">
        <f>E128*F128</f>
        <v>7398.3</v>
      </c>
      <c r="H128" s="1693"/>
      <c r="I128" s="1705">
        <f t="shared" si="18"/>
        <v>0</v>
      </c>
      <c r="J128" s="527"/>
      <c r="K128" s="527">
        <f t="shared" si="17"/>
        <v>0</v>
      </c>
    </row>
    <row r="129" spans="1:11" s="528" customFormat="1">
      <c r="A129" s="527"/>
      <c r="B129" s="1710">
        <v>2.02</v>
      </c>
      <c r="C129" s="1697" t="s">
        <v>2689</v>
      </c>
      <c r="D129" s="1691"/>
      <c r="E129" s="1692"/>
      <c r="F129" s="1695"/>
      <c r="G129" s="1695"/>
      <c r="H129" s="1693"/>
      <c r="I129" s="1705">
        <f t="shared" si="18"/>
        <v>0</v>
      </c>
      <c r="J129" s="527"/>
      <c r="K129" s="527">
        <f t="shared" si="17"/>
        <v>0</v>
      </c>
    </row>
    <row r="130" spans="1:11" s="528" customFormat="1" ht="23.25">
      <c r="A130" s="527"/>
      <c r="B130" s="1710"/>
      <c r="C130" s="1697" t="s">
        <v>2690</v>
      </c>
      <c r="D130" s="1675" t="s">
        <v>1831</v>
      </c>
      <c r="E130" s="1692">
        <v>2600</v>
      </c>
      <c r="F130" s="1695">
        <v>3</v>
      </c>
      <c r="G130" s="1695">
        <f>F130*E130</f>
        <v>7800</v>
      </c>
      <c r="H130" s="1693"/>
      <c r="I130" s="1705">
        <f t="shared" si="18"/>
        <v>0</v>
      </c>
      <c r="J130" s="527"/>
      <c r="K130" s="527">
        <f t="shared" si="17"/>
        <v>0</v>
      </c>
    </row>
    <row r="131" spans="1:11" s="528" customFormat="1">
      <c r="A131" s="527"/>
      <c r="B131" s="1710">
        <v>2.0299999999999998</v>
      </c>
      <c r="C131" s="1697" t="s">
        <v>2691</v>
      </c>
      <c r="D131" s="1691"/>
      <c r="E131" s="1692"/>
      <c r="F131" s="1695"/>
      <c r="G131" s="1695"/>
      <c r="H131" s="1693"/>
      <c r="I131" s="1705">
        <f t="shared" si="18"/>
        <v>0</v>
      </c>
      <c r="J131" s="527"/>
      <c r="K131" s="527">
        <f t="shared" si="17"/>
        <v>0</v>
      </c>
    </row>
    <row r="132" spans="1:11" s="528" customFormat="1" ht="23.25">
      <c r="A132" s="527"/>
      <c r="B132" s="1710"/>
      <c r="C132" s="1697" t="s">
        <v>2692</v>
      </c>
      <c r="D132" s="1675" t="s">
        <v>1831</v>
      </c>
      <c r="E132" s="1692">
        <v>120</v>
      </c>
      <c r="F132" s="1695">
        <v>20</v>
      </c>
      <c r="G132" s="1695">
        <f>E132*F132</f>
        <v>2400</v>
      </c>
      <c r="H132" s="1693"/>
      <c r="I132" s="1705">
        <f t="shared" si="18"/>
        <v>0</v>
      </c>
      <c r="J132" s="527"/>
      <c r="K132" s="527">
        <f t="shared" si="17"/>
        <v>0</v>
      </c>
    </row>
    <row r="133" spans="1:11" s="528" customFormat="1">
      <c r="A133" s="527"/>
      <c r="B133" s="1710">
        <v>2.04</v>
      </c>
      <c r="C133" s="1697" t="s">
        <v>2693</v>
      </c>
      <c r="D133" s="1698"/>
      <c r="E133" s="1699"/>
      <c r="F133" s="1693"/>
      <c r="G133" s="1693"/>
      <c r="H133" s="1693"/>
      <c r="I133" s="1705">
        <f t="shared" si="18"/>
        <v>0</v>
      </c>
      <c r="J133" s="527"/>
      <c r="K133" s="527">
        <f t="shared" si="17"/>
        <v>0</v>
      </c>
    </row>
    <row r="134" spans="1:11" s="528" customFormat="1">
      <c r="A134" s="527"/>
      <c r="B134" s="1710"/>
      <c r="C134" s="1697" t="s">
        <v>2694</v>
      </c>
      <c r="D134" s="1691" t="s">
        <v>1779</v>
      </c>
      <c r="E134" s="1692">
        <v>36</v>
      </c>
      <c r="F134" s="1695">
        <v>40</v>
      </c>
      <c r="G134" s="1695">
        <f>E134*F134</f>
        <v>1440</v>
      </c>
      <c r="H134" s="1693"/>
      <c r="I134" s="1705">
        <f t="shared" si="18"/>
        <v>0</v>
      </c>
      <c r="J134" s="527"/>
      <c r="K134" s="527">
        <f t="shared" si="17"/>
        <v>0</v>
      </c>
    </row>
    <row r="135" spans="1:11" s="1082" customFormat="1">
      <c r="A135" s="524"/>
      <c r="B135" s="1710"/>
      <c r="C135" s="1697" t="s">
        <v>2695</v>
      </c>
      <c r="D135" s="1691" t="s">
        <v>1779</v>
      </c>
      <c r="E135" s="1692">
        <v>36</v>
      </c>
      <c r="F135" s="1695">
        <v>165</v>
      </c>
      <c r="G135" s="1695">
        <f>E135*F135</f>
        <v>5940</v>
      </c>
      <c r="H135" s="1693"/>
      <c r="I135" s="1705">
        <f t="shared" si="18"/>
        <v>0</v>
      </c>
      <c r="J135" s="524"/>
      <c r="K135" s="527">
        <f t="shared" si="17"/>
        <v>0</v>
      </c>
    </row>
    <row r="136" spans="1:11" s="1082" customFormat="1">
      <c r="A136" s="524"/>
      <c r="B136" s="1710"/>
      <c r="C136" s="1697" t="s">
        <v>2696</v>
      </c>
      <c r="D136" s="1691" t="s">
        <v>1779</v>
      </c>
      <c r="E136" s="1692">
        <v>36</v>
      </c>
      <c r="F136" s="1695"/>
      <c r="G136" s="1695"/>
      <c r="H136" s="1693"/>
      <c r="I136" s="1705">
        <f t="shared" si="18"/>
        <v>0</v>
      </c>
      <c r="J136" s="524"/>
      <c r="K136" s="527">
        <f t="shared" si="17"/>
        <v>0</v>
      </c>
    </row>
    <row r="137" spans="1:11" s="528" customFormat="1">
      <c r="A137" s="527"/>
      <c r="B137" s="1710"/>
      <c r="C137" s="1694" t="s">
        <v>2697</v>
      </c>
      <c r="D137" s="1691"/>
      <c r="E137" s="1692"/>
      <c r="F137" s="1695"/>
      <c r="G137" s="1695"/>
      <c r="H137" s="1693"/>
      <c r="I137" s="1705">
        <f t="shared" si="18"/>
        <v>0</v>
      </c>
      <c r="J137" s="527"/>
      <c r="K137" s="527">
        <f t="shared" si="17"/>
        <v>0</v>
      </c>
    </row>
    <row r="138" spans="1:11" s="1082" customFormat="1" ht="23.25">
      <c r="A138" s="524"/>
      <c r="B138" s="1710">
        <v>3.01</v>
      </c>
      <c r="C138" s="1697" t="s">
        <v>2698</v>
      </c>
      <c r="D138" s="1675" t="s">
        <v>1831</v>
      </c>
      <c r="E138" s="1692">
        <v>1450</v>
      </c>
      <c r="F138" s="1693">
        <v>57.98</v>
      </c>
      <c r="G138" s="1695">
        <f>E138*F138</f>
        <v>84071</v>
      </c>
      <c r="H138" s="1693"/>
      <c r="I138" s="1705">
        <f t="shared" si="18"/>
        <v>0</v>
      </c>
      <c r="J138" s="524"/>
      <c r="K138" s="527">
        <f t="shared" si="17"/>
        <v>0</v>
      </c>
    </row>
    <row r="139" spans="1:11" s="528" customFormat="1">
      <c r="A139" s="527"/>
      <c r="B139" s="1710"/>
      <c r="C139" s="1694" t="s">
        <v>2699</v>
      </c>
      <c r="D139" s="1691"/>
      <c r="E139" s="1692"/>
      <c r="F139" s="1695"/>
      <c r="G139" s="1695"/>
      <c r="H139" s="1693"/>
      <c r="I139" s="1705">
        <f t="shared" si="18"/>
        <v>0</v>
      </c>
      <c r="J139" s="527"/>
      <c r="K139" s="527">
        <f t="shared" si="17"/>
        <v>0</v>
      </c>
    </row>
    <row r="140" spans="1:11" s="1083" customFormat="1">
      <c r="A140" s="524"/>
      <c r="B140" s="1757">
        <v>4.01</v>
      </c>
      <c r="C140" s="1758" t="s">
        <v>2700</v>
      </c>
      <c r="D140" s="1765" t="s">
        <v>1402</v>
      </c>
      <c r="E140" s="1759">
        <v>120</v>
      </c>
      <c r="F140" s="1760">
        <v>2.8</v>
      </c>
      <c r="G140" s="1760">
        <f>E140*F140</f>
        <v>336</v>
      </c>
      <c r="H140" s="1761"/>
      <c r="I140" s="1726">
        <f t="shared" si="18"/>
        <v>0</v>
      </c>
      <c r="J140" s="524"/>
      <c r="K140" s="527">
        <f t="shared" si="17"/>
        <v>0</v>
      </c>
    </row>
    <row r="141" spans="1:11" s="1080" customFormat="1" ht="26.25">
      <c r="A141" s="1079"/>
      <c r="B141" s="2401" t="s">
        <v>2634</v>
      </c>
      <c r="C141" s="2401"/>
      <c r="D141" s="2401"/>
      <c r="E141" s="1763"/>
      <c r="F141" s="1764"/>
      <c r="G141" s="1764">
        <f>SUM(G123:G140)</f>
        <v>269478.20425000001</v>
      </c>
      <c r="H141" s="1737"/>
      <c r="I141" s="1737">
        <f>SUM(I123:I140)</f>
        <v>58200.181250000001</v>
      </c>
      <c r="J141" s="1079"/>
      <c r="K141" s="527">
        <f t="shared" si="17"/>
        <v>0</v>
      </c>
    </row>
    <row r="142" spans="1:11" s="1082" customFormat="1">
      <c r="A142" s="524"/>
      <c r="B142" s="1748"/>
      <c r="C142" s="1749" t="s">
        <v>2592</v>
      </c>
      <c r="D142" s="1729"/>
      <c r="E142" s="1752"/>
      <c r="F142" s="1754"/>
      <c r="G142" s="1752"/>
      <c r="H142" s="1754"/>
      <c r="I142" s="1755"/>
      <c r="J142" s="524"/>
      <c r="K142" s="527"/>
    </row>
    <row r="143" spans="1:11" s="1082" customFormat="1">
      <c r="A143" s="524"/>
      <c r="B143" s="1710"/>
      <c r="C143" s="1694" t="s">
        <v>2663</v>
      </c>
      <c r="D143" s="1675"/>
      <c r="E143" s="1695"/>
      <c r="F143" s="1693"/>
      <c r="G143" s="1695"/>
      <c r="H143" s="1693"/>
      <c r="I143" s="1711"/>
      <c r="J143" s="524"/>
      <c r="K143" s="527"/>
    </row>
    <row r="144" spans="1:11" s="1082" customFormat="1">
      <c r="A144" s="524"/>
      <c r="B144" s="1710">
        <v>1.1000000000000001</v>
      </c>
      <c r="C144" s="1697" t="s">
        <v>3383</v>
      </c>
      <c r="D144" s="1675" t="s">
        <v>3382</v>
      </c>
      <c r="E144" s="1695">
        <v>8</v>
      </c>
      <c r="F144" s="1695">
        <v>21.07</v>
      </c>
      <c r="G144" s="1695">
        <f t="shared" ref="G144:G147" si="19">E144*F144</f>
        <v>168.56</v>
      </c>
      <c r="H144" s="1693">
        <f>'Site TOS'!D260</f>
        <v>0</v>
      </c>
      <c r="I144" s="1705">
        <f t="shared" ref="I144:I147" si="20">H144*E144</f>
        <v>0</v>
      </c>
      <c r="J144" s="524"/>
      <c r="K144" s="527"/>
    </row>
    <row r="145" spans="1:11" s="1082" customFormat="1">
      <c r="A145" s="524"/>
      <c r="B145" s="1710">
        <v>1.3</v>
      </c>
      <c r="C145" s="1697" t="s">
        <v>3384</v>
      </c>
      <c r="D145" s="1675" t="s">
        <v>3382</v>
      </c>
      <c r="E145" s="1695">
        <v>70</v>
      </c>
      <c r="F145" s="1695">
        <v>4.95</v>
      </c>
      <c r="G145" s="1695">
        <f t="shared" si="19"/>
        <v>346.5</v>
      </c>
      <c r="H145" s="1693">
        <f>'Site TOS'!D265</f>
        <v>37.5</v>
      </c>
      <c r="I145" s="1705">
        <f t="shared" si="20"/>
        <v>2625</v>
      </c>
      <c r="J145" s="524"/>
      <c r="K145" s="527"/>
    </row>
    <row r="146" spans="1:11" s="1082" customFormat="1">
      <c r="A146" s="524"/>
      <c r="B146" s="1710">
        <v>1.5</v>
      </c>
      <c r="C146" s="1697" t="s">
        <v>2707</v>
      </c>
      <c r="D146" s="1675" t="s">
        <v>3382</v>
      </c>
      <c r="E146" s="1695">
        <v>70</v>
      </c>
      <c r="F146" s="1695">
        <v>4.95</v>
      </c>
      <c r="G146" s="1695">
        <f t="shared" si="19"/>
        <v>346.5</v>
      </c>
      <c r="H146" s="1693">
        <f>'Site TOS'!D269</f>
        <v>37.5</v>
      </c>
      <c r="I146" s="1705">
        <f t="shared" si="20"/>
        <v>2625</v>
      </c>
      <c r="J146" s="524"/>
      <c r="K146" s="527"/>
    </row>
    <row r="147" spans="1:11" s="1082" customFormat="1">
      <c r="A147" s="524"/>
      <c r="B147" s="1757">
        <v>1.6</v>
      </c>
      <c r="C147" s="1758" t="s">
        <v>3385</v>
      </c>
      <c r="D147" s="1740" t="s">
        <v>3382</v>
      </c>
      <c r="E147" s="1760">
        <v>120</v>
      </c>
      <c r="F147" s="1760">
        <v>6.59</v>
      </c>
      <c r="G147" s="1760">
        <f t="shared" si="19"/>
        <v>790.8</v>
      </c>
      <c r="H147" s="1761"/>
      <c r="I147" s="1726">
        <f t="shared" si="20"/>
        <v>0</v>
      </c>
      <c r="J147" s="524"/>
      <c r="K147" s="527"/>
    </row>
    <row r="148" spans="1:11" s="1080" customFormat="1" ht="26.25">
      <c r="A148" s="1079"/>
      <c r="B148" s="2401" t="s">
        <v>2634</v>
      </c>
      <c r="C148" s="2401"/>
      <c r="D148" s="2401"/>
      <c r="E148" s="1763"/>
      <c r="F148" s="1764"/>
      <c r="G148" s="1737">
        <f>SUM(G144:G147)</f>
        <v>1652.36</v>
      </c>
      <c r="H148" s="1737"/>
      <c r="I148" s="1737">
        <f>SUM(I144:I147)</f>
        <v>5250</v>
      </c>
      <c r="J148" s="1079"/>
      <c r="K148" s="527">
        <f t="shared" ref="K148:K182" si="21">H148*E148</f>
        <v>0</v>
      </c>
    </row>
    <row r="149" spans="1:11" s="528" customFormat="1" ht="28.5">
      <c r="A149" s="527"/>
      <c r="B149" s="1748"/>
      <c r="C149" s="1766" t="s">
        <v>2701</v>
      </c>
      <c r="D149" s="1750"/>
      <c r="E149" s="1751"/>
      <c r="F149" s="1752"/>
      <c r="G149" s="1752"/>
      <c r="H149" s="1754"/>
      <c r="I149" s="1755"/>
      <c r="J149" s="527"/>
      <c r="K149" s="527">
        <f t="shared" si="21"/>
        <v>0</v>
      </c>
    </row>
    <row r="150" spans="1:11" s="528" customFormat="1">
      <c r="A150" s="527"/>
      <c r="B150" s="1710"/>
      <c r="C150" s="1694" t="s">
        <v>2702</v>
      </c>
      <c r="D150" s="1691"/>
      <c r="E150" s="1692"/>
      <c r="F150" s="1695"/>
      <c r="G150" s="1695"/>
      <c r="H150" s="1693"/>
      <c r="I150" s="1711"/>
      <c r="J150" s="527"/>
      <c r="K150" s="527">
        <f t="shared" si="21"/>
        <v>0</v>
      </c>
    </row>
    <row r="151" spans="1:11" s="528" customFormat="1">
      <c r="A151" s="527"/>
      <c r="B151" s="1710"/>
      <c r="C151" s="1694" t="s">
        <v>2663</v>
      </c>
      <c r="D151" s="1691"/>
      <c r="E151" s="1692"/>
      <c r="F151" s="1695"/>
      <c r="G151" s="1695"/>
      <c r="H151" s="1693"/>
      <c r="I151" s="1711"/>
      <c r="J151" s="527"/>
      <c r="K151" s="527">
        <f t="shared" si="21"/>
        <v>0</v>
      </c>
    </row>
    <row r="152" spans="1:11" s="528" customFormat="1" ht="23.25">
      <c r="A152" s="527"/>
      <c r="B152" s="1710">
        <v>1.1000000000000001</v>
      </c>
      <c r="C152" s="1697" t="s">
        <v>2703</v>
      </c>
      <c r="D152" s="1675" t="s">
        <v>1831</v>
      </c>
      <c r="E152" s="1692">
        <v>8</v>
      </c>
      <c r="F152" s="1695">
        <v>450.23</v>
      </c>
      <c r="G152" s="1695">
        <f t="shared" ref="G152:G156" si="22">E152*F152</f>
        <v>3601.84</v>
      </c>
      <c r="H152" s="1693">
        <f>'Site TOS'!D277</f>
        <v>102.5</v>
      </c>
      <c r="I152" s="1705">
        <f t="shared" ref="I152:I181" si="23">H152*E152</f>
        <v>820</v>
      </c>
      <c r="J152" s="527"/>
      <c r="K152" s="527">
        <f t="shared" si="21"/>
        <v>820</v>
      </c>
    </row>
    <row r="153" spans="1:11" s="528" customFormat="1" ht="23.25">
      <c r="A153" s="527"/>
      <c r="B153" s="1710">
        <v>1.2</v>
      </c>
      <c r="C153" s="1697" t="s">
        <v>2704</v>
      </c>
      <c r="D153" s="1675" t="s">
        <v>1832</v>
      </c>
      <c r="E153" s="1692">
        <v>70</v>
      </c>
      <c r="F153" s="1695">
        <v>162.08000000000001</v>
      </c>
      <c r="G153" s="1695">
        <f t="shared" si="22"/>
        <v>11345.6</v>
      </c>
      <c r="H153" s="1693"/>
      <c r="I153" s="1705">
        <f t="shared" si="23"/>
        <v>0</v>
      </c>
      <c r="J153" s="527"/>
      <c r="K153" s="527">
        <f t="shared" si="21"/>
        <v>0</v>
      </c>
    </row>
    <row r="154" spans="1:11" s="528" customFormat="1" ht="23.25">
      <c r="A154" s="527"/>
      <c r="B154" s="1710">
        <v>1.3</v>
      </c>
      <c r="C154" s="1697" t="s">
        <v>2705</v>
      </c>
      <c r="D154" s="1675" t="s">
        <v>1832</v>
      </c>
      <c r="E154" s="1692">
        <v>70</v>
      </c>
      <c r="F154" s="1695">
        <v>180.09</v>
      </c>
      <c r="G154" s="1695">
        <f t="shared" si="22"/>
        <v>12606.300000000001</v>
      </c>
      <c r="H154" s="1693"/>
      <c r="I154" s="1705">
        <f t="shared" si="23"/>
        <v>0</v>
      </c>
      <c r="J154" s="527"/>
      <c r="K154" s="527">
        <f t="shared" si="21"/>
        <v>0</v>
      </c>
    </row>
    <row r="155" spans="1:11" s="528" customFormat="1" ht="23.25">
      <c r="A155" s="527"/>
      <c r="B155" s="1710">
        <v>1.4</v>
      </c>
      <c r="C155" s="1697" t="s">
        <v>2706</v>
      </c>
      <c r="D155" s="1675" t="s">
        <v>1832</v>
      </c>
      <c r="E155" s="1692">
        <v>150</v>
      </c>
      <c r="F155" s="1695">
        <v>108.05</v>
      </c>
      <c r="G155" s="1695">
        <f t="shared" si="22"/>
        <v>16207.5</v>
      </c>
      <c r="H155" s="1693"/>
      <c r="I155" s="1705">
        <f t="shared" si="23"/>
        <v>0</v>
      </c>
      <c r="J155" s="527"/>
      <c r="K155" s="527">
        <f t="shared" si="21"/>
        <v>0</v>
      </c>
    </row>
    <row r="156" spans="1:11" s="528" customFormat="1" ht="23.25">
      <c r="A156" s="527"/>
      <c r="B156" s="1710">
        <v>1.5</v>
      </c>
      <c r="C156" s="1697" t="s">
        <v>2707</v>
      </c>
      <c r="D156" s="1675" t="s">
        <v>1832</v>
      </c>
      <c r="E156" s="1692">
        <v>70</v>
      </c>
      <c r="F156" s="1695">
        <v>477.24</v>
      </c>
      <c r="G156" s="1695">
        <f t="shared" si="22"/>
        <v>33406.800000000003</v>
      </c>
      <c r="H156" s="1693"/>
      <c r="I156" s="1705">
        <f t="shared" si="23"/>
        <v>0</v>
      </c>
      <c r="J156" s="527"/>
      <c r="K156" s="527">
        <f t="shared" si="21"/>
        <v>0</v>
      </c>
    </row>
    <row r="157" spans="1:11" s="528" customFormat="1" ht="23.25">
      <c r="A157" s="527"/>
      <c r="B157" s="1710">
        <v>1.6</v>
      </c>
      <c r="C157" s="1697" t="s">
        <v>2708</v>
      </c>
      <c r="D157" s="1675" t="s">
        <v>1831</v>
      </c>
      <c r="E157" s="1692">
        <v>120</v>
      </c>
      <c r="F157" s="1695">
        <v>360.18</v>
      </c>
      <c r="G157" s="1695">
        <f>E157*F157</f>
        <v>43221.599999999999</v>
      </c>
      <c r="H157" s="1693">
        <f>'Site TOS'!D282</f>
        <v>71.2</v>
      </c>
      <c r="I157" s="1705">
        <f t="shared" si="23"/>
        <v>8544</v>
      </c>
      <c r="J157" s="527"/>
      <c r="K157" s="527">
        <f t="shared" si="21"/>
        <v>8544</v>
      </c>
    </row>
    <row r="158" spans="1:11" s="528" customFormat="1">
      <c r="A158" s="527"/>
      <c r="B158" s="1710"/>
      <c r="C158" s="1694" t="s">
        <v>2670</v>
      </c>
      <c r="D158" s="1691"/>
      <c r="E158" s="1692"/>
      <c r="F158" s="1695"/>
      <c r="G158" s="1695"/>
      <c r="H158" s="1695"/>
      <c r="I158" s="1705">
        <f t="shared" si="23"/>
        <v>0</v>
      </c>
      <c r="J158" s="527"/>
      <c r="K158" s="527">
        <f t="shared" si="21"/>
        <v>0</v>
      </c>
    </row>
    <row r="159" spans="1:11" s="528" customFormat="1" ht="23.25">
      <c r="A159" s="527"/>
      <c r="B159" s="1710">
        <v>2.1</v>
      </c>
      <c r="C159" s="1697" t="s">
        <v>2709</v>
      </c>
      <c r="D159" s="1675" t="s">
        <v>1831</v>
      </c>
      <c r="E159" s="1692">
        <v>150</v>
      </c>
      <c r="F159" s="1695">
        <v>180.09</v>
      </c>
      <c r="G159" s="1695">
        <f t="shared" ref="G159:G166" si="24">E159*F159</f>
        <v>27013.5</v>
      </c>
      <c r="H159" s="1695">
        <f>'Site TOS'!D288</f>
        <v>35.6</v>
      </c>
      <c r="I159" s="1705">
        <f t="shared" si="23"/>
        <v>5340</v>
      </c>
      <c r="J159" s="527"/>
      <c r="K159" s="527">
        <f t="shared" si="21"/>
        <v>5340</v>
      </c>
    </row>
    <row r="160" spans="1:11" s="528" customFormat="1" ht="23.25">
      <c r="A160" s="527"/>
      <c r="B160" s="1710">
        <v>2.2000000000000002</v>
      </c>
      <c r="C160" s="1697" t="s">
        <v>2710</v>
      </c>
      <c r="D160" s="1675" t="s">
        <v>1832</v>
      </c>
      <c r="E160" s="1692">
        <v>3200</v>
      </c>
      <c r="F160" s="1695">
        <v>18.010000000000002</v>
      </c>
      <c r="G160" s="1695">
        <f t="shared" si="24"/>
        <v>57632.000000000007</v>
      </c>
      <c r="H160" s="1695">
        <f>'Site TOS'!D294</f>
        <v>7.120000000000001</v>
      </c>
      <c r="I160" s="1705">
        <f t="shared" si="23"/>
        <v>22784.000000000004</v>
      </c>
      <c r="J160" s="527"/>
      <c r="K160" s="527">
        <f t="shared" si="21"/>
        <v>22784.000000000004</v>
      </c>
    </row>
    <row r="161" spans="1:11" s="528" customFormat="1" ht="23.25">
      <c r="A161" s="527"/>
      <c r="B161" s="1710">
        <v>2.2999999999999998</v>
      </c>
      <c r="C161" s="1697" t="s">
        <v>2711</v>
      </c>
      <c r="D161" s="1675" t="s">
        <v>1831</v>
      </c>
      <c r="E161" s="1692">
        <v>295</v>
      </c>
      <c r="F161" s="1695">
        <v>360.18</v>
      </c>
      <c r="G161" s="1695">
        <f t="shared" si="24"/>
        <v>106253.1</v>
      </c>
      <c r="H161" s="1695">
        <f>'Site TOS'!D299</f>
        <v>71.2</v>
      </c>
      <c r="I161" s="1705">
        <f t="shared" si="23"/>
        <v>21004</v>
      </c>
      <c r="J161" s="527"/>
      <c r="K161" s="527">
        <f t="shared" si="21"/>
        <v>21004</v>
      </c>
    </row>
    <row r="162" spans="1:11" s="528" customFormat="1" ht="23.25">
      <c r="A162" s="527"/>
      <c r="B162" s="1710">
        <v>2.4</v>
      </c>
      <c r="C162" s="1697" t="s">
        <v>2712</v>
      </c>
      <c r="D162" s="1675" t="s">
        <v>1831</v>
      </c>
      <c r="E162" s="1692">
        <v>120</v>
      </c>
      <c r="F162" s="1695">
        <v>180.09</v>
      </c>
      <c r="G162" s="1695">
        <f t="shared" si="24"/>
        <v>21610.799999999999</v>
      </c>
      <c r="H162" s="1695">
        <f>'Site TOS'!H245</f>
        <v>56.960000000000008</v>
      </c>
      <c r="I162" s="1705">
        <f t="shared" si="23"/>
        <v>6835.2000000000007</v>
      </c>
      <c r="J162" s="527"/>
      <c r="K162" s="527">
        <f t="shared" si="21"/>
        <v>6835.2000000000007</v>
      </c>
    </row>
    <row r="163" spans="1:11" s="528" customFormat="1">
      <c r="A163" s="527"/>
      <c r="B163" s="1710">
        <v>2.5</v>
      </c>
      <c r="C163" s="1697" t="s">
        <v>2713</v>
      </c>
      <c r="D163" s="1691"/>
      <c r="E163" s="1692"/>
      <c r="F163" s="1695"/>
      <c r="G163" s="1695"/>
      <c r="H163" s="1695"/>
      <c r="I163" s="1705">
        <f t="shared" si="23"/>
        <v>0</v>
      </c>
      <c r="J163" s="527"/>
      <c r="K163" s="527">
        <f t="shared" si="21"/>
        <v>0</v>
      </c>
    </row>
    <row r="164" spans="1:11" s="528" customFormat="1">
      <c r="A164" s="527"/>
      <c r="B164" s="1710"/>
      <c r="C164" s="1697" t="s">
        <v>2714</v>
      </c>
      <c r="D164" s="1691" t="s">
        <v>1779</v>
      </c>
      <c r="E164" s="1692">
        <v>36</v>
      </c>
      <c r="F164" s="1695">
        <v>1320.66</v>
      </c>
      <c r="G164" s="1695">
        <f t="shared" si="24"/>
        <v>47543.76</v>
      </c>
      <c r="H164" s="1695">
        <f>'Ramp &amp; Covered Way Rein.'!J55</f>
        <v>385.74720000000002</v>
      </c>
      <c r="I164" s="1705">
        <f t="shared" si="23"/>
        <v>13886.8992</v>
      </c>
      <c r="J164" s="527"/>
      <c r="K164" s="527">
        <f t="shared" si="21"/>
        <v>13886.8992</v>
      </c>
    </row>
    <row r="165" spans="1:11" s="528" customFormat="1">
      <c r="A165" s="527"/>
      <c r="B165" s="1710"/>
      <c r="C165" s="1697" t="s">
        <v>2715</v>
      </c>
      <c r="D165" s="1691" t="s">
        <v>1779</v>
      </c>
      <c r="E165" s="1692">
        <v>36</v>
      </c>
      <c r="F165" s="1695">
        <v>1500.75</v>
      </c>
      <c r="G165" s="1695">
        <f t="shared" si="24"/>
        <v>54027</v>
      </c>
      <c r="H165" s="1695">
        <f>'Ramp &amp; Covered Way Rein.'!H55</f>
        <v>412.53800000000007</v>
      </c>
      <c r="I165" s="1705">
        <f t="shared" si="23"/>
        <v>14851.368000000002</v>
      </c>
      <c r="J165" s="527"/>
      <c r="K165" s="527">
        <f t="shared" si="21"/>
        <v>14851.368000000002</v>
      </c>
    </row>
    <row r="166" spans="1:11" s="528" customFormat="1">
      <c r="A166" s="527"/>
      <c r="B166" s="1710"/>
      <c r="C166" s="1697" t="s">
        <v>2716</v>
      </c>
      <c r="D166" s="1691" t="s">
        <v>1779</v>
      </c>
      <c r="E166" s="1692">
        <v>36</v>
      </c>
      <c r="F166" s="1695">
        <v>324.16000000000003</v>
      </c>
      <c r="G166" s="1695">
        <f t="shared" si="24"/>
        <v>11669.76</v>
      </c>
      <c r="H166" s="1700"/>
      <c r="I166" s="1705">
        <f t="shared" si="23"/>
        <v>0</v>
      </c>
      <c r="J166" s="527"/>
      <c r="K166" s="527">
        <f t="shared" si="21"/>
        <v>0</v>
      </c>
    </row>
    <row r="167" spans="1:11" s="528" customFormat="1" ht="23.25">
      <c r="A167" s="527"/>
      <c r="B167" s="1710">
        <v>3.1</v>
      </c>
      <c r="C167" s="1697" t="s">
        <v>2717</v>
      </c>
      <c r="D167" s="1675" t="s">
        <v>1832</v>
      </c>
      <c r="E167" s="1692">
        <v>1450</v>
      </c>
      <c r="F167" s="1695">
        <v>180.09</v>
      </c>
      <c r="G167" s="1695">
        <f>E167*F167</f>
        <v>261130.5</v>
      </c>
      <c r="H167" s="1700"/>
      <c r="I167" s="1705">
        <f t="shared" si="23"/>
        <v>0</v>
      </c>
      <c r="J167" s="527"/>
      <c r="K167" s="527">
        <f t="shared" si="21"/>
        <v>0</v>
      </c>
    </row>
    <row r="168" spans="1:11" s="528" customFormat="1">
      <c r="A168" s="527"/>
      <c r="B168" s="1712"/>
      <c r="C168" s="1694" t="s">
        <v>1314</v>
      </c>
      <c r="D168" s="1691"/>
      <c r="E168" s="1701"/>
      <c r="F168" s="1700"/>
      <c r="G168" s="1702"/>
      <c r="H168" s="1700"/>
      <c r="I168" s="1705">
        <f t="shared" si="23"/>
        <v>0</v>
      </c>
      <c r="J168" s="527"/>
      <c r="K168" s="527">
        <f t="shared" si="21"/>
        <v>0</v>
      </c>
    </row>
    <row r="169" spans="1:11" s="528" customFormat="1">
      <c r="A169" s="527"/>
      <c r="B169" s="1710"/>
      <c r="C169" s="1694" t="s">
        <v>2718</v>
      </c>
      <c r="D169" s="1691"/>
      <c r="E169" s="1692"/>
      <c r="F169" s="1695"/>
      <c r="G169" s="1695"/>
      <c r="H169" s="1700"/>
      <c r="I169" s="1705">
        <f t="shared" si="23"/>
        <v>0</v>
      </c>
      <c r="J169" s="527"/>
      <c r="K169" s="527">
        <f t="shared" si="21"/>
        <v>0</v>
      </c>
    </row>
    <row r="170" spans="1:11" s="528" customFormat="1">
      <c r="A170" s="527"/>
      <c r="B170" s="1710"/>
      <c r="C170" s="1697" t="s">
        <v>2719</v>
      </c>
      <c r="D170" s="1691"/>
      <c r="E170" s="1692"/>
      <c r="F170" s="1695"/>
      <c r="G170" s="1695"/>
      <c r="H170" s="1700"/>
      <c r="I170" s="1705">
        <f t="shared" si="23"/>
        <v>0</v>
      </c>
      <c r="J170" s="527"/>
      <c r="K170" s="527">
        <f t="shared" si="21"/>
        <v>0</v>
      </c>
    </row>
    <row r="171" spans="1:11" s="528" customFormat="1">
      <c r="A171" s="527"/>
      <c r="B171" s="1710">
        <v>3.1</v>
      </c>
      <c r="C171" s="1697" t="s">
        <v>2720</v>
      </c>
      <c r="D171" s="1691" t="s">
        <v>1779</v>
      </c>
      <c r="E171" s="1692">
        <v>30</v>
      </c>
      <c r="F171" s="1695">
        <v>1740.87</v>
      </c>
      <c r="G171" s="1695">
        <f>E171*F171</f>
        <v>52226.1</v>
      </c>
      <c r="H171" s="1700">
        <f>'Site TOS'!H250</f>
        <v>52.74</v>
      </c>
      <c r="I171" s="1705">
        <f t="shared" si="23"/>
        <v>1582.2</v>
      </c>
      <c r="J171" s="527"/>
      <c r="K171" s="527">
        <f t="shared" si="21"/>
        <v>1582.2</v>
      </c>
    </row>
    <row r="172" spans="1:11" s="528" customFormat="1">
      <c r="A172" s="527"/>
      <c r="B172" s="1710">
        <v>3.2</v>
      </c>
      <c r="C172" s="1697" t="s">
        <v>2721</v>
      </c>
      <c r="D172" s="1691" t="s">
        <v>4</v>
      </c>
      <c r="E172" s="1692">
        <v>30</v>
      </c>
      <c r="F172" s="1695">
        <v>300</v>
      </c>
      <c r="G172" s="1695">
        <f>E172*F172</f>
        <v>9000</v>
      </c>
      <c r="H172" s="1700">
        <f>'Site TOS'!H254</f>
        <v>26</v>
      </c>
      <c r="I172" s="1705">
        <f t="shared" si="23"/>
        <v>780</v>
      </c>
      <c r="J172" s="527"/>
      <c r="K172" s="527">
        <f t="shared" si="21"/>
        <v>780</v>
      </c>
    </row>
    <row r="173" spans="1:11" s="528" customFormat="1">
      <c r="A173" s="527"/>
      <c r="B173" s="1710">
        <v>3.3</v>
      </c>
      <c r="C173" s="1697" t="s">
        <v>2722</v>
      </c>
      <c r="D173" s="1691"/>
      <c r="E173" s="1692"/>
      <c r="F173" s="1695"/>
      <c r="G173" s="1695"/>
      <c r="H173" s="1700"/>
      <c r="I173" s="1705">
        <f t="shared" si="23"/>
        <v>0</v>
      </c>
      <c r="J173" s="527"/>
      <c r="K173" s="527">
        <f t="shared" si="21"/>
        <v>0</v>
      </c>
    </row>
    <row r="174" spans="1:11" s="528" customFormat="1">
      <c r="A174" s="527"/>
      <c r="B174" s="1710"/>
      <c r="C174" s="1697" t="s">
        <v>2723</v>
      </c>
      <c r="D174" s="1691" t="s">
        <v>4</v>
      </c>
      <c r="E174" s="1692">
        <v>30</v>
      </c>
      <c r="F174" s="1695">
        <v>600</v>
      </c>
      <c r="G174" s="1695">
        <f>E174*F174</f>
        <v>18000</v>
      </c>
      <c r="H174" s="1700">
        <f>'Site TOS'!H258</f>
        <v>104</v>
      </c>
      <c r="I174" s="1705">
        <f t="shared" si="23"/>
        <v>3120</v>
      </c>
      <c r="J174" s="527"/>
      <c r="K174" s="527">
        <f t="shared" si="21"/>
        <v>3120</v>
      </c>
    </row>
    <row r="175" spans="1:11" s="528" customFormat="1">
      <c r="A175" s="527"/>
      <c r="B175" s="1710">
        <v>3.4</v>
      </c>
      <c r="C175" s="1697" t="s">
        <v>2724</v>
      </c>
      <c r="D175" s="1691" t="s">
        <v>1779</v>
      </c>
      <c r="E175" s="1692">
        <v>30</v>
      </c>
      <c r="F175" s="1695">
        <v>1296.6500000000001</v>
      </c>
      <c r="G175" s="1695">
        <f>E175*F175</f>
        <v>38899.5</v>
      </c>
      <c r="H175" s="1700">
        <f>'Site TOS'!H264</f>
        <v>313.2</v>
      </c>
      <c r="I175" s="1705">
        <f t="shared" si="23"/>
        <v>9396</v>
      </c>
      <c r="J175" s="527"/>
      <c r="K175" s="527">
        <f t="shared" si="21"/>
        <v>9396</v>
      </c>
    </row>
    <row r="176" spans="1:11" s="528" customFormat="1">
      <c r="A176" s="527"/>
      <c r="B176" s="1710">
        <v>3.5</v>
      </c>
      <c r="C176" s="1697" t="s">
        <v>2725</v>
      </c>
      <c r="D176" s="1691" t="s">
        <v>1779</v>
      </c>
      <c r="E176" s="1692">
        <v>30</v>
      </c>
      <c r="F176" s="1695">
        <v>1476.74</v>
      </c>
      <c r="G176" s="1695">
        <f>E176*F176</f>
        <v>44302.2</v>
      </c>
      <c r="H176" s="1700">
        <f>'Site TOS'!H270</f>
        <v>84.149999999999991</v>
      </c>
      <c r="I176" s="1705">
        <f t="shared" si="23"/>
        <v>2524.4999999999995</v>
      </c>
      <c r="J176" s="527"/>
      <c r="K176" s="527">
        <f t="shared" si="21"/>
        <v>2524.4999999999995</v>
      </c>
    </row>
    <row r="177" spans="1:11" s="528" customFormat="1">
      <c r="A177" s="527"/>
      <c r="B177" s="1710">
        <v>3.6</v>
      </c>
      <c r="C177" s="1697" t="s">
        <v>2726</v>
      </c>
      <c r="D177" s="1691" t="s">
        <v>1779</v>
      </c>
      <c r="E177" s="1692">
        <v>30</v>
      </c>
      <c r="F177" s="1695">
        <v>384.19</v>
      </c>
      <c r="G177" s="1695">
        <f>E177*F177</f>
        <v>11525.7</v>
      </c>
      <c r="H177" s="1700">
        <f>'Site TOS'!H276</f>
        <v>2.72</v>
      </c>
      <c r="I177" s="1705">
        <f t="shared" si="23"/>
        <v>81.600000000000009</v>
      </c>
      <c r="J177" s="527"/>
      <c r="K177" s="527">
        <f t="shared" si="21"/>
        <v>81.600000000000009</v>
      </c>
    </row>
    <row r="178" spans="1:11" s="528" customFormat="1">
      <c r="A178" s="527"/>
      <c r="B178" s="1710"/>
      <c r="C178" s="1694" t="s">
        <v>2727</v>
      </c>
      <c r="D178" s="1691"/>
      <c r="E178" s="1692"/>
      <c r="F178" s="1695"/>
      <c r="G178" s="1695"/>
      <c r="H178" s="1700"/>
      <c r="I178" s="1705">
        <f t="shared" si="23"/>
        <v>0</v>
      </c>
      <c r="J178" s="527"/>
      <c r="K178" s="527">
        <f t="shared" si="21"/>
        <v>0</v>
      </c>
    </row>
    <row r="179" spans="1:11" s="528" customFormat="1" ht="23.25">
      <c r="A179" s="527"/>
      <c r="B179" s="1710">
        <v>4.0999999999999996</v>
      </c>
      <c r="C179" s="1697" t="s">
        <v>2728</v>
      </c>
      <c r="D179" s="1675" t="s">
        <v>1831</v>
      </c>
      <c r="E179" s="1692">
        <v>165</v>
      </c>
      <c r="F179" s="1695">
        <v>630.32000000000005</v>
      </c>
      <c r="G179" s="1695">
        <f>E179*F179</f>
        <v>104002.8</v>
      </c>
      <c r="H179" s="1700"/>
      <c r="I179" s="1705">
        <f t="shared" si="23"/>
        <v>0</v>
      </c>
      <c r="J179" s="527"/>
      <c r="K179" s="527">
        <f t="shared" si="21"/>
        <v>0</v>
      </c>
    </row>
    <row r="180" spans="1:11" s="528" customFormat="1">
      <c r="A180" s="527"/>
      <c r="B180" s="1710"/>
      <c r="C180" s="1697" t="s">
        <v>2729</v>
      </c>
      <c r="D180" s="1691"/>
      <c r="E180" s="1692"/>
      <c r="F180" s="1695"/>
      <c r="G180" s="1695"/>
      <c r="H180" s="1695"/>
      <c r="I180" s="1705">
        <f t="shared" si="23"/>
        <v>0</v>
      </c>
      <c r="J180" s="527"/>
      <c r="K180" s="527">
        <f t="shared" si="21"/>
        <v>0</v>
      </c>
    </row>
    <row r="181" spans="1:11" s="528" customFormat="1">
      <c r="A181" s="527"/>
      <c r="B181" s="1757"/>
      <c r="C181" s="1758" t="s">
        <v>2730</v>
      </c>
      <c r="D181" s="1765" t="s">
        <v>1402</v>
      </c>
      <c r="E181" s="1759">
        <v>50</v>
      </c>
      <c r="F181" s="1760">
        <v>1320.66</v>
      </c>
      <c r="G181" s="1760">
        <f>E181*F181</f>
        <v>66033</v>
      </c>
      <c r="H181" s="1761"/>
      <c r="I181" s="1726">
        <f t="shared" si="23"/>
        <v>0</v>
      </c>
      <c r="J181" s="527"/>
      <c r="K181" s="527">
        <f t="shared" si="21"/>
        <v>0</v>
      </c>
    </row>
    <row r="182" spans="1:11" s="1079" customFormat="1" ht="26.25">
      <c r="B182" s="2401" t="s">
        <v>2634</v>
      </c>
      <c r="C182" s="2401"/>
      <c r="D182" s="2401"/>
      <c r="E182" s="1763"/>
      <c r="F182" s="1764"/>
      <c r="G182" s="1764">
        <f>SUM(G152:G181)</f>
        <v>1051259.3599999999</v>
      </c>
      <c r="H182" s="1737"/>
      <c r="I182" s="1737">
        <f>SUM(I152:I181)</f>
        <v>111549.7672</v>
      </c>
      <c r="J182" s="1673"/>
      <c r="K182" s="527">
        <f t="shared" si="21"/>
        <v>0</v>
      </c>
    </row>
    <row r="183" spans="1:11">
      <c r="K183" s="527">
        <f>SUM(K9:K182)</f>
        <v>4722112.4182500001</v>
      </c>
    </row>
  </sheetData>
  <protectedRanges>
    <protectedRange password="CC12" sqref="G92 I53:I56 I92 G53:G56 E57:E68 I69 G69:G70" name="Range1_1_1_1_1_1_1"/>
  </protectedRanges>
  <mergeCells count="20">
    <mergeCell ref="B1:C1"/>
    <mergeCell ref="B2:C2"/>
    <mergeCell ref="B3:C3"/>
    <mergeCell ref="B4:C4"/>
    <mergeCell ref="B5:I5"/>
    <mergeCell ref="B141:D141"/>
    <mergeCell ref="B182:D182"/>
    <mergeCell ref="I6:I7"/>
    <mergeCell ref="B53:D53"/>
    <mergeCell ref="B92:D92"/>
    <mergeCell ref="B106:D106"/>
    <mergeCell ref="B120:D120"/>
    <mergeCell ref="B6:B7"/>
    <mergeCell ref="D6:D7"/>
    <mergeCell ref="E6:E7"/>
    <mergeCell ref="F6:F7"/>
    <mergeCell ref="G6:G7"/>
    <mergeCell ref="B69:D69"/>
    <mergeCell ref="B148:D148"/>
    <mergeCell ref="H6:H7"/>
  </mergeCells>
  <pageMargins left="0.45" right="0.2" top="0.5" bottom="0.5" header="0.3" footer="0.3"/>
  <pageSetup scale="50" orientation="portrait" r:id="rId1"/>
  <headerFooter>
    <oddFooter>&amp;L&amp;16Contractor: - _______&amp;CConsultant: - ______________&amp;R&amp;16Client: -___________</oddFooter>
  </headerFooter>
  <rowBreaks count="3" manualBreakCount="3">
    <brk id="53" max="9" man="1"/>
    <brk id="92" max="9" man="1"/>
    <brk id="141" max="9"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0"/>
  <sheetViews>
    <sheetView view="pageBreakPreview" zoomScale="115" zoomScaleNormal="115" zoomScaleSheetLayoutView="115" zoomScalePageLayoutView="85" workbookViewId="0">
      <selection activeCell="I35" sqref="I35"/>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1331"/>
      <c r="H1" s="1331" t="s">
        <v>1918</v>
      </c>
      <c r="I1" s="1332">
        <f ca="1">TODAY()</f>
        <v>42423</v>
      </c>
      <c r="J1" s="820"/>
    </row>
    <row r="2" spans="1:10">
      <c r="A2" s="818"/>
      <c r="B2" s="2059" t="s">
        <v>1917</v>
      </c>
      <c r="C2" s="2059"/>
      <c r="D2" s="2059"/>
      <c r="E2" s="2059"/>
      <c r="F2" s="819"/>
      <c r="G2" s="1331"/>
      <c r="J2" s="818"/>
    </row>
    <row r="3" spans="1:10">
      <c r="A3" s="818"/>
      <c r="B3" s="2059" t="s">
        <v>1920</v>
      </c>
      <c r="C3" s="2059"/>
      <c r="D3" s="2059"/>
      <c r="E3" s="2059"/>
      <c r="F3" s="2059"/>
      <c r="G3" s="1331"/>
      <c r="H3" s="2060" t="s">
        <v>3279</v>
      </c>
      <c r="I3" s="2060"/>
      <c r="J3" s="818"/>
    </row>
    <row r="4" spans="1:10">
      <c r="A4" s="818"/>
      <c r="B4" s="2059" t="s">
        <v>1921</v>
      </c>
      <c r="C4" s="2059"/>
      <c r="D4" s="2059"/>
      <c r="E4" s="2059"/>
      <c r="F4" s="819"/>
      <c r="G4" s="1331"/>
      <c r="H4" s="2089"/>
      <c r="I4" s="2089"/>
      <c r="J4" s="818"/>
    </row>
    <row r="5" spans="1:10">
      <c r="A5" s="818"/>
      <c r="B5" s="824"/>
      <c r="C5" s="1331"/>
      <c r="D5" s="1331"/>
      <c r="E5" s="825"/>
      <c r="F5" s="819"/>
      <c r="G5" s="1331"/>
      <c r="H5" s="827"/>
      <c r="I5" s="1330"/>
      <c r="J5" s="818"/>
    </row>
    <row r="6" spans="1:10">
      <c r="A6" s="828"/>
      <c r="B6" s="853" t="s">
        <v>1884</v>
      </c>
      <c r="C6" s="854" t="s">
        <v>526</v>
      </c>
      <c r="D6" s="855" t="s">
        <v>1885</v>
      </c>
      <c r="E6" s="854" t="s">
        <v>1886</v>
      </c>
      <c r="F6" s="853" t="s">
        <v>1884</v>
      </c>
      <c r="G6" s="855" t="s">
        <v>526</v>
      </c>
      <c r="H6" s="856" t="s">
        <v>1885</v>
      </c>
      <c r="I6" s="854" t="s">
        <v>1886</v>
      </c>
      <c r="J6" s="828"/>
    </row>
    <row r="7" spans="1:10">
      <c r="A7" s="818"/>
      <c r="B7" s="831"/>
      <c r="C7" s="829"/>
      <c r="D7" s="832"/>
      <c r="E7" s="435" t="s">
        <v>2733</v>
      </c>
      <c r="F7" s="831">
        <v>1</v>
      </c>
      <c r="G7" s="829">
        <v>2.5</v>
      </c>
      <c r="H7" s="832"/>
      <c r="I7" s="435"/>
    </row>
    <row r="8" spans="1:10">
      <c r="A8" s="818"/>
      <c r="B8" s="831"/>
      <c r="C8" s="829"/>
      <c r="D8" s="832"/>
      <c r="E8" s="435" t="s">
        <v>2796</v>
      </c>
      <c r="F8" s="831"/>
      <c r="G8" s="829">
        <v>53.5</v>
      </c>
      <c r="H8" s="832"/>
      <c r="I8" s="435"/>
    </row>
    <row r="9" spans="1:10">
      <c r="A9" s="818"/>
      <c r="B9" s="831">
        <v>1</v>
      </c>
      <c r="C9" s="829">
        <v>2</v>
      </c>
      <c r="D9" s="832"/>
      <c r="E9" s="435"/>
      <c r="F9" s="831"/>
      <c r="G9" s="829">
        <v>0.6</v>
      </c>
      <c r="H9" s="832">
        <f>G9*G8*G7*F7</f>
        <v>80.25</v>
      </c>
      <c r="I9" s="435"/>
    </row>
    <row r="10" spans="1:10">
      <c r="A10" s="818"/>
      <c r="B10" s="839"/>
      <c r="C10" s="935"/>
      <c r="D10" s="838">
        <f>C9*B9</f>
        <v>2</v>
      </c>
      <c r="E10" s="839" t="s">
        <v>2735</v>
      </c>
      <c r="F10" s="831"/>
      <c r="G10" s="829"/>
      <c r="H10" s="832"/>
      <c r="I10" s="435"/>
    </row>
    <row r="11" spans="1:10">
      <c r="A11" s="818"/>
      <c r="F11" s="831">
        <v>1</v>
      </c>
      <c r="G11" s="829">
        <v>60</v>
      </c>
      <c r="H11" s="832"/>
      <c r="I11" s="435" t="s">
        <v>2749</v>
      </c>
    </row>
    <row r="12" spans="1:10">
      <c r="A12" s="818"/>
      <c r="B12" s="831"/>
      <c r="C12" s="829"/>
      <c r="D12" s="832"/>
      <c r="E12" s="435" t="s">
        <v>2734</v>
      </c>
      <c r="F12" s="831"/>
      <c r="G12" s="829">
        <v>6</v>
      </c>
      <c r="H12" s="832"/>
      <c r="I12" s="435"/>
    </row>
    <row r="13" spans="1:10">
      <c r="A13" s="818"/>
      <c r="B13" s="831">
        <v>1</v>
      </c>
      <c r="C13" s="829">
        <v>4</v>
      </c>
      <c r="D13" s="832"/>
      <c r="E13" s="435"/>
      <c r="F13" s="831"/>
      <c r="G13" s="829">
        <v>0.31</v>
      </c>
      <c r="H13" s="832">
        <f>G13*G12*G11*F11</f>
        <v>111.6</v>
      </c>
      <c r="I13" s="435"/>
    </row>
    <row r="14" spans="1:10">
      <c r="A14" s="818"/>
      <c r="B14" s="839"/>
      <c r="C14" s="935"/>
      <c r="D14" s="838">
        <f>C13*B13</f>
        <v>4</v>
      </c>
      <c r="E14" s="839" t="s">
        <v>2735</v>
      </c>
      <c r="F14" s="831"/>
      <c r="G14" s="829"/>
      <c r="H14" s="832"/>
      <c r="I14" s="435"/>
    </row>
    <row r="15" spans="1:10">
      <c r="A15" s="818"/>
      <c r="F15" s="831">
        <v>1</v>
      </c>
      <c r="G15" s="829">
        <v>30</v>
      </c>
      <c r="H15" s="832"/>
      <c r="I15" s="435" t="s">
        <v>2750</v>
      </c>
    </row>
    <row r="16" spans="1:10">
      <c r="A16" s="818"/>
      <c r="B16" s="831"/>
      <c r="C16" s="829"/>
      <c r="D16" s="832"/>
      <c r="E16" s="435" t="s">
        <v>2736</v>
      </c>
      <c r="F16" s="831"/>
      <c r="G16" s="829">
        <v>18</v>
      </c>
      <c r="H16" s="832"/>
      <c r="I16" s="435"/>
    </row>
    <row r="17" spans="1:9">
      <c r="A17" s="818"/>
      <c r="B17" s="831">
        <v>1</v>
      </c>
      <c r="C17" s="829">
        <v>3</v>
      </c>
      <c r="D17" s="832"/>
      <c r="E17" s="435"/>
      <c r="F17" s="831"/>
      <c r="G17" s="829">
        <v>0.31</v>
      </c>
      <c r="H17" s="832">
        <f>G17*G16*G15*F15</f>
        <v>167.4</v>
      </c>
      <c r="I17" s="435"/>
    </row>
    <row r="18" spans="1:9">
      <c r="A18" s="818"/>
      <c r="B18" s="839"/>
      <c r="C18" s="935"/>
      <c r="D18" s="838">
        <f>C17*B17</f>
        <v>3</v>
      </c>
      <c r="E18" s="839" t="s">
        <v>2735</v>
      </c>
      <c r="F18" s="831"/>
      <c r="G18" s="829"/>
      <c r="H18" s="832"/>
      <c r="I18" s="435"/>
    </row>
    <row r="19" spans="1:9">
      <c r="A19" s="818"/>
      <c r="F19" s="831">
        <v>1</v>
      </c>
      <c r="G19" s="829">
        <v>20</v>
      </c>
      <c r="H19" s="832"/>
      <c r="I19" s="435" t="s">
        <v>2753</v>
      </c>
    </row>
    <row r="20" spans="1:9">
      <c r="A20" s="818"/>
      <c r="B20" s="831"/>
      <c r="C20" s="829"/>
      <c r="D20" s="832"/>
      <c r="E20" s="1335" t="s">
        <v>2737</v>
      </c>
      <c r="F20" s="831"/>
      <c r="G20" s="829">
        <v>10</v>
      </c>
      <c r="H20" s="832"/>
      <c r="I20" s="435"/>
    </row>
    <row r="21" spans="1:9">
      <c r="A21" s="818"/>
      <c r="B21" s="831"/>
      <c r="C21" s="829"/>
      <c r="D21" s="832"/>
      <c r="E21" s="1335" t="s">
        <v>2738</v>
      </c>
      <c r="F21" s="831"/>
      <c r="G21" s="829">
        <v>0.59</v>
      </c>
      <c r="H21" s="832">
        <f>G21*G20*G19*F19</f>
        <v>117.99999999999999</v>
      </c>
      <c r="I21" s="435"/>
    </row>
    <row r="22" spans="1:9">
      <c r="A22" s="818"/>
      <c r="B22" s="831"/>
      <c r="C22" s="829"/>
      <c r="D22" s="832"/>
      <c r="E22" s="1335" t="s">
        <v>2739</v>
      </c>
      <c r="F22" s="831"/>
      <c r="G22" s="829"/>
      <c r="H22" s="832"/>
      <c r="I22" s="435"/>
    </row>
    <row r="23" spans="1:9">
      <c r="A23" s="818"/>
      <c r="B23" s="831"/>
      <c r="C23" s="829"/>
      <c r="D23" s="832"/>
      <c r="E23" s="1335" t="s">
        <v>2740</v>
      </c>
      <c r="F23" s="839"/>
      <c r="G23" s="935"/>
      <c r="H23" s="838">
        <f>H9+D63+D60+D57+H13+H17+H21+D53+D49+D45</f>
        <v>671.61250000000007</v>
      </c>
      <c r="I23" s="839" t="s">
        <v>2754</v>
      </c>
    </row>
    <row r="24" spans="1:9">
      <c r="A24" s="818"/>
      <c r="B24" s="839">
        <v>6</v>
      </c>
      <c r="C24" s="935">
        <v>1</v>
      </c>
      <c r="D24" s="838">
        <f>C24*B24</f>
        <v>6</v>
      </c>
      <c r="E24" s="839" t="s">
        <v>2735</v>
      </c>
      <c r="F24" s="831"/>
      <c r="G24" s="829"/>
      <c r="H24" s="843"/>
      <c r="I24" s="435"/>
    </row>
    <row r="25" spans="1:9">
      <c r="A25" s="818"/>
      <c r="F25" s="831"/>
      <c r="G25" s="829"/>
      <c r="H25" s="832"/>
      <c r="I25" s="1335" t="s">
        <v>2755</v>
      </c>
    </row>
    <row r="26" spans="1:9">
      <c r="A26" s="818"/>
      <c r="B26" s="831"/>
      <c r="C26" s="829"/>
      <c r="D26" s="832"/>
      <c r="E26" s="1335" t="s">
        <v>2741</v>
      </c>
      <c r="F26" s="831"/>
      <c r="G26" s="829"/>
      <c r="H26" s="832"/>
      <c r="I26" s="435" t="s">
        <v>2756</v>
      </c>
    </row>
    <row r="27" spans="1:9">
      <c r="A27" s="818"/>
      <c r="B27" s="839">
        <v>3</v>
      </c>
      <c r="C27" s="935">
        <v>1</v>
      </c>
      <c r="D27" s="838">
        <f>C27*B27</f>
        <v>3</v>
      </c>
      <c r="E27" s="839" t="s">
        <v>2735</v>
      </c>
      <c r="F27" s="839"/>
      <c r="G27" s="935"/>
      <c r="H27" s="838">
        <f>H23</f>
        <v>671.61250000000007</v>
      </c>
      <c r="I27" s="839" t="s">
        <v>2754</v>
      </c>
    </row>
    <row r="28" spans="1:9">
      <c r="A28" s="818"/>
      <c r="B28" s="435"/>
      <c r="C28" s="1647"/>
      <c r="D28" s="1647"/>
      <c r="E28" s="435"/>
      <c r="F28" s="1335"/>
      <c r="G28" s="848"/>
      <c r="H28" s="843"/>
      <c r="I28" s="435"/>
    </row>
    <row r="29" spans="1:9">
      <c r="A29" s="818"/>
      <c r="B29" s="435"/>
      <c r="C29" s="1647"/>
      <c r="D29" s="832"/>
      <c r="E29" s="1647" t="s">
        <v>3430</v>
      </c>
      <c r="F29" s="1335"/>
      <c r="G29" s="848"/>
      <c r="H29" s="843"/>
      <c r="I29" s="1335" t="s">
        <v>2757</v>
      </c>
    </row>
    <row r="30" spans="1:9">
      <c r="A30" s="818"/>
      <c r="B30" s="435"/>
      <c r="C30" s="1647"/>
      <c r="D30" s="832"/>
      <c r="E30" s="435" t="s">
        <v>3431</v>
      </c>
      <c r="F30" s="1335"/>
      <c r="G30" s="848"/>
      <c r="H30" s="843"/>
      <c r="I30" s="1335" t="s">
        <v>3280</v>
      </c>
    </row>
    <row r="31" spans="1:9">
      <c r="A31" s="818"/>
      <c r="B31" s="831">
        <v>1</v>
      </c>
      <c r="C31" s="829">
        <v>131</v>
      </c>
      <c r="D31" s="1647"/>
      <c r="E31" s="435"/>
      <c r="F31" s="831">
        <v>1</v>
      </c>
      <c r="G31" s="829">
        <v>1.5</v>
      </c>
      <c r="H31" s="832"/>
      <c r="I31" s="435"/>
    </row>
    <row r="32" spans="1:9">
      <c r="A32" s="818"/>
      <c r="B32" s="839"/>
      <c r="C32" s="935"/>
      <c r="D32" s="838">
        <f>C31*B31</f>
        <v>131</v>
      </c>
      <c r="E32" s="839" t="s">
        <v>3376</v>
      </c>
      <c r="F32" s="831"/>
      <c r="G32" s="829">
        <v>26.9</v>
      </c>
      <c r="H32" s="832">
        <f>G32*G31*F31</f>
        <v>40.349999999999994</v>
      </c>
      <c r="I32" s="435"/>
    </row>
    <row r="33" spans="1:9">
      <c r="A33" s="818"/>
      <c r="B33" s="435"/>
      <c r="C33" s="1647"/>
      <c r="D33" s="1647"/>
      <c r="E33" s="435"/>
      <c r="F33" s="831"/>
      <c r="G33" s="829"/>
      <c r="H33" s="832"/>
      <c r="I33" s="435"/>
    </row>
    <row r="34" spans="1:9">
      <c r="A34" s="818"/>
      <c r="B34" s="435"/>
      <c r="C34" s="1647"/>
      <c r="D34" s="1647"/>
      <c r="E34" s="435" t="s">
        <v>3432</v>
      </c>
      <c r="F34" s="831">
        <v>1</v>
      </c>
      <c r="G34" s="829">
        <v>2.25</v>
      </c>
      <c r="H34" s="832"/>
      <c r="I34" s="435"/>
    </row>
    <row r="35" spans="1:9">
      <c r="A35" s="818"/>
      <c r="B35" s="831">
        <v>1</v>
      </c>
      <c r="C35" s="829">
        <f>154</f>
        <v>154</v>
      </c>
      <c r="D35" s="1647"/>
      <c r="E35" s="435"/>
      <c r="F35" s="831"/>
      <c r="G35" s="829">
        <v>7.15</v>
      </c>
      <c r="H35" s="832">
        <f>G35*G34*F34</f>
        <v>16.087500000000002</v>
      </c>
      <c r="I35" s="435"/>
    </row>
    <row r="36" spans="1:9">
      <c r="A36" s="818"/>
      <c r="B36" s="839"/>
      <c r="C36" s="935"/>
      <c r="D36" s="838">
        <f>C35*B35</f>
        <v>154</v>
      </c>
      <c r="E36" s="839" t="s">
        <v>3376</v>
      </c>
      <c r="F36" s="1335"/>
      <c r="G36" s="848"/>
      <c r="H36" s="843"/>
      <c r="I36" s="435"/>
    </row>
    <row r="37" spans="1:9">
      <c r="A37" s="818"/>
      <c r="F37" s="831">
        <v>1</v>
      </c>
      <c r="G37" s="829">
        <v>1.5</v>
      </c>
      <c r="H37" s="832"/>
      <c r="I37" s="435"/>
    </row>
    <row r="38" spans="1:9">
      <c r="A38" s="818"/>
      <c r="B38" s="831"/>
      <c r="C38" s="829"/>
      <c r="D38" s="832"/>
      <c r="E38" s="1647" t="s">
        <v>2744</v>
      </c>
      <c r="F38" s="831"/>
      <c r="G38" s="829">
        <v>10.5</v>
      </c>
      <c r="H38" s="832">
        <f>G38*G37*F37</f>
        <v>15.75</v>
      </c>
      <c r="I38" s="435"/>
    </row>
    <row r="39" spans="1:9">
      <c r="A39" s="818"/>
      <c r="B39" s="831"/>
      <c r="C39" s="829"/>
      <c r="D39" s="832"/>
      <c r="E39" s="1647" t="s">
        <v>2745</v>
      </c>
      <c r="F39" s="1335"/>
      <c r="G39" s="848"/>
      <c r="H39" s="843"/>
      <c r="I39" s="435"/>
    </row>
    <row r="40" spans="1:9">
      <c r="A40" s="818"/>
      <c r="B40" s="831"/>
      <c r="C40" s="829"/>
      <c r="D40" s="832"/>
      <c r="E40" s="1647" t="s">
        <v>2746</v>
      </c>
      <c r="F40" s="831">
        <v>1</v>
      </c>
      <c r="G40" s="829">
        <v>2.5</v>
      </c>
      <c r="H40" s="832"/>
      <c r="I40" s="435" t="s">
        <v>2751</v>
      </c>
    </row>
    <row r="41" spans="1:9">
      <c r="A41" s="818"/>
      <c r="B41" s="831"/>
      <c r="C41" s="829"/>
      <c r="D41" s="832"/>
      <c r="E41" s="435" t="s">
        <v>2747</v>
      </c>
      <c r="F41" s="831"/>
      <c r="G41" s="829">
        <v>17.7</v>
      </c>
      <c r="H41" s="832">
        <f>G41*G40*F40</f>
        <v>44.25</v>
      </c>
      <c r="I41" s="435" t="s">
        <v>2752</v>
      </c>
    </row>
    <row r="42" spans="1:9">
      <c r="A42" s="818"/>
      <c r="B42" s="831"/>
      <c r="C42" s="829"/>
      <c r="D42" s="832"/>
      <c r="E42" s="435" t="s">
        <v>2748</v>
      </c>
      <c r="F42" s="1335"/>
      <c r="G42" s="848"/>
      <c r="H42" s="843"/>
      <c r="I42" s="435"/>
    </row>
    <row r="43" spans="1:9">
      <c r="A43" s="818"/>
      <c r="B43" s="831">
        <v>1</v>
      </c>
      <c r="C43" s="829">
        <v>1.5</v>
      </c>
      <c r="D43" s="832"/>
      <c r="E43" s="435"/>
      <c r="F43" s="831">
        <v>1</v>
      </c>
      <c r="G43" s="829">
        <v>2.5</v>
      </c>
      <c r="H43" s="832"/>
      <c r="I43" s="435"/>
    </row>
    <row r="44" spans="1:9">
      <c r="A44" s="818"/>
      <c r="B44" s="831"/>
      <c r="C44" s="829">
        <v>26.9</v>
      </c>
      <c r="D44" s="832"/>
      <c r="E44" s="435"/>
      <c r="F44" s="831"/>
      <c r="G44" s="829">
        <v>51.5</v>
      </c>
      <c r="H44" s="832">
        <f>G44*G43*F43</f>
        <v>128.75</v>
      </c>
      <c r="I44" s="435"/>
    </row>
    <row r="45" spans="1:9">
      <c r="A45" s="818"/>
      <c r="B45" s="831"/>
      <c r="C45" s="829">
        <v>0.6</v>
      </c>
      <c r="D45" s="832">
        <f>C45*C44*C43*B43</f>
        <v>24.209999999999994</v>
      </c>
      <c r="E45" s="435"/>
      <c r="F45" s="831"/>
      <c r="G45" s="829"/>
      <c r="H45" s="832"/>
      <c r="I45" s="435"/>
    </row>
    <row r="46" spans="1:9">
      <c r="A46" s="818"/>
      <c r="F46" s="831">
        <v>1</v>
      </c>
      <c r="G46" s="829">
        <v>2.5</v>
      </c>
      <c r="H46" s="832"/>
      <c r="I46" s="435"/>
    </row>
    <row r="47" spans="1:9">
      <c r="A47" s="818"/>
      <c r="B47" s="831">
        <v>1</v>
      </c>
      <c r="C47" s="829">
        <v>2.25</v>
      </c>
      <c r="D47" s="832"/>
      <c r="E47" s="435"/>
      <c r="F47" s="831"/>
      <c r="G47" s="829">
        <v>31.5</v>
      </c>
      <c r="H47" s="832">
        <f>G47*G46*F46</f>
        <v>78.75</v>
      </c>
      <c r="I47" s="435"/>
    </row>
    <row r="48" spans="1:9">
      <c r="A48" s="818"/>
      <c r="B48" s="831"/>
      <c r="C48" s="829">
        <v>7.15</v>
      </c>
      <c r="D48" s="832"/>
      <c r="E48" s="435"/>
      <c r="F48" s="831"/>
      <c r="G48" s="829"/>
      <c r="H48" s="832"/>
      <c r="I48" s="435"/>
    </row>
    <row r="49" spans="1:9">
      <c r="A49" s="818"/>
      <c r="B49" s="831"/>
      <c r="C49" s="829">
        <v>0.6</v>
      </c>
      <c r="D49" s="832">
        <f>C49*C48*C47*B47</f>
        <v>9.6524999999999999</v>
      </c>
      <c r="E49" s="435"/>
      <c r="F49" s="831">
        <v>1</v>
      </c>
      <c r="G49" s="829">
        <v>2.5</v>
      </c>
      <c r="H49" s="832"/>
      <c r="I49" s="435"/>
    </row>
    <row r="50" spans="1:9">
      <c r="A50" s="818"/>
      <c r="F50" s="831"/>
      <c r="G50" s="829">
        <v>53.5</v>
      </c>
      <c r="H50" s="832">
        <f>G50*G49*F49</f>
        <v>133.75</v>
      </c>
      <c r="I50" s="435"/>
    </row>
    <row r="51" spans="1:9">
      <c r="A51" s="818"/>
      <c r="B51" s="831">
        <v>1</v>
      </c>
      <c r="C51" s="829">
        <v>1.5</v>
      </c>
      <c r="D51" s="832"/>
      <c r="E51" s="435"/>
      <c r="F51" s="1335"/>
      <c r="G51" s="848"/>
      <c r="H51" s="843"/>
      <c r="I51" s="435"/>
    </row>
    <row r="52" spans="1:9">
      <c r="A52" s="818"/>
      <c r="B52" s="831"/>
      <c r="C52" s="829">
        <v>10.5</v>
      </c>
      <c r="D52" s="832"/>
      <c r="E52" s="435"/>
      <c r="F52" s="831">
        <v>1</v>
      </c>
      <c r="G52" s="829">
        <v>60</v>
      </c>
      <c r="H52" s="832"/>
      <c r="I52" s="435" t="s">
        <v>2749</v>
      </c>
    </row>
    <row r="53" spans="1:9">
      <c r="A53" s="818"/>
      <c r="B53" s="831"/>
      <c r="C53" s="829">
        <v>0.6</v>
      </c>
      <c r="D53" s="832">
        <f>C53*C52*C51*B51</f>
        <v>9.4499999999999993</v>
      </c>
      <c r="E53" s="435"/>
      <c r="F53" s="831"/>
      <c r="G53" s="829">
        <v>6</v>
      </c>
      <c r="H53" s="832">
        <f>G53*G52*F52</f>
        <v>360</v>
      </c>
      <c r="I53" s="435"/>
    </row>
    <row r="54" spans="1:9">
      <c r="A54" s="818"/>
      <c r="F54" s="1335"/>
      <c r="G54" s="848"/>
      <c r="H54" s="843"/>
      <c r="I54" s="435"/>
    </row>
    <row r="55" spans="1:9">
      <c r="A55" s="818"/>
      <c r="B55" s="831">
        <v>1</v>
      </c>
      <c r="C55" s="829">
        <v>2.5</v>
      </c>
      <c r="D55" s="832"/>
      <c r="E55" s="435" t="s">
        <v>2751</v>
      </c>
      <c r="F55" s="831">
        <v>1</v>
      </c>
      <c r="G55" s="829">
        <v>30</v>
      </c>
      <c r="H55" s="832"/>
      <c r="I55" s="435" t="s">
        <v>2750</v>
      </c>
    </row>
    <row r="56" spans="1:9">
      <c r="A56" s="818"/>
      <c r="B56" s="831"/>
      <c r="C56" s="829">
        <v>17.7</v>
      </c>
      <c r="D56" s="832"/>
      <c r="E56" s="435" t="s">
        <v>2752</v>
      </c>
      <c r="F56" s="831"/>
      <c r="G56" s="829">
        <v>18</v>
      </c>
      <c r="H56" s="832">
        <f>G56*G55*F55</f>
        <v>540</v>
      </c>
      <c r="I56" s="435"/>
    </row>
    <row r="57" spans="1:9">
      <c r="A57" s="818"/>
      <c r="B57" s="831"/>
      <c r="C57" s="829">
        <v>0.6</v>
      </c>
      <c r="D57" s="832">
        <f>C57*C56*C55*B55</f>
        <v>26.549999999999997</v>
      </c>
      <c r="E57" s="435"/>
      <c r="F57" s="1335"/>
      <c r="G57" s="848"/>
      <c r="H57" s="843"/>
      <c r="I57" s="435"/>
    </row>
    <row r="58" spans="1:9">
      <c r="A58" s="818"/>
      <c r="B58" s="831">
        <v>1</v>
      </c>
      <c r="C58" s="829">
        <v>2.5</v>
      </c>
      <c r="D58" s="832"/>
      <c r="E58" s="435"/>
      <c r="F58" s="831">
        <v>1</v>
      </c>
      <c r="G58" s="829">
        <v>20</v>
      </c>
      <c r="H58" s="832"/>
      <c r="I58" s="435" t="s">
        <v>2753</v>
      </c>
    </row>
    <row r="59" spans="1:9">
      <c r="A59" s="818"/>
      <c r="B59" s="831"/>
      <c r="C59" s="829">
        <v>51.5</v>
      </c>
      <c r="D59" s="832"/>
      <c r="E59" s="435"/>
      <c r="F59" s="831"/>
      <c r="G59" s="829">
        <v>10</v>
      </c>
      <c r="H59" s="832">
        <f>G59*G58*F58</f>
        <v>200</v>
      </c>
      <c r="I59" s="435"/>
    </row>
    <row r="60" spans="1:9">
      <c r="A60" s="818"/>
      <c r="B60" s="831"/>
      <c r="C60" s="829">
        <v>0.6</v>
      </c>
      <c r="D60" s="832">
        <f>C60*C59*C58*B58</f>
        <v>77.25</v>
      </c>
      <c r="E60" s="435"/>
      <c r="F60" s="980"/>
      <c r="G60" s="980"/>
      <c r="H60" s="980"/>
      <c r="I60" s="435"/>
    </row>
    <row r="61" spans="1:9">
      <c r="A61" s="818"/>
      <c r="B61" s="831">
        <v>1</v>
      </c>
      <c r="C61" s="829">
        <v>2.5</v>
      </c>
      <c r="D61" s="832"/>
      <c r="E61" s="435"/>
      <c r="F61" s="839"/>
      <c r="G61" s="935"/>
      <c r="H61" s="838">
        <f>SUM(H32:H60)</f>
        <v>1557.6875</v>
      </c>
      <c r="I61" s="839" t="s">
        <v>2754</v>
      </c>
    </row>
    <row r="62" spans="1:9">
      <c r="A62" s="818"/>
      <c r="B62" s="831"/>
      <c r="C62" s="829">
        <v>31.5</v>
      </c>
      <c r="D62" s="832"/>
      <c r="E62" s="435"/>
      <c r="F62" s="831"/>
      <c r="G62" s="829"/>
      <c r="H62" s="832"/>
      <c r="I62" s="833"/>
    </row>
    <row r="63" spans="1:9">
      <c r="A63" s="818"/>
      <c r="B63" s="831"/>
      <c r="C63" s="829">
        <v>0.6</v>
      </c>
      <c r="D63" s="832">
        <f>C63*C62*C61*B61</f>
        <v>47.25</v>
      </c>
      <c r="E63" s="435"/>
      <c r="F63" s="831"/>
      <c r="G63" s="829"/>
      <c r="H63" s="832"/>
      <c r="I63" s="833"/>
    </row>
    <row r="64" spans="1:9">
      <c r="A64" s="818"/>
      <c r="B64" s="849"/>
      <c r="C64" s="850"/>
      <c r="D64" s="851"/>
      <c r="E64" s="852"/>
      <c r="F64" s="849"/>
      <c r="G64" s="850"/>
      <c r="H64" s="851"/>
      <c r="I64" s="435"/>
    </row>
    <row r="65" spans="1:10">
      <c r="A65" s="828"/>
      <c r="B65" s="853" t="s">
        <v>1884</v>
      </c>
      <c r="C65" s="855" t="s">
        <v>526</v>
      </c>
      <c r="D65" s="856" t="s">
        <v>1885</v>
      </c>
      <c r="E65" s="854" t="s">
        <v>1886</v>
      </c>
      <c r="F65" s="853" t="s">
        <v>1884</v>
      </c>
      <c r="G65" s="855" t="s">
        <v>526</v>
      </c>
      <c r="H65" s="856" t="s">
        <v>1885</v>
      </c>
      <c r="I65" s="854" t="s">
        <v>1886</v>
      </c>
      <c r="J65" s="828"/>
    </row>
    <row r="66" spans="1:10">
      <c r="A66" s="818"/>
      <c r="B66" s="831"/>
      <c r="C66" s="829"/>
      <c r="D66" s="832"/>
      <c r="E66" s="1335" t="s">
        <v>3290</v>
      </c>
      <c r="F66" s="831"/>
      <c r="G66" s="829"/>
      <c r="H66" s="832"/>
      <c r="I66" s="1335" t="s">
        <v>2760</v>
      </c>
    </row>
    <row r="67" spans="1:10">
      <c r="A67" s="818"/>
      <c r="B67" s="831">
        <v>1</v>
      </c>
      <c r="C67" s="829">
        <v>125.2</v>
      </c>
      <c r="D67" s="832"/>
      <c r="E67" s="435" t="s">
        <v>3291</v>
      </c>
      <c r="F67" s="831">
        <v>63</v>
      </c>
      <c r="G67" s="829">
        <v>2</v>
      </c>
      <c r="H67" s="832"/>
      <c r="I67" s="435"/>
    </row>
    <row r="68" spans="1:10">
      <c r="A68" s="818"/>
      <c r="B68" s="831"/>
      <c r="C68" s="829">
        <v>2.5</v>
      </c>
      <c r="D68" s="832">
        <f>B67*C67*C68</f>
        <v>313</v>
      </c>
      <c r="E68" s="435"/>
      <c r="F68" s="831"/>
      <c r="G68" s="829">
        <v>1.2</v>
      </c>
      <c r="H68" s="832"/>
      <c r="I68" s="435"/>
    </row>
    <row r="69" spans="1:10">
      <c r="A69" s="818"/>
      <c r="B69" s="831"/>
      <c r="C69" s="829"/>
      <c r="D69" s="832"/>
      <c r="E69" s="435"/>
      <c r="F69" s="839"/>
      <c r="G69" s="935"/>
      <c r="H69" s="838">
        <f>G68*G67*F67</f>
        <v>151.19999999999999</v>
      </c>
      <c r="I69" s="839" t="s">
        <v>2758</v>
      </c>
    </row>
    <row r="70" spans="1:10">
      <c r="A70" s="818"/>
      <c r="B70" s="831">
        <v>1</v>
      </c>
      <c r="C70" s="829">
        <v>31.5</v>
      </c>
      <c r="D70" s="832"/>
      <c r="E70" s="435"/>
      <c r="F70" s="831"/>
      <c r="G70" s="829"/>
      <c r="H70" s="832"/>
      <c r="I70" s="435"/>
    </row>
    <row r="71" spans="1:10">
      <c r="A71" s="818"/>
      <c r="B71" s="831"/>
      <c r="C71" s="829">
        <v>2.5</v>
      </c>
      <c r="D71" s="832">
        <f>B70*C70*C71</f>
        <v>78.75</v>
      </c>
      <c r="E71" s="435" t="s">
        <v>3292</v>
      </c>
      <c r="F71" s="831"/>
      <c r="G71" s="829"/>
      <c r="H71" s="832"/>
      <c r="I71" s="1335" t="s">
        <v>2797</v>
      </c>
    </row>
    <row r="72" spans="1:10">
      <c r="A72" s="818"/>
      <c r="B72" s="831"/>
      <c r="C72" s="829"/>
      <c r="D72" s="832"/>
      <c r="E72" s="435"/>
      <c r="F72" s="831">
        <v>1</v>
      </c>
      <c r="G72" s="829">
        <v>310</v>
      </c>
      <c r="H72" s="832"/>
      <c r="I72" s="435" t="s">
        <v>2798</v>
      </c>
    </row>
    <row r="73" spans="1:10">
      <c r="A73" s="818"/>
      <c r="B73" s="831">
        <v>1</v>
      </c>
      <c r="C73" s="829">
        <f>26.9+12-1.5</f>
        <v>37.4</v>
      </c>
      <c r="D73" s="832"/>
      <c r="E73" s="435" t="s">
        <v>3293</v>
      </c>
      <c r="F73" s="831"/>
      <c r="G73" s="829">
        <v>3</v>
      </c>
      <c r="H73" s="832">
        <f>G73*G72*F72</f>
        <v>930</v>
      </c>
      <c r="I73" s="435"/>
    </row>
    <row r="74" spans="1:10">
      <c r="A74" s="818"/>
      <c r="B74" s="831"/>
      <c r="C74" s="829">
        <v>1.5</v>
      </c>
      <c r="D74" s="832">
        <f>B73*C73*C74</f>
        <v>56.099999999999994</v>
      </c>
      <c r="E74" s="435"/>
      <c r="F74" s="831"/>
      <c r="G74" s="829"/>
      <c r="H74" s="832"/>
      <c r="I74" s="435"/>
    </row>
    <row r="75" spans="1:10">
      <c r="A75" s="818"/>
      <c r="B75" s="831"/>
      <c r="C75" s="829"/>
      <c r="D75" s="832"/>
      <c r="E75" s="435"/>
      <c r="F75" s="831">
        <v>1</v>
      </c>
      <c r="G75" s="829">
        <v>144</v>
      </c>
      <c r="H75" s="832"/>
      <c r="I75" s="435"/>
    </row>
    <row r="76" spans="1:10">
      <c r="A76" s="818"/>
      <c r="B76" s="831">
        <v>1</v>
      </c>
      <c r="C76" s="829">
        <v>7.15</v>
      </c>
      <c r="D76" s="832"/>
      <c r="E76" s="435" t="s">
        <v>3294</v>
      </c>
      <c r="F76" s="831"/>
      <c r="G76" s="829">
        <v>3</v>
      </c>
      <c r="H76" s="832">
        <f>G76*G75*F75</f>
        <v>432</v>
      </c>
      <c r="I76" s="435"/>
    </row>
    <row r="77" spans="1:10">
      <c r="A77" s="818"/>
      <c r="B77" s="831"/>
      <c r="C77" s="829">
        <v>2.25</v>
      </c>
      <c r="D77" s="832">
        <f>B76*C76*C77</f>
        <v>16.087500000000002</v>
      </c>
      <c r="E77" s="435"/>
      <c r="F77" s="831"/>
      <c r="G77" s="829"/>
      <c r="H77" s="832"/>
      <c r="I77" s="435"/>
    </row>
    <row r="78" spans="1:10">
      <c r="A78" s="818"/>
      <c r="B78" s="831"/>
      <c r="C78" s="829"/>
      <c r="D78" s="832"/>
      <c r="E78" s="435"/>
      <c r="F78" s="831">
        <v>1</v>
      </c>
      <c r="G78" s="829">
        <v>114</v>
      </c>
      <c r="H78" s="832"/>
      <c r="I78" s="435"/>
    </row>
    <row r="79" spans="1:10">
      <c r="A79" s="818"/>
      <c r="B79" s="839"/>
      <c r="C79" s="935"/>
      <c r="D79" s="838">
        <f>D68+D71+D74+D77</f>
        <v>463.9375</v>
      </c>
      <c r="E79" s="839" t="s">
        <v>3295</v>
      </c>
      <c r="F79" s="831"/>
      <c r="G79" s="829">
        <v>3</v>
      </c>
      <c r="H79" s="832">
        <f>G79*G78*F78</f>
        <v>342</v>
      </c>
      <c r="I79" s="435"/>
    </row>
    <row r="80" spans="1:10">
      <c r="A80" s="818"/>
      <c r="B80" s="435"/>
      <c r="C80" s="1335"/>
      <c r="D80" s="1335"/>
      <c r="E80" s="435"/>
      <c r="F80" s="831"/>
      <c r="G80" s="829"/>
      <c r="H80" s="832"/>
      <c r="I80" s="435"/>
    </row>
    <row r="81" spans="1:9" ht="18">
      <c r="A81" s="818"/>
      <c r="B81" s="831"/>
      <c r="C81" s="829"/>
      <c r="D81" s="832"/>
      <c r="E81" s="1335" t="s">
        <v>3296</v>
      </c>
      <c r="F81" s="839"/>
      <c r="G81" s="935"/>
      <c r="H81" s="838">
        <f>SUM(H73:H79)</f>
        <v>1704</v>
      </c>
      <c r="I81" s="839" t="s">
        <v>3364</v>
      </c>
    </row>
    <row r="82" spans="1:9">
      <c r="A82" s="818"/>
      <c r="B82" s="831">
        <v>1</v>
      </c>
      <c r="C82" s="829">
        <v>147</v>
      </c>
      <c r="D82" s="832">
        <f>B82*C82</f>
        <v>147</v>
      </c>
      <c r="E82" s="435" t="s">
        <v>3297</v>
      </c>
      <c r="F82" s="1335"/>
      <c r="G82" s="848"/>
      <c r="H82" s="843"/>
      <c r="I82" s="435"/>
    </row>
    <row r="83" spans="1:9">
      <c r="A83" s="818"/>
      <c r="B83" s="831"/>
      <c r="C83" s="829"/>
      <c r="D83" s="832"/>
      <c r="E83" s="435"/>
      <c r="F83" s="831"/>
      <c r="G83" s="829"/>
      <c r="H83" s="832"/>
      <c r="I83" s="1335" t="s">
        <v>2589</v>
      </c>
    </row>
    <row r="84" spans="1:9">
      <c r="A84" s="818"/>
      <c r="B84" s="831">
        <v>1</v>
      </c>
      <c r="C84" s="829">
        <v>178</v>
      </c>
      <c r="D84" s="832">
        <f>B84*C84</f>
        <v>178</v>
      </c>
      <c r="E84" s="435" t="s">
        <v>3298</v>
      </c>
      <c r="F84" s="831"/>
      <c r="G84" s="829"/>
      <c r="H84" s="832"/>
      <c r="I84" s="1335" t="s">
        <v>3303</v>
      </c>
    </row>
    <row r="85" spans="1:9">
      <c r="A85" s="818"/>
      <c r="B85" s="831"/>
      <c r="C85" s="829"/>
      <c r="D85" s="832"/>
      <c r="E85" s="435"/>
      <c r="F85" s="831"/>
      <c r="G85" s="829"/>
      <c r="H85" s="832"/>
      <c r="I85" s="1335" t="s">
        <v>3304</v>
      </c>
    </row>
    <row r="86" spans="1:9">
      <c r="A86" s="818"/>
      <c r="B86" s="831">
        <v>1</v>
      </c>
      <c r="C86" s="829">
        <v>23</v>
      </c>
      <c r="D86" s="832">
        <v>23</v>
      </c>
      <c r="E86" s="435" t="s">
        <v>3299</v>
      </c>
      <c r="F86" s="831">
        <v>2</v>
      </c>
      <c r="G86" s="829">
        <v>7</v>
      </c>
      <c r="H86" s="832"/>
      <c r="I86" s="435"/>
    </row>
    <row r="87" spans="1:9">
      <c r="A87" s="818"/>
      <c r="B87" s="831"/>
      <c r="C87" s="829"/>
      <c r="D87" s="832"/>
      <c r="E87" s="435"/>
      <c r="F87" s="831"/>
      <c r="G87" s="829">
        <f>0.5+0.15+0.15</f>
        <v>0.8</v>
      </c>
      <c r="H87" s="832"/>
      <c r="I87" s="435"/>
    </row>
    <row r="88" spans="1:9">
      <c r="A88" s="818"/>
      <c r="B88" s="839"/>
      <c r="C88" s="935"/>
      <c r="D88" s="838">
        <f>D82+D84+D86</f>
        <v>348</v>
      </c>
      <c r="E88" s="839" t="s">
        <v>3300</v>
      </c>
      <c r="F88" s="831"/>
      <c r="G88" s="829">
        <v>0.35</v>
      </c>
      <c r="H88" s="832">
        <f>F86*G86*G87*G88</f>
        <v>3.92</v>
      </c>
      <c r="I88" s="435" t="s">
        <v>3306</v>
      </c>
    </row>
    <row r="89" spans="1:9">
      <c r="A89" s="818"/>
      <c r="B89" s="435"/>
      <c r="C89" s="1335"/>
      <c r="D89" s="1335"/>
      <c r="E89" s="435"/>
      <c r="F89" s="831"/>
      <c r="G89" s="829"/>
      <c r="H89" s="832"/>
      <c r="I89" s="435"/>
    </row>
    <row r="90" spans="1:9">
      <c r="A90" s="818"/>
      <c r="B90" s="831"/>
      <c r="C90" s="829"/>
      <c r="D90" s="832"/>
      <c r="E90" s="1335" t="s">
        <v>2759</v>
      </c>
      <c r="F90" s="831">
        <v>2</v>
      </c>
      <c r="G90" s="829">
        <v>10</v>
      </c>
      <c r="H90" s="832"/>
      <c r="I90" s="435"/>
    </row>
    <row r="91" spans="1:9">
      <c r="A91" s="818"/>
      <c r="B91" s="831"/>
      <c r="C91" s="829"/>
      <c r="D91" s="832"/>
      <c r="E91" s="1335" t="s">
        <v>2654</v>
      </c>
      <c r="F91" s="831"/>
      <c r="G91" s="829">
        <f>0.5+0.15+0.15</f>
        <v>0.8</v>
      </c>
      <c r="H91" s="832"/>
      <c r="I91" s="435"/>
    </row>
    <row r="92" spans="1:9">
      <c r="A92" s="818"/>
      <c r="B92" s="831"/>
      <c r="C92" s="829"/>
      <c r="D92" s="832"/>
      <c r="E92" s="1335" t="s">
        <v>3285</v>
      </c>
      <c r="F92" s="831"/>
      <c r="G92" s="829">
        <v>0.35</v>
      </c>
      <c r="H92" s="832">
        <f>F90*G90*G91*G92</f>
        <v>5.6</v>
      </c>
      <c r="I92" s="435" t="s">
        <v>3308</v>
      </c>
    </row>
    <row r="93" spans="1:9">
      <c r="A93" s="818"/>
      <c r="B93" s="831">
        <v>1</v>
      </c>
      <c r="C93" s="829">
        <v>263</v>
      </c>
      <c r="D93" s="832"/>
      <c r="E93" s="435"/>
      <c r="F93" s="831"/>
      <c r="G93" s="829"/>
      <c r="H93" s="832"/>
      <c r="I93" s="435"/>
    </row>
    <row r="94" spans="1:9">
      <c r="A94" s="818"/>
      <c r="B94" s="831"/>
      <c r="C94" s="829">
        <v>1</v>
      </c>
      <c r="D94" s="832"/>
      <c r="E94" s="435"/>
      <c r="F94" s="831">
        <v>2</v>
      </c>
      <c r="G94" s="829">
        <v>12</v>
      </c>
      <c r="H94" s="832"/>
      <c r="I94" s="435"/>
    </row>
    <row r="95" spans="1:9">
      <c r="A95" s="818"/>
      <c r="B95" s="831"/>
      <c r="C95" s="829">
        <v>0.5</v>
      </c>
      <c r="D95" s="832"/>
      <c r="E95" s="435"/>
      <c r="F95" s="831"/>
      <c r="G95" s="829">
        <v>0.8</v>
      </c>
      <c r="H95" s="832"/>
      <c r="I95" s="435"/>
    </row>
    <row r="96" spans="1:9">
      <c r="A96" s="818"/>
      <c r="B96" s="839"/>
      <c r="C96" s="935"/>
      <c r="D96" s="838">
        <f>C93*B93*C94*C95</f>
        <v>131.5</v>
      </c>
      <c r="E96" s="839"/>
      <c r="F96" s="831"/>
      <c r="G96" s="829">
        <v>0.35</v>
      </c>
      <c r="H96" s="832">
        <f>F94*G94*G95*G96</f>
        <v>6.7200000000000006</v>
      </c>
      <c r="I96" s="435" t="s">
        <v>3311</v>
      </c>
    </row>
    <row r="97" spans="1:9">
      <c r="A97" s="818"/>
      <c r="B97" s="831"/>
      <c r="C97" s="829"/>
      <c r="D97" s="832"/>
      <c r="E97" s="435"/>
      <c r="F97" s="831"/>
      <c r="G97" s="829"/>
      <c r="H97" s="832"/>
      <c r="I97" s="435"/>
    </row>
    <row r="98" spans="1:9">
      <c r="A98" s="818"/>
      <c r="B98" s="831"/>
      <c r="C98" s="829"/>
      <c r="D98" s="832"/>
      <c r="E98" s="1335" t="s">
        <v>3281</v>
      </c>
      <c r="F98" s="831">
        <v>2</v>
      </c>
      <c r="G98" s="829">
        <v>11</v>
      </c>
      <c r="H98" s="832"/>
      <c r="I98" s="435"/>
    </row>
    <row r="99" spans="1:9">
      <c r="A99" s="818"/>
      <c r="B99" s="839"/>
      <c r="C99" s="935"/>
      <c r="D99" s="838">
        <f>D96</f>
        <v>131.5</v>
      </c>
      <c r="E99" s="839"/>
      <c r="F99" s="831"/>
      <c r="G99" s="829">
        <v>0.8</v>
      </c>
      <c r="H99" s="832"/>
      <c r="I99" s="435"/>
    </row>
    <row r="100" spans="1:9">
      <c r="A100" s="818"/>
      <c r="B100" s="831"/>
      <c r="C100" s="829"/>
      <c r="D100" s="832"/>
      <c r="E100" s="435"/>
      <c r="F100" s="831"/>
      <c r="G100" s="829">
        <v>0.35</v>
      </c>
      <c r="H100" s="832">
        <f>F98*G98*G99*G100</f>
        <v>6.16</v>
      </c>
      <c r="I100" s="435" t="s">
        <v>3313</v>
      </c>
    </row>
    <row r="101" spans="1:9">
      <c r="A101" s="818"/>
      <c r="B101" s="831">
        <v>1</v>
      </c>
      <c r="C101" s="829">
        <v>263</v>
      </c>
      <c r="D101" s="832"/>
      <c r="E101" s="435" t="s">
        <v>3282</v>
      </c>
      <c r="F101" s="831"/>
      <c r="G101" s="829"/>
      <c r="H101" s="832"/>
      <c r="I101" s="435"/>
    </row>
    <row r="102" spans="1:9">
      <c r="A102" s="818"/>
      <c r="B102" s="831"/>
      <c r="C102" s="829">
        <v>1</v>
      </c>
      <c r="D102" s="832"/>
      <c r="E102" s="435"/>
      <c r="F102" s="831">
        <v>2</v>
      </c>
      <c r="G102" s="829">
        <v>7</v>
      </c>
      <c r="H102" s="832"/>
      <c r="I102" s="435"/>
    </row>
    <row r="103" spans="1:9">
      <c r="B103" s="831"/>
      <c r="C103" s="829">
        <v>0.5</v>
      </c>
      <c r="D103" s="832"/>
      <c r="E103" s="435"/>
      <c r="F103" s="831"/>
      <c r="G103" s="829">
        <v>0.8</v>
      </c>
      <c r="H103" s="832"/>
      <c r="I103" s="435"/>
    </row>
    <row r="104" spans="1:9" s="966" customFormat="1">
      <c r="A104" s="965"/>
      <c r="B104" s="839"/>
      <c r="C104" s="935"/>
      <c r="D104" s="838">
        <f>C101*B101*C102*C103</f>
        <v>131.5</v>
      </c>
      <c r="E104" s="839"/>
      <c r="F104" s="831"/>
      <c r="G104" s="829">
        <v>0.35</v>
      </c>
      <c r="H104" s="832">
        <f>F102*G102*G103*G104</f>
        <v>3.92</v>
      </c>
      <c r="I104" s="435" t="s">
        <v>3314</v>
      </c>
    </row>
    <row r="105" spans="1:9">
      <c r="A105" s="818"/>
      <c r="B105" s="435"/>
      <c r="C105" s="1335"/>
      <c r="D105" s="1335"/>
      <c r="E105" s="435"/>
      <c r="F105" s="831"/>
      <c r="G105" s="829"/>
      <c r="H105" s="832"/>
      <c r="I105" s="435"/>
    </row>
    <row r="106" spans="1:9">
      <c r="A106" s="818"/>
      <c r="B106" s="831"/>
      <c r="C106" s="829"/>
      <c r="D106" s="832"/>
      <c r="E106" s="1335" t="s">
        <v>3286</v>
      </c>
      <c r="F106" s="831">
        <v>2</v>
      </c>
      <c r="G106" s="829">
        <v>7.6</v>
      </c>
      <c r="H106" s="832"/>
      <c r="I106" s="435"/>
    </row>
    <row r="107" spans="1:9">
      <c r="A107" s="818"/>
      <c r="B107" s="831">
        <v>1</v>
      </c>
      <c r="C107" s="829">
        <v>250</v>
      </c>
      <c r="D107" s="832"/>
      <c r="E107" s="435" t="s">
        <v>3283</v>
      </c>
      <c r="F107" s="831"/>
      <c r="G107" s="829">
        <v>0.8</v>
      </c>
      <c r="H107" s="832"/>
      <c r="I107" s="435"/>
    </row>
    <row r="108" spans="1:9">
      <c r="A108" s="818"/>
      <c r="B108" s="831"/>
      <c r="C108" s="829">
        <v>0.5</v>
      </c>
      <c r="D108" s="832"/>
      <c r="E108" s="435"/>
      <c r="F108" s="831"/>
      <c r="G108" s="829">
        <v>0.35</v>
      </c>
      <c r="H108" s="832">
        <f>F106*G106*G107*G108</f>
        <v>4.2559999999999993</v>
      </c>
      <c r="I108" s="435" t="s">
        <v>3316</v>
      </c>
    </row>
    <row r="109" spans="1:9">
      <c r="A109" s="818"/>
      <c r="B109" s="831"/>
      <c r="C109" s="829">
        <v>0.5</v>
      </c>
      <c r="D109" s="838">
        <f>C107*B107*C108*C109</f>
        <v>62.5</v>
      </c>
      <c r="E109" s="981" t="s">
        <v>3301</v>
      </c>
      <c r="F109" s="435"/>
      <c r="G109" s="435"/>
      <c r="H109" s="435"/>
      <c r="I109" s="435"/>
    </row>
    <row r="110" spans="1:9">
      <c r="A110" s="818"/>
      <c r="B110" s="831"/>
      <c r="C110" s="829"/>
      <c r="D110" s="832"/>
      <c r="E110" s="435"/>
      <c r="F110" s="831">
        <v>3</v>
      </c>
      <c r="G110" s="829">
        <v>5</v>
      </c>
      <c r="H110" s="832"/>
      <c r="I110" s="435"/>
    </row>
    <row r="111" spans="1:9">
      <c r="A111" s="818"/>
      <c r="B111" s="831"/>
      <c r="C111" s="829"/>
      <c r="D111" s="832"/>
      <c r="E111" s="1335" t="s">
        <v>3287</v>
      </c>
      <c r="F111" s="435"/>
      <c r="G111" s="829">
        <v>0.8</v>
      </c>
      <c r="H111" s="832"/>
      <c r="I111" s="435"/>
    </row>
    <row r="112" spans="1:9">
      <c r="A112" s="818"/>
      <c r="B112" s="831">
        <v>1</v>
      </c>
      <c r="C112" s="829">
        <v>250</v>
      </c>
      <c r="D112" s="832"/>
      <c r="E112" s="435" t="s">
        <v>3284</v>
      </c>
      <c r="F112" s="831"/>
      <c r="G112" s="829">
        <v>0.35</v>
      </c>
      <c r="H112" s="832">
        <f>F110*G110*G111*G112</f>
        <v>4.1999999999999993</v>
      </c>
      <c r="I112" s="435" t="s">
        <v>3305</v>
      </c>
    </row>
    <row r="113" spans="1:10">
      <c r="A113" s="818"/>
      <c r="B113" s="831"/>
      <c r="C113" s="829">
        <v>0.8</v>
      </c>
      <c r="D113" s="832"/>
      <c r="E113" s="435"/>
      <c r="F113" s="831"/>
      <c r="G113" s="829"/>
      <c r="H113" s="832"/>
      <c r="I113" s="435"/>
    </row>
    <row r="114" spans="1:10">
      <c r="A114" s="818"/>
      <c r="B114" s="831"/>
      <c r="C114" s="829">
        <v>0.5</v>
      </c>
      <c r="D114" s="838">
        <f>C112*B112*C113*C114</f>
        <v>100</v>
      </c>
      <c r="E114" s="981" t="s">
        <v>3302</v>
      </c>
      <c r="F114" s="831">
        <f>5*2</f>
        <v>10</v>
      </c>
      <c r="G114" s="829">
        <v>2</v>
      </c>
      <c r="H114" s="832"/>
      <c r="I114" s="435"/>
    </row>
    <row r="115" spans="1:10">
      <c r="A115" s="818"/>
      <c r="B115" s="435"/>
      <c r="C115" s="1335"/>
      <c r="D115" s="832"/>
      <c r="E115" s="435"/>
      <c r="F115" s="831"/>
      <c r="G115" s="829">
        <v>0.8</v>
      </c>
      <c r="H115" s="832"/>
      <c r="I115" s="435"/>
    </row>
    <row r="116" spans="1:10">
      <c r="A116" s="818"/>
      <c r="B116" s="831"/>
      <c r="C116" s="829"/>
      <c r="D116" s="832"/>
      <c r="E116" s="1335" t="s">
        <v>3289</v>
      </c>
      <c r="F116" s="831"/>
      <c r="G116" s="829">
        <v>0.35</v>
      </c>
      <c r="H116" s="832">
        <f>F114*G114*G115*G116</f>
        <v>5.6</v>
      </c>
      <c r="I116" s="435" t="s">
        <v>3307</v>
      </c>
    </row>
    <row r="117" spans="1:10">
      <c r="A117" s="818"/>
      <c r="B117" s="831">
        <v>77</v>
      </c>
      <c r="C117" s="829">
        <v>1.24</v>
      </c>
      <c r="D117" s="832"/>
      <c r="E117" s="435"/>
      <c r="F117" s="831"/>
      <c r="G117" s="829"/>
      <c r="H117" s="832"/>
      <c r="I117" s="435"/>
    </row>
    <row r="118" spans="1:10">
      <c r="A118" s="818"/>
      <c r="B118" s="831"/>
      <c r="C118" s="829">
        <v>0.5</v>
      </c>
      <c r="D118" s="832"/>
      <c r="E118" s="435"/>
      <c r="F118" s="831">
        <v>2</v>
      </c>
      <c r="G118" s="829">
        <v>4.8</v>
      </c>
      <c r="H118" s="832"/>
      <c r="I118" s="435"/>
    </row>
    <row r="119" spans="1:10">
      <c r="A119" s="818"/>
      <c r="B119" s="831"/>
      <c r="C119" s="829">
        <v>0.5</v>
      </c>
      <c r="D119" s="832"/>
      <c r="E119" s="435"/>
      <c r="F119" s="831"/>
      <c r="G119" s="829">
        <v>0.8</v>
      </c>
      <c r="H119" s="832"/>
      <c r="I119" s="435"/>
    </row>
    <row r="120" spans="1:10">
      <c r="A120" s="818"/>
      <c r="B120" s="839"/>
      <c r="C120" s="935"/>
      <c r="D120" s="838">
        <f>B117*C117*C118*C119</f>
        <v>23.87</v>
      </c>
      <c r="E120" s="839" t="s">
        <v>3288</v>
      </c>
      <c r="F120" s="831"/>
      <c r="G120" s="829">
        <v>0.35</v>
      </c>
      <c r="H120" s="832">
        <f>F118*G118*G119*G120</f>
        <v>2.6879999999999997</v>
      </c>
      <c r="I120" s="435" t="s">
        <v>3309</v>
      </c>
    </row>
    <row r="121" spans="1:10">
      <c r="A121" s="818"/>
      <c r="B121" s="831"/>
      <c r="C121" s="829"/>
      <c r="D121" s="832"/>
      <c r="E121" s="435"/>
      <c r="F121" s="435"/>
      <c r="G121" s="435"/>
      <c r="H121" s="435"/>
      <c r="I121" s="435"/>
    </row>
    <row r="122" spans="1:10">
      <c r="A122" s="818"/>
      <c r="B122" s="109"/>
      <c r="C122" s="860"/>
      <c r="D122" s="860"/>
      <c r="E122" s="109"/>
      <c r="F122" s="839"/>
      <c r="G122" s="935"/>
      <c r="H122" s="838">
        <f>H120+H116+H112+H108+H104+H100+H96+H92+H88</f>
        <v>43.064000000000007</v>
      </c>
      <c r="I122" s="839" t="s">
        <v>3379</v>
      </c>
    </row>
    <row r="123" spans="1:10">
      <c r="A123" s="828"/>
      <c r="B123" s="853" t="s">
        <v>1884</v>
      </c>
      <c r="C123" s="854" t="s">
        <v>526</v>
      </c>
      <c r="D123" s="855" t="s">
        <v>1885</v>
      </c>
      <c r="E123" s="854" t="s">
        <v>1886</v>
      </c>
      <c r="F123" s="853" t="s">
        <v>1884</v>
      </c>
      <c r="G123" s="854" t="s">
        <v>526</v>
      </c>
      <c r="H123" s="855" t="s">
        <v>1885</v>
      </c>
      <c r="I123" s="854" t="s">
        <v>1886</v>
      </c>
      <c r="J123" s="828"/>
    </row>
    <row r="124" spans="1:10">
      <c r="A124" s="818"/>
      <c r="B124" s="831"/>
      <c r="C124" s="829"/>
      <c r="D124" s="832"/>
      <c r="E124" s="1335" t="s">
        <v>3310</v>
      </c>
      <c r="F124" s="831">
        <v>2</v>
      </c>
      <c r="G124" s="829">
        <v>7</v>
      </c>
      <c r="H124" s="832"/>
      <c r="I124" s="435"/>
    </row>
    <row r="125" spans="1:10">
      <c r="A125" s="818"/>
      <c r="B125" s="831"/>
      <c r="C125" s="829"/>
      <c r="D125" s="832"/>
      <c r="E125" s="435" t="s">
        <v>3312</v>
      </c>
      <c r="F125" s="831"/>
      <c r="G125" s="829">
        <v>0.5</v>
      </c>
      <c r="H125" s="832"/>
      <c r="I125" s="435"/>
    </row>
    <row r="126" spans="1:10">
      <c r="A126" s="818"/>
      <c r="B126" s="831">
        <v>2</v>
      </c>
      <c r="C126" s="829">
        <v>7</v>
      </c>
      <c r="D126" s="832"/>
      <c r="E126" s="435"/>
      <c r="F126" s="831"/>
      <c r="G126" s="829">
        <v>0.3</v>
      </c>
      <c r="H126" s="832">
        <f>F124*G124*G125*G126</f>
        <v>2.1</v>
      </c>
      <c r="I126" s="435" t="s">
        <v>3314</v>
      </c>
    </row>
    <row r="127" spans="1:10">
      <c r="A127" s="818"/>
      <c r="B127" s="831"/>
      <c r="C127" s="829">
        <v>0.5</v>
      </c>
      <c r="D127" s="832"/>
      <c r="E127" s="435"/>
      <c r="F127" s="831"/>
      <c r="G127" s="829"/>
      <c r="H127" s="832"/>
      <c r="I127" s="435"/>
    </row>
    <row r="128" spans="1:10">
      <c r="A128" s="818"/>
      <c r="B128" s="831"/>
      <c r="C128" s="829">
        <v>0.3</v>
      </c>
      <c r="D128" s="832">
        <f>B126*C126*C127*C128</f>
        <v>2.1</v>
      </c>
      <c r="E128" s="435" t="s">
        <v>3306</v>
      </c>
      <c r="F128" s="831">
        <v>2</v>
      </c>
      <c r="G128" s="829">
        <v>4.8</v>
      </c>
      <c r="H128" s="832"/>
      <c r="I128" s="435"/>
    </row>
    <row r="129" spans="1:9">
      <c r="A129" s="818"/>
      <c r="B129" s="831"/>
      <c r="C129" s="829"/>
      <c r="D129" s="832"/>
      <c r="E129" s="435"/>
      <c r="F129" s="831"/>
      <c r="G129" s="829">
        <v>0.5</v>
      </c>
      <c r="H129" s="832"/>
      <c r="I129" s="435"/>
    </row>
    <row r="130" spans="1:9">
      <c r="A130" s="818"/>
      <c r="B130" s="831">
        <v>2</v>
      </c>
      <c r="C130" s="829">
        <v>10</v>
      </c>
      <c r="D130" s="832"/>
      <c r="E130" s="435"/>
      <c r="F130" s="831"/>
      <c r="G130" s="829">
        <v>0.3</v>
      </c>
      <c r="H130" s="832">
        <f>F128*G128*G129*G130</f>
        <v>1.44</v>
      </c>
      <c r="I130" s="435" t="s">
        <v>3309</v>
      </c>
    </row>
    <row r="131" spans="1:9">
      <c r="A131" s="818"/>
      <c r="B131" s="831"/>
      <c r="C131" s="829">
        <v>0.5</v>
      </c>
      <c r="D131" s="832"/>
      <c r="E131" s="435"/>
      <c r="F131" s="831"/>
      <c r="G131" s="829"/>
      <c r="H131" s="832"/>
      <c r="I131" s="435"/>
    </row>
    <row r="132" spans="1:9">
      <c r="A132" s="818"/>
      <c r="B132" s="831"/>
      <c r="C132" s="829">
        <v>0.3</v>
      </c>
      <c r="D132" s="832">
        <f>B130*C130*C131*C132</f>
        <v>3</v>
      </c>
      <c r="E132" s="435" t="s">
        <v>3315</v>
      </c>
      <c r="F132" s="831">
        <v>2</v>
      </c>
      <c r="G132" s="829">
        <v>7</v>
      </c>
      <c r="H132" s="832"/>
      <c r="I132" s="435"/>
    </row>
    <row r="133" spans="1:9">
      <c r="A133" s="818"/>
      <c r="B133" s="831"/>
      <c r="C133" s="829"/>
      <c r="D133" s="832"/>
      <c r="E133" s="435"/>
      <c r="F133" s="831"/>
      <c r="G133" s="829">
        <v>0.5</v>
      </c>
      <c r="H133" s="832"/>
      <c r="I133" s="435"/>
    </row>
    <row r="134" spans="1:9">
      <c r="A134" s="818"/>
      <c r="B134" s="831">
        <v>2</v>
      </c>
      <c r="C134" s="829">
        <v>12</v>
      </c>
      <c r="D134" s="832"/>
      <c r="E134" s="435"/>
      <c r="F134" s="831"/>
      <c r="G134" s="829">
        <v>0.2</v>
      </c>
      <c r="H134" s="832">
        <f>F132*G132*G133*G134</f>
        <v>1.4000000000000001</v>
      </c>
      <c r="I134" s="435" t="s">
        <v>3320</v>
      </c>
    </row>
    <row r="135" spans="1:9">
      <c r="A135" s="818"/>
      <c r="B135" s="831"/>
      <c r="C135" s="829">
        <v>0.5</v>
      </c>
      <c r="D135" s="832"/>
      <c r="E135" s="435"/>
      <c r="F135" s="831"/>
      <c r="G135" s="829"/>
      <c r="H135" s="832"/>
      <c r="I135" s="435"/>
    </row>
    <row r="136" spans="1:9">
      <c r="A136" s="818"/>
      <c r="B136" s="831"/>
      <c r="C136" s="829">
        <v>0.3</v>
      </c>
      <c r="D136" s="832">
        <f>B134*C134*C135*C136</f>
        <v>3.5999999999999996</v>
      </c>
      <c r="E136" s="435" t="s">
        <v>3317</v>
      </c>
      <c r="F136" s="831">
        <v>3</v>
      </c>
      <c r="G136" s="829">
        <v>5</v>
      </c>
      <c r="H136" s="832"/>
      <c r="I136" s="435"/>
    </row>
    <row r="137" spans="1:9">
      <c r="A137" s="818"/>
      <c r="B137" s="831"/>
      <c r="C137" s="829"/>
      <c r="D137" s="832"/>
      <c r="E137" s="435"/>
      <c r="F137" s="831"/>
      <c r="G137" s="829">
        <v>0.5</v>
      </c>
      <c r="H137" s="832"/>
      <c r="I137" s="435"/>
    </row>
    <row r="138" spans="1:9">
      <c r="A138" s="818"/>
      <c r="B138" s="831">
        <v>2</v>
      </c>
      <c r="C138" s="829">
        <v>11</v>
      </c>
      <c r="D138" s="832"/>
      <c r="E138" s="435"/>
      <c r="F138" s="831"/>
      <c r="G138" s="829">
        <v>0.3</v>
      </c>
      <c r="H138" s="832">
        <f>F136*G136*G137*G138</f>
        <v>2.25</v>
      </c>
      <c r="I138" s="435" t="s">
        <v>3322</v>
      </c>
    </row>
    <row r="139" spans="1:9">
      <c r="A139" s="818"/>
      <c r="B139" s="831"/>
      <c r="C139" s="829">
        <v>0.5</v>
      </c>
      <c r="D139" s="832"/>
      <c r="E139" s="435"/>
      <c r="F139" s="1335"/>
      <c r="G139" s="848"/>
      <c r="H139" s="843"/>
      <c r="I139" s="435"/>
    </row>
    <row r="140" spans="1:9">
      <c r="A140" s="818"/>
      <c r="B140" s="831"/>
      <c r="C140" s="829">
        <v>0.3</v>
      </c>
      <c r="D140" s="832">
        <f>B138*C138*C139*C140</f>
        <v>3.3</v>
      </c>
      <c r="E140" s="435" t="s">
        <v>3318</v>
      </c>
      <c r="F140" s="831">
        <f>2*2</f>
        <v>4</v>
      </c>
      <c r="G140" s="829">
        <v>2</v>
      </c>
      <c r="H140" s="832"/>
      <c r="I140" s="435"/>
    </row>
    <row r="141" spans="1:9">
      <c r="A141" s="818"/>
      <c r="B141" s="435"/>
      <c r="C141" s="1335"/>
      <c r="D141" s="1335"/>
      <c r="E141" s="435"/>
      <c r="F141" s="831"/>
      <c r="G141" s="829">
        <v>0.5</v>
      </c>
      <c r="H141" s="832"/>
      <c r="I141" s="435"/>
    </row>
    <row r="142" spans="1:9">
      <c r="A142" s="818"/>
      <c r="B142" s="831">
        <v>2</v>
      </c>
      <c r="C142" s="829">
        <v>7</v>
      </c>
      <c r="D142" s="832"/>
      <c r="E142" s="435"/>
      <c r="F142" s="831"/>
      <c r="G142" s="829">
        <v>0.3</v>
      </c>
      <c r="H142" s="832">
        <f>F140*G140*G141*G142</f>
        <v>1.2</v>
      </c>
      <c r="I142" s="435" t="s">
        <v>3323</v>
      </c>
    </row>
    <row r="143" spans="1:9">
      <c r="A143" s="818"/>
      <c r="B143" s="831"/>
      <c r="C143" s="829">
        <v>0.5</v>
      </c>
      <c r="D143" s="832"/>
      <c r="E143" s="435"/>
      <c r="F143" s="831"/>
      <c r="G143" s="829"/>
      <c r="H143" s="832"/>
      <c r="I143" s="435"/>
    </row>
    <row r="144" spans="1:9">
      <c r="A144" s="818"/>
      <c r="B144" s="831"/>
      <c r="C144" s="829">
        <v>0.3</v>
      </c>
      <c r="D144" s="832">
        <f>B142*C142*C143*C144</f>
        <v>2.1</v>
      </c>
      <c r="E144" s="435" t="s">
        <v>3314</v>
      </c>
      <c r="F144" s="831">
        <f>2*3</f>
        <v>6</v>
      </c>
      <c r="G144" s="829">
        <v>2</v>
      </c>
      <c r="H144" s="832"/>
      <c r="I144" s="435"/>
    </row>
    <row r="145" spans="1:9">
      <c r="A145" s="818"/>
      <c r="B145" s="831"/>
      <c r="C145" s="829"/>
      <c r="D145" s="832"/>
      <c r="E145" s="435"/>
      <c r="F145" s="831"/>
      <c r="G145" s="829">
        <v>0.5</v>
      </c>
      <c r="H145" s="832"/>
      <c r="I145" s="435"/>
    </row>
    <row r="146" spans="1:9">
      <c r="A146" s="818"/>
      <c r="B146" s="831">
        <v>2</v>
      </c>
      <c r="C146" s="829">
        <v>7</v>
      </c>
      <c r="D146" s="832"/>
      <c r="E146" s="435"/>
      <c r="F146" s="831"/>
      <c r="G146" s="829">
        <v>0.2</v>
      </c>
      <c r="H146" s="832">
        <f>F144*G144*G145*G146</f>
        <v>1.2000000000000002</v>
      </c>
      <c r="I146" s="435" t="s">
        <v>3323</v>
      </c>
    </row>
    <row r="147" spans="1:9">
      <c r="A147" s="818"/>
      <c r="B147" s="831"/>
      <c r="C147" s="829">
        <v>0.5</v>
      </c>
      <c r="D147" s="832"/>
      <c r="E147" s="435"/>
      <c r="F147" s="831"/>
      <c r="G147" s="829"/>
      <c r="H147" s="832"/>
      <c r="I147" s="435"/>
    </row>
    <row r="148" spans="1:9">
      <c r="A148" s="818"/>
      <c r="B148" s="831"/>
      <c r="C148" s="829">
        <v>0.3</v>
      </c>
      <c r="D148" s="832">
        <f>B146*C146*C147*C148</f>
        <v>2.1</v>
      </c>
      <c r="E148" s="435" t="s">
        <v>3309</v>
      </c>
      <c r="F148" s="839"/>
      <c r="G148" s="935"/>
      <c r="H148" s="838">
        <f>H146+H142+H138+H134+H130+H126+D180+D176+D172+D168</f>
        <v>22.14</v>
      </c>
      <c r="I148" s="839" t="s">
        <v>2804</v>
      </c>
    </row>
    <row r="149" spans="1:9">
      <c r="A149" s="818"/>
      <c r="B149" s="831"/>
      <c r="C149" s="829"/>
      <c r="D149" s="832"/>
      <c r="E149" s="435"/>
      <c r="F149" s="435"/>
      <c r="G149" s="435"/>
      <c r="H149" s="832"/>
      <c r="I149" s="435"/>
    </row>
    <row r="150" spans="1:9">
      <c r="A150" s="818"/>
      <c r="B150" s="831">
        <v>2</v>
      </c>
      <c r="C150" s="829">
        <v>7.6</v>
      </c>
      <c r="D150" s="832"/>
      <c r="E150" s="435"/>
      <c r="F150" s="435"/>
      <c r="G150" s="435"/>
      <c r="H150" s="435"/>
      <c r="I150" s="1335" t="s">
        <v>3328</v>
      </c>
    </row>
    <row r="151" spans="1:9">
      <c r="A151" s="818"/>
      <c r="B151" s="831"/>
      <c r="C151" s="829">
        <v>0.5</v>
      </c>
      <c r="D151" s="832"/>
      <c r="E151" s="435"/>
      <c r="F151" s="435"/>
      <c r="G151" s="435"/>
      <c r="H151" s="435"/>
      <c r="I151" s="1335" t="s">
        <v>3329</v>
      </c>
    </row>
    <row r="152" spans="1:9">
      <c r="A152" s="818"/>
      <c r="B152" s="831"/>
      <c r="C152" s="829">
        <v>0.3</v>
      </c>
      <c r="D152" s="832">
        <f>B150*C150*C151*C152</f>
        <v>2.2799999999999998</v>
      </c>
      <c r="E152" s="435" t="s">
        <v>3316</v>
      </c>
      <c r="F152" s="839"/>
      <c r="G152" s="935"/>
      <c r="H152" s="838">
        <f>H122</f>
        <v>43.064000000000007</v>
      </c>
      <c r="I152" s="839" t="s">
        <v>3330</v>
      </c>
    </row>
    <row r="153" spans="1:9">
      <c r="A153" s="818"/>
      <c r="B153" s="831"/>
      <c r="C153" s="829"/>
      <c r="D153" s="832"/>
      <c r="E153" s="435"/>
      <c r="F153" s="435"/>
      <c r="G153" s="435"/>
      <c r="H153" s="435"/>
      <c r="I153" s="435"/>
    </row>
    <row r="154" spans="1:9">
      <c r="A154" s="818"/>
      <c r="B154" s="831">
        <v>3</v>
      </c>
      <c r="C154" s="829">
        <v>5</v>
      </c>
      <c r="D154" s="832"/>
      <c r="E154" s="435"/>
      <c r="F154" s="831"/>
      <c r="G154" s="829"/>
      <c r="H154" s="832"/>
      <c r="I154" s="1335" t="s">
        <v>3331</v>
      </c>
    </row>
    <row r="155" spans="1:9">
      <c r="A155" s="818"/>
      <c r="B155" s="831"/>
      <c r="C155" s="829">
        <v>0.5</v>
      </c>
      <c r="D155" s="832"/>
      <c r="E155" s="435"/>
      <c r="F155" s="831">
        <v>1</v>
      </c>
      <c r="G155" s="829">
        <v>7</v>
      </c>
      <c r="H155" s="832"/>
      <c r="I155" s="1335" t="s">
        <v>3332</v>
      </c>
    </row>
    <row r="156" spans="1:9">
      <c r="A156" s="818"/>
      <c r="B156" s="831"/>
      <c r="C156" s="829">
        <v>0.3</v>
      </c>
      <c r="D156" s="832">
        <f>B154*C154*C155*C156</f>
        <v>2.25</v>
      </c>
      <c r="E156" s="435" t="s">
        <v>3321</v>
      </c>
      <c r="F156" s="831"/>
      <c r="G156" s="829">
        <v>1.4</v>
      </c>
      <c r="H156" s="832"/>
      <c r="I156" s="435"/>
    </row>
    <row r="157" spans="1:9">
      <c r="A157" s="818"/>
      <c r="B157" s="831"/>
      <c r="C157" s="829"/>
      <c r="D157" s="832"/>
      <c r="E157" s="435"/>
      <c r="F157" s="831"/>
      <c r="G157" s="829">
        <v>0.1</v>
      </c>
      <c r="H157" s="832">
        <f>F155*G155*G156*G157</f>
        <v>0.98</v>
      </c>
      <c r="I157" s="435" t="s">
        <v>3306</v>
      </c>
    </row>
    <row r="158" spans="1:9">
      <c r="A158" s="818"/>
      <c r="B158" s="831">
        <f>5*2</f>
        <v>10</v>
      </c>
      <c r="C158" s="829">
        <v>2</v>
      </c>
      <c r="D158" s="832"/>
      <c r="E158" s="435"/>
      <c r="F158" s="831"/>
      <c r="G158" s="829"/>
      <c r="H158" s="832"/>
      <c r="I158" s="435"/>
    </row>
    <row r="159" spans="1:9">
      <c r="A159" s="818"/>
      <c r="B159" s="831"/>
      <c r="C159" s="829">
        <v>0.5</v>
      </c>
      <c r="D159" s="832"/>
      <c r="E159" s="435"/>
      <c r="F159" s="831">
        <v>1</v>
      </c>
      <c r="G159" s="829">
        <v>10</v>
      </c>
      <c r="H159" s="832"/>
      <c r="I159" s="435" t="s">
        <v>3333</v>
      </c>
    </row>
    <row r="160" spans="1:9">
      <c r="A160" s="818"/>
      <c r="B160" s="831"/>
      <c r="C160" s="829">
        <v>0.3</v>
      </c>
      <c r="D160" s="832">
        <f>B158*C158*C159*C160</f>
        <v>3</v>
      </c>
      <c r="E160" s="435" t="s">
        <v>3323</v>
      </c>
      <c r="F160" s="831"/>
      <c r="G160" s="829">
        <v>1.4</v>
      </c>
      <c r="H160" s="832"/>
      <c r="I160" s="435"/>
    </row>
    <row r="161" spans="1:9">
      <c r="A161" s="818"/>
      <c r="B161" s="435"/>
      <c r="C161" s="435"/>
      <c r="D161" s="435"/>
      <c r="E161" s="435"/>
      <c r="F161" s="831"/>
      <c r="G161" s="829">
        <v>0.25</v>
      </c>
      <c r="H161" s="832">
        <f>F159*G159*G160*G161</f>
        <v>3.5</v>
      </c>
      <c r="I161" s="435" t="s">
        <v>3334</v>
      </c>
    </row>
    <row r="162" spans="1:9">
      <c r="A162" s="818"/>
      <c r="B162" s="839"/>
      <c r="C162" s="935"/>
      <c r="D162" s="838">
        <f>D160+D156+D152+D148+D144+D140+D136+D132+D128</f>
        <v>23.729999999999997</v>
      </c>
      <c r="E162" s="839" t="s">
        <v>2802</v>
      </c>
      <c r="F162" s="831"/>
      <c r="G162" s="829"/>
      <c r="H162" s="832"/>
      <c r="I162" s="435"/>
    </row>
    <row r="163" spans="1:9">
      <c r="A163" s="818"/>
      <c r="B163" s="435"/>
      <c r="C163" s="1335"/>
      <c r="D163" s="1335"/>
      <c r="E163" s="435"/>
      <c r="F163" s="831">
        <v>1</v>
      </c>
      <c r="G163" s="829">
        <v>12</v>
      </c>
      <c r="H163" s="832"/>
      <c r="I163" s="435" t="s">
        <v>3335</v>
      </c>
    </row>
    <row r="164" spans="1:9">
      <c r="A164" s="818"/>
      <c r="B164" s="831"/>
      <c r="C164" s="829"/>
      <c r="D164" s="832"/>
      <c r="E164" s="1335" t="s">
        <v>3324</v>
      </c>
      <c r="F164" s="831"/>
      <c r="G164" s="829">
        <v>2</v>
      </c>
      <c r="H164" s="832"/>
      <c r="I164" s="435"/>
    </row>
    <row r="165" spans="1:9">
      <c r="A165" s="818"/>
      <c r="B165" s="831"/>
      <c r="C165" s="829"/>
      <c r="D165" s="832"/>
      <c r="E165" s="1335" t="s">
        <v>3325</v>
      </c>
      <c r="F165" s="831"/>
      <c r="G165" s="829">
        <v>0.05</v>
      </c>
      <c r="H165" s="832">
        <f>F163*G163*G164*G165</f>
        <v>1.2000000000000002</v>
      </c>
      <c r="I165" s="435" t="s">
        <v>3336</v>
      </c>
    </row>
    <row r="166" spans="1:9">
      <c r="A166" s="818"/>
      <c r="B166" s="831">
        <v>2</v>
      </c>
      <c r="C166" s="829">
        <v>7</v>
      </c>
      <c r="D166" s="832"/>
      <c r="E166" s="435"/>
      <c r="F166" s="1335"/>
      <c r="G166" s="848"/>
      <c r="H166" s="843"/>
      <c r="I166" s="435"/>
    </row>
    <row r="167" spans="1:9">
      <c r="A167" s="818"/>
      <c r="B167" s="831"/>
      <c r="C167" s="829">
        <v>0.5</v>
      </c>
      <c r="D167" s="832"/>
      <c r="E167" s="435"/>
      <c r="F167" s="831">
        <v>1</v>
      </c>
      <c r="G167" s="829">
        <v>11</v>
      </c>
      <c r="H167" s="832"/>
      <c r="I167" s="435" t="s">
        <v>3333</v>
      </c>
    </row>
    <row r="168" spans="1:9">
      <c r="A168" s="818"/>
      <c r="B168" s="831"/>
      <c r="C168" s="829">
        <v>0.25</v>
      </c>
      <c r="D168" s="832">
        <f>B166*C166*C167*C168</f>
        <v>1.75</v>
      </c>
      <c r="E168" s="435" t="s">
        <v>3306</v>
      </c>
      <c r="F168" s="831"/>
      <c r="G168" s="829">
        <v>1.4</v>
      </c>
      <c r="H168" s="832"/>
      <c r="I168" s="435"/>
    </row>
    <row r="169" spans="1:9">
      <c r="A169" s="818"/>
      <c r="B169" s="831"/>
      <c r="C169" s="829"/>
      <c r="D169" s="832"/>
      <c r="E169" s="435"/>
      <c r="F169" s="831"/>
      <c r="G169" s="829">
        <v>0.25</v>
      </c>
      <c r="H169" s="832">
        <f>F167*G167*G168*G169</f>
        <v>3.8499999999999996</v>
      </c>
      <c r="I169" s="435" t="s">
        <v>3339</v>
      </c>
    </row>
    <row r="170" spans="1:9">
      <c r="A170" s="818"/>
      <c r="B170" s="831">
        <v>2</v>
      </c>
      <c r="C170" s="829">
        <v>10</v>
      </c>
      <c r="D170" s="832"/>
      <c r="E170" s="435"/>
      <c r="F170" s="831"/>
      <c r="G170" s="829"/>
      <c r="H170" s="832"/>
      <c r="I170" s="435"/>
    </row>
    <row r="171" spans="1:9">
      <c r="A171" s="818"/>
      <c r="B171" s="831"/>
      <c r="C171" s="829">
        <v>0.5</v>
      </c>
      <c r="D171" s="832"/>
      <c r="E171" s="435"/>
      <c r="F171" s="831">
        <v>1</v>
      </c>
      <c r="G171" s="829">
        <v>7</v>
      </c>
      <c r="H171" s="832"/>
      <c r="I171" s="435" t="s">
        <v>3340</v>
      </c>
    </row>
    <row r="172" spans="1:9">
      <c r="A172" s="818"/>
      <c r="B172" s="831"/>
      <c r="C172" s="829">
        <v>0.4</v>
      </c>
      <c r="D172" s="832">
        <f>B170*C170*C171*C172</f>
        <v>4</v>
      </c>
      <c r="E172" s="435" t="s">
        <v>3326</v>
      </c>
      <c r="F172" s="831"/>
      <c r="G172" s="829">
        <v>1</v>
      </c>
      <c r="H172" s="832"/>
      <c r="I172" s="435"/>
    </row>
    <row r="173" spans="1:9">
      <c r="A173" s="818"/>
      <c r="B173" s="831"/>
      <c r="C173" s="829"/>
      <c r="D173" s="832"/>
      <c r="E173" s="435"/>
      <c r="F173" s="831"/>
      <c r="G173" s="829">
        <v>0.15</v>
      </c>
      <c r="H173" s="832">
        <f>F171*G171*G172*G173</f>
        <v>1.05</v>
      </c>
      <c r="I173" s="435" t="s">
        <v>3341</v>
      </c>
    </row>
    <row r="174" spans="1:9">
      <c r="A174" s="818"/>
      <c r="B174" s="831">
        <v>2</v>
      </c>
      <c r="C174" s="829">
        <v>12</v>
      </c>
      <c r="D174" s="832"/>
      <c r="E174" s="435"/>
      <c r="F174" s="831"/>
      <c r="G174" s="829"/>
      <c r="H174" s="832"/>
      <c r="I174" s="435"/>
    </row>
    <row r="175" spans="1:9">
      <c r="A175" s="818"/>
      <c r="B175" s="831"/>
      <c r="C175" s="829">
        <v>0.5</v>
      </c>
      <c r="D175" s="832"/>
      <c r="E175" s="435"/>
      <c r="F175" s="831">
        <v>1</v>
      </c>
      <c r="G175" s="829">
        <v>7.6</v>
      </c>
      <c r="H175" s="832"/>
      <c r="I175" s="435"/>
    </row>
    <row r="176" spans="1:9">
      <c r="A176" s="818"/>
      <c r="B176" s="831"/>
      <c r="C176" s="829">
        <v>0.2</v>
      </c>
      <c r="D176" s="832">
        <f>B174*C174*C175*C176</f>
        <v>2.4000000000000004</v>
      </c>
      <c r="E176" s="435" t="s">
        <v>3327</v>
      </c>
      <c r="F176" s="831"/>
      <c r="G176" s="829">
        <v>1.8</v>
      </c>
      <c r="H176" s="832"/>
      <c r="I176" s="435"/>
    </row>
    <row r="177" spans="1:10">
      <c r="A177" s="818"/>
      <c r="B177" s="435"/>
      <c r="C177" s="1335"/>
      <c r="D177" s="1335"/>
      <c r="E177" s="435"/>
      <c r="F177" s="831"/>
      <c r="G177" s="829">
        <v>0.15</v>
      </c>
      <c r="H177" s="832">
        <f>F175*G175*G176*G177</f>
        <v>2.052</v>
      </c>
      <c r="I177" s="435" t="s">
        <v>3316</v>
      </c>
    </row>
    <row r="178" spans="1:10">
      <c r="A178" s="818"/>
      <c r="B178" s="831">
        <v>2</v>
      </c>
      <c r="C178" s="829">
        <v>11</v>
      </c>
      <c r="D178" s="832"/>
      <c r="E178" s="435"/>
      <c r="F178" s="1335"/>
      <c r="G178" s="848"/>
      <c r="H178" s="843"/>
      <c r="I178" s="435"/>
    </row>
    <row r="179" spans="1:10">
      <c r="A179" s="818"/>
      <c r="B179" s="831"/>
      <c r="C179" s="829">
        <v>0.5</v>
      </c>
      <c r="D179" s="832"/>
      <c r="E179" s="435"/>
      <c r="F179" s="1335"/>
      <c r="G179" s="848"/>
      <c r="H179" s="843"/>
      <c r="I179" s="435"/>
    </row>
    <row r="180" spans="1:10">
      <c r="A180" s="818"/>
      <c r="B180" s="831"/>
      <c r="C180" s="829">
        <v>0.4</v>
      </c>
      <c r="D180" s="832">
        <f>B178*C178*C179*C180</f>
        <v>4.4000000000000004</v>
      </c>
      <c r="E180" s="435" t="s">
        <v>3319</v>
      </c>
      <c r="F180" s="1335"/>
      <c r="G180" s="848"/>
      <c r="H180" s="843"/>
      <c r="I180" s="435"/>
    </row>
    <row r="181" spans="1:10">
      <c r="A181" s="818"/>
      <c r="B181" s="435"/>
      <c r="C181" s="435"/>
      <c r="D181" s="435"/>
      <c r="E181" s="435"/>
      <c r="F181" s="1335"/>
      <c r="G181" s="848"/>
      <c r="H181" s="843"/>
      <c r="I181" s="435"/>
    </row>
    <row r="182" spans="1:10">
      <c r="A182" s="828"/>
      <c r="B182" s="853" t="s">
        <v>1884</v>
      </c>
      <c r="C182" s="855" t="s">
        <v>526</v>
      </c>
      <c r="D182" s="856" t="s">
        <v>1885</v>
      </c>
      <c r="E182" s="854" t="s">
        <v>1886</v>
      </c>
      <c r="F182" s="853" t="s">
        <v>1884</v>
      </c>
      <c r="G182" s="855" t="s">
        <v>526</v>
      </c>
      <c r="H182" s="856" t="s">
        <v>1885</v>
      </c>
      <c r="I182" s="854" t="s">
        <v>1886</v>
      </c>
      <c r="J182" s="828"/>
    </row>
    <row r="183" spans="1:10">
      <c r="A183" s="818"/>
      <c r="B183" s="831">
        <v>1</v>
      </c>
      <c r="C183" s="829">
        <v>5</v>
      </c>
      <c r="D183" s="832"/>
      <c r="E183" s="435"/>
      <c r="F183" s="831"/>
      <c r="G183" s="829"/>
      <c r="H183" s="832"/>
      <c r="I183" s="1335" t="s">
        <v>3351</v>
      </c>
    </row>
    <row r="184" spans="1:10">
      <c r="A184" s="818"/>
      <c r="B184" s="831"/>
      <c r="C184" s="829">
        <v>5</v>
      </c>
      <c r="D184" s="832"/>
      <c r="E184" s="435"/>
      <c r="F184" s="831">
        <v>1</v>
      </c>
      <c r="G184" s="829">
        <v>7</v>
      </c>
      <c r="H184" s="832"/>
      <c r="I184" s="435"/>
    </row>
    <row r="185" spans="1:10">
      <c r="A185" s="818"/>
      <c r="B185" s="831"/>
      <c r="C185" s="829">
        <v>0.05</v>
      </c>
      <c r="D185" s="832">
        <f>B183*C183*C184*C185</f>
        <v>1.25</v>
      </c>
      <c r="E185" s="435" t="s">
        <v>3321</v>
      </c>
      <c r="F185" s="831"/>
      <c r="G185" s="829">
        <v>2.4</v>
      </c>
      <c r="H185" s="832">
        <v>16.8</v>
      </c>
      <c r="I185" s="435" t="s">
        <v>3306</v>
      </c>
    </row>
    <row r="186" spans="1:10">
      <c r="A186" s="818"/>
      <c r="B186" s="831"/>
      <c r="C186" s="829"/>
      <c r="D186" s="832"/>
      <c r="E186" s="435"/>
      <c r="F186" s="831"/>
      <c r="G186" s="829"/>
      <c r="H186" s="832"/>
      <c r="I186" s="435"/>
    </row>
    <row r="187" spans="1:10">
      <c r="A187" s="818"/>
      <c r="B187" s="839"/>
      <c r="C187" s="935"/>
      <c r="D187" s="838">
        <f>D185+H177+H173+H169+H165+H161+H157</f>
        <v>13.882000000000001</v>
      </c>
      <c r="E187" s="839" t="s">
        <v>3337</v>
      </c>
      <c r="F187" s="831">
        <v>1</v>
      </c>
      <c r="G187" s="829">
        <v>10</v>
      </c>
      <c r="H187" s="832"/>
      <c r="I187" s="435"/>
    </row>
    <row r="188" spans="1:10">
      <c r="A188" s="818"/>
      <c r="B188" s="831"/>
      <c r="C188" s="829"/>
      <c r="D188" s="832"/>
      <c r="E188" s="435"/>
      <c r="F188" s="831"/>
      <c r="G188" s="829">
        <v>2.4</v>
      </c>
      <c r="H188" s="832">
        <v>24</v>
      </c>
      <c r="I188" s="435" t="s">
        <v>3334</v>
      </c>
    </row>
    <row r="189" spans="1:10">
      <c r="A189" s="818"/>
      <c r="B189" s="831"/>
      <c r="C189" s="829"/>
      <c r="D189" s="832"/>
      <c r="E189" s="1335" t="s">
        <v>3338</v>
      </c>
      <c r="F189" s="831"/>
      <c r="G189" s="829"/>
      <c r="H189" s="832"/>
      <c r="I189" s="435"/>
    </row>
    <row r="190" spans="1:10">
      <c r="A190" s="818"/>
      <c r="B190" s="831">
        <v>1</v>
      </c>
      <c r="C190" s="829">
        <v>7</v>
      </c>
      <c r="D190" s="832"/>
      <c r="E190" s="435"/>
      <c r="F190" s="831">
        <v>1</v>
      </c>
      <c r="G190" s="829">
        <v>12</v>
      </c>
      <c r="H190" s="832"/>
      <c r="I190" s="435"/>
    </row>
    <row r="191" spans="1:10">
      <c r="A191" s="818"/>
      <c r="B191" s="831"/>
      <c r="C191" s="829">
        <v>1.4</v>
      </c>
      <c r="D191" s="832">
        <f>B190*C190*C191</f>
        <v>9.7999999999999989</v>
      </c>
      <c r="E191" s="435" t="s">
        <v>3306</v>
      </c>
      <c r="F191" s="831"/>
      <c r="G191" s="829">
        <v>3</v>
      </c>
      <c r="H191" s="832">
        <v>36</v>
      </c>
      <c r="I191" s="435" t="s">
        <v>3336</v>
      </c>
    </row>
    <row r="192" spans="1:10">
      <c r="A192" s="818"/>
      <c r="B192" s="831"/>
      <c r="C192" s="829"/>
      <c r="D192" s="832"/>
      <c r="E192" s="435"/>
      <c r="F192" s="831"/>
      <c r="G192" s="829"/>
      <c r="H192" s="832"/>
      <c r="I192" s="435"/>
    </row>
    <row r="193" spans="1:9">
      <c r="A193" s="818"/>
      <c r="B193" s="831">
        <v>1</v>
      </c>
      <c r="C193" s="829">
        <v>10</v>
      </c>
      <c r="D193" s="832"/>
      <c r="E193" s="435"/>
      <c r="F193" s="831">
        <v>1</v>
      </c>
      <c r="G193" s="829">
        <v>11</v>
      </c>
      <c r="H193" s="832"/>
      <c r="I193" s="435"/>
    </row>
    <row r="194" spans="1:9">
      <c r="A194" s="818"/>
      <c r="B194" s="831"/>
      <c r="C194" s="829">
        <v>1.4</v>
      </c>
      <c r="D194" s="832">
        <f>B193*C193*C194</f>
        <v>14</v>
      </c>
      <c r="E194" s="435" t="s">
        <v>3315</v>
      </c>
      <c r="F194" s="831"/>
      <c r="G194" s="829">
        <v>2.4</v>
      </c>
      <c r="H194" s="832">
        <v>26.4</v>
      </c>
      <c r="I194" s="435" t="s">
        <v>3348</v>
      </c>
    </row>
    <row r="195" spans="1:9">
      <c r="A195" s="818"/>
      <c r="B195" s="831"/>
      <c r="C195" s="829"/>
      <c r="D195" s="832"/>
      <c r="E195" s="435"/>
      <c r="F195" s="831"/>
      <c r="G195" s="829"/>
      <c r="H195" s="832"/>
      <c r="I195" s="435"/>
    </row>
    <row r="196" spans="1:9">
      <c r="A196" s="818"/>
      <c r="B196" s="831">
        <v>1</v>
      </c>
      <c r="C196" s="829">
        <v>12</v>
      </c>
      <c r="D196" s="832"/>
      <c r="E196" s="435"/>
      <c r="F196" s="831">
        <v>1</v>
      </c>
      <c r="G196" s="829">
        <v>7</v>
      </c>
      <c r="H196" s="832"/>
      <c r="I196" s="435"/>
    </row>
    <row r="197" spans="1:9">
      <c r="A197" s="818"/>
      <c r="B197" s="831"/>
      <c r="C197" s="829">
        <v>2</v>
      </c>
      <c r="D197" s="832">
        <f>B196*C196*C197</f>
        <v>24</v>
      </c>
      <c r="E197" s="435" t="s">
        <v>3336</v>
      </c>
      <c r="F197" s="831"/>
      <c r="G197" s="829">
        <v>2</v>
      </c>
      <c r="H197" s="832">
        <v>14</v>
      </c>
      <c r="I197" s="435" t="s">
        <v>3341</v>
      </c>
    </row>
    <row r="198" spans="1:9">
      <c r="A198" s="818"/>
      <c r="B198" s="831"/>
      <c r="C198" s="829"/>
      <c r="D198" s="832"/>
      <c r="E198" s="435"/>
      <c r="F198" s="831"/>
      <c r="G198" s="829"/>
      <c r="H198" s="832"/>
      <c r="I198" s="435"/>
    </row>
    <row r="199" spans="1:9">
      <c r="A199" s="818"/>
      <c r="B199" s="831">
        <v>1</v>
      </c>
      <c r="C199" s="829">
        <v>11</v>
      </c>
      <c r="D199" s="832"/>
      <c r="E199" s="435"/>
      <c r="F199" s="831">
        <v>1</v>
      </c>
      <c r="G199" s="829">
        <v>7</v>
      </c>
      <c r="H199" s="832"/>
      <c r="I199" s="435"/>
    </row>
    <row r="200" spans="1:9">
      <c r="A200" s="818"/>
      <c r="B200" s="831"/>
      <c r="C200" s="829">
        <v>1.4</v>
      </c>
      <c r="D200" s="832">
        <f>B199*C199*C200</f>
        <v>15.399999999999999</v>
      </c>
      <c r="E200" s="435" t="s">
        <v>3342</v>
      </c>
      <c r="F200" s="831"/>
      <c r="G200" s="829">
        <v>2.4</v>
      </c>
      <c r="H200" s="832">
        <v>14</v>
      </c>
      <c r="I200" s="435" t="s">
        <v>3349</v>
      </c>
    </row>
    <row r="201" spans="1:9">
      <c r="A201" s="818"/>
      <c r="B201" s="435"/>
      <c r="C201" s="1335"/>
      <c r="D201" s="1335"/>
      <c r="E201" s="435"/>
      <c r="F201" s="1335"/>
      <c r="G201" s="848"/>
      <c r="H201" s="843"/>
      <c r="I201" s="435"/>
    </row>
    <row r="202" spans="1:9">
      <c r="A202" s="818"/>
      <c r="B202" s="831">
        <v>1</v>
      </c>
      <c r="C202" s="829">
        <v>7</v>
      </c>
      <c r="D202" s="832"/>
      <c r="E202" s="435"/>
      <c r="F202" s="831">
        <v>1</v>
      </c>
      <c r="G202" s="829">
        <v>5</v>
      </c>
      <c r="H202" s="832"/>
      <c r="I202" s="435"/>
    </row>
    <row r="203" spans="1:9">
      <c r="A203" s="818"/>
      <c r="B203" s="831"/>
      <c r="C203" s="829">
        <v>1</v>
      </c>
      <c r="D203" s="832">
        <f>B202*C202*C203</f>
        <v>7</v>
      </c>
      <c r="E203" s="435" t="s">
        <v>3341</v>
      </c>
      <c r="F203" s="831"/>
      <c r="G203" s="829">
        <v>5</v>
      </c>
      <c r="H203" s="832">
        <v>25</v>
      </c>
      <c r="I203" s="435" t="s">
        <v>3316</v>
      </c>
    </row>
    <row r="204" spans="1:9">
      <c r="A204" s="818"/>
      <c r="B204" s="831"/>
      <c r="C204" s="829"/>
      <c r="D204" s="832"/>
      <c r="E204" s="435"/>
      <c r="F204" s="831"/>
      <c r="G204" s="829"/>
      <c r="H204" s="832"/>
      <c r="I204" s="435"/>
    </row>
    <row r="205" spans="1:9">
      <c r="A205" s="818"/>
      <c r="B205" s="831">
        <v>1</v>
      </c>
      <c r="C205" s="829">
        <v>7.6</v>
      </c>
      <c r="D205" s="832"/>
      <c r="E205" s="435"/>
      <c r="F205" s="831">
        <v>1</v>
      </c>
      <c r="G205" s="829">
        <v>7.6</v>
      </c>
      <c r="H205" s="832"/>
      <c r="I205" s="435"/>
    </row>
    <row r="206" spans="1:9">
      <c r="A206" s="818"/>
      <c r="B206" s="831"/>
      <c r="C206" s="829">
        <v>1.8</v>
      </c>
      <c r="D206" s="832">
        <f>B205*C205*C206</f>
        <v>13.68</v>
      </c>
      <c r="E206" s="435" t="s">
        <v>3316</v>
      </c>
      <c r="F206" s="831"/>
      <c r="G206" s="829">
        <v>2.8</v>
      </c>
      <c r="H206" s="832">
        <v>21.28</v>
      </c>
      <c r="I206" s="435" t="s">
        <v>3316</v>
      </c>
    </row>
    <row r="207" spans="1:9">
      <c r="A207" s="818"/>
      <c r="B207" s="831"/>
      <c r="C207" s="829"/>
      <c r="D207" s="832"/>
      <c r="E207" s="435"/>
      <c r="F207" s="435"/>
      <c r="G207" s="435"/>
      <c r="H207" s="435"/>
      <c r="I207" s="435"/>
    </row>
    <row r="208" spans="1:9">
      <c r="A208" s="818"/>
      <c r="B208" s="831">
        <v>1</v>
      </c>
      <c r="C208" s="829">
        <v>4</v>
      </c>
      <c r="D208" s="832"/>
      <c r="E208" s="435"/>
      <c r="F208" s="839"/>
      <c r="G208" s="935"/>
      <c r="H208" s="838">
        <f>H185+H188+H191+H194+H197+H200+H203+H206</f>
        <v>177.48</v>
      </c>
      <c r="I208" s="839" t="s">
        <v>3350</v>
      </c>
    </row>
    <row r="209" spans="1:9">
      <c r="A209" s="818"/>
      <c r="B209" s="831"/>
      <c r="C209" s="829">
        <v>4</v>
      </c>
      <c r="D209" s="832">
        <f>B208*C208*C209</f>
        <v>16</v>
      </c>
      <c r="E209" s="435" t="s">
        <v>3343</v>
      </c>
      <c r="F209" s="435"/>
      <c r="G209" s="435"/>
      <c r="H209" s="435"/>
      <c r="I209" s="435"/>
    </row>
    <row r="210" spans="1:9">
      <c r="A210" s="818"/>
      <c r="B210" s="831"/>
      <c r="C210" s="829"/>
      <c r="D210" s="832"/>
      <c r="E210" s="435"/>
      <c r="F210" s="831"/>
      <c r="G210" s="829"/>
      <c r="H210" s="832"/>
      <c r="I210" s="1335" t="s">
        <v>2799</v>
      </c>
    </row>
    <row r="211" spans="1:9">
      <c r="A211" s="818"/>
      <c r="B211" s="839"/>
      <c r="C211" s="935"/>
      <c r="D211" s="838">
        <f>D209+D206+D203+D200+D197+D194+D191</f>
        <v>99.88</v>
      </c>
      <c r="E211" s="839" t="s">
        <v>3345</v>
      </c>
      <c r="F211" s="831"/>
      <c r="G211" s="829"/>
      <c r="H211" s="832"/>
      <c r="I211" s="1335" t="s">
        <v>2800</v>
      </c>
    </row>
    <row r="212" spans="1:9">
      <c r="A212" s="818"/>
      <c r="B212" s="831"/>
      <c r="C212" s="829"/>
      <c r="D212" s="832"/>
      <c r="E212" s="435"/>
      <c r="F212" s="831"/>
      <c r="G212" s="829"/>
      <c r="H212" s="832"/>
      <c r="I212" s="1335" t="s">
        <v>3353</v>
      </c>
    </row>
    <row r="213" spans="1:9">
      <c r="A213" s="818"/>
      <c r="B213" s="831"/>
      <c r="C213" s="829"/>
      <c r="D213" s="832"/>
      <c r="E213" s="1335" t="s">
        <v>3346</v>
      </c>
      <c r="F213" s="831">
        <v>1</v>
      </c>
      <c r="G213" s="829">
        <v>5.5</v>
      </c>
      <c r="H213" s="832"/>
      <c r="I213" s="435" t="s">
        <v>3433</v>
      </c>
    </row>
    <row r="214" spans="1:9">
      <c r="A214" s="818"/>
      <c r="B214" s="831"/>
      <c r="C214" s="829"/>
      <c r="D214" s="832"/>
      <c r="E214" s="1335" t="s">
        <v>3347</v>
      </c>
      <c r="F214" s="831"/>
      <c r="G214" s="829">
        <v>2.9</v>
      </c>
      <c r="H214" s="832"/>
      <c r="I214" s="435"/>
    </row>
    <row r="215" spans="1:9">
      <c r="A215" s="818"/>
      <c r="B215" s="831">
        <v>2</v>
      </c>
      <c r="C215" s="829">
        <v>7</v>
      </c>
      <c r="D215" s="832"/>
      <c r="E215" s="435"/>
      <c r="F215" s="831"/>
      <c r="G215" s="829">
        <v>1.5</v>
      </c>
      <c r="H215" s="435"/>
      <c r="I215" s="435"/>
    </row>
    <row r="216" spans="1:9">
      <c r="A216" s="818"/>
      <c r="B216" s="831"/>
      <c r="C216" s="829">
        <v>0.5</v>
      </c>
      <c r="D216" s="832">
        <v>7</v>
      </c>
      <c r="E216" s="435" t="s">
        <v>3306</v>
      </c>
      <c r="F216" s="839"/>
      <c r="G216" s="935"/>
      <c r="H216" s="838">
        <f>F213*G213*G214*G215</f>
        <v>23.924999999999997</v>
      </c>
      <c r="I216" s="839" t="s">
        <v>3354</v>
      </c>
    </row>
    <row r="217" spans="1:9">
      <c r="A217" s="818"/>
      <c r="B217" s="831"/>
      <c r="C217" s="829"/>
      <c r="D217" s="832"/>
      <c r="E217" s="435"/>
      <c r="F217" s="831"/>
      <c r="G217" s="829"/>
      <c r="H217" s="832"/>
      <c r="I217" s="435"/>
    </row>
    <row r="218" spans="1:9">
      <c r="A218" s="818"/>
      <c r="B218" s="831">
        <v>2</v>
      </c>
      <c r="C218" s="829">
        <v>10</v>
      </c>
      <c r="D218" s="832"/>
      <c r="E218" s="435"/>
      <c r="F218" s="831">
        <v>1</v>
      </c>
      <c r="G218" s="829">
        <v>5.5</v>
      </c>
      <c r="H218" s="832"/>
      <c r="I218" s="1335" t="s">
        <v>2801</v>
      </c>
    </row>
    <row r="219" spans="1:9">
      <c r="A219" s="818"/>
      <c r="B219" s="831"/>
      <c r="C219" s="829">
        <v>0.5</v>
      </c>
      <c r="D219" s="832">
        <v>10</v>
      </c>
      <c r="E219" s="435" t="s">
        <v>3334</v>
      </c>
      <c r="F219" s="831"/>
      <c r="G219" s="829">
        <v>2.9</v>
      </c>
      <c r="H219" s="832"/>
      <c r="I219" s="435" t="s">
        <v>3433</v>
      </c>
    </row>
    <row r="220" spans="1:9">
      <c r="B220" s="831"/>
      <c r="C220" s="829"/>
      <c r="D220" s="832"/>
      <c r="E220" s="435"/>
      <c r="F220" s="831"/>
      <c r="G220" s="829">
        <v>1.3</v>
      </c>
      <c r="H220" s="832"/>
      <c r="I220" s="435"/>
    </row>
    <row r="221" spans="1:9" s="966" customFormat="1">
      <c r="A221" s="965"/>
      <c r="B221" s="831">
        <v>2</v>
      </c>
      <c r="C221" s="829">
        <v>12</v>
      </c>
      <c r="D221" s="832"/>
      <c r="E221" s="435"/>
      <c r="F221" s="839"/>
      <c r="G221" s="935"/>
      <c r="H221" s="838">
        <f>F218*G218*G219*G220</f>
        <v>20.734999999999999</v>
      </c>
      <c r="I221" s="839" t="s">
        <v>3355</v>
      </c>
    </row>
    <row r="222" spans="1:9">
      <c r="A222" s="818"/>
      <c r="B222" s="831"/>
      <c r="C222" s="829">
        <v>0.5</v>
      </c>
      <c r="D222" s="832">
        <v>12</v>
      </c>
      <c r="E222" s="435" t="s">
        <v>3336</v>
      </c>
      <c r="F222" s="831"/>
      <c r="G222" s="829"/>
      <c r="H222" s="832"/>
      <c r="I222" s="435"/>
    </row>
    <row r="223" spans="1:9">
      <c r="A223" s="818"/>
      <c r="B223" s="831"/>
      <c r="C223" s="829"/>
      <c r="D223" s="832"/>
      <c r="E223" s="435"/>
      <c r="F223" s="831">
        <v>1</v>
      </c>
      <c r="G223" s="829">
        <v>5</v>
      </c>
      <c r="H223" s="832"/>
      <c r="I223" s="1335" t="s">
        <v>2803</v>
      </c>
    </row>
    <row r="224" spans="1:9">
      <c r="A224" s="818"/>
      <c r="B224" s="831">
        <v>2</v>
      </c>
      <c r="C224" s="829">
        <v>11</v>
      </c>
      <c r="D224" s="832"/>
      <c r="E224" s="435"/>
      <c r="F224" s="831"/>
      <c r="G224" s="829">
        <v>5</v>
      </c>
      <c r="H224" s="832"/>
      <c r="I224" s="435"/>
    </row>
    <row r="225" spans="1:9">
      <c r="A225" s="818"/>
      <c r="B225" s="831"/>
      <c r="C225" s="829">
        <v>0.5</v>
      </c>
      <c r="D225" s="832">
        <v>11</v>
      </c>
      <c r="E225" s="435" t="s">
        <v>3348</v>
      </c>
      <c r="F225" s="831"/>
      <c r="G225" s="829">
        <v>0</v>
      </c>
      <c r="H225" s="832"/>
      <c r="I225" s="435"/>
    </row>
    <row r="226" spans="1:9">
      <c r="A226" s="818"/>
      <c r="B226" s="831"/>
      <c r="C226" s="829"/>
      <c r="D226" s="832"/>
      <c r="E226" s="435"/>
      <c r="F226" s="839"/>
      <c r="G226" s="935"/>
      <c r="H226" s="838">
        <f>F223*G223*G224*G225</f>
        <v>0</v>
      </c>
      <c r="I226" s="839" t="s">
        <v>3356</v>
      </c>
    </row>
    <row r="227" spans="1:9">
      <c r="A227" s="818"/>
      <c r="B227" s="831">
        <v>2</v>
      </c>
      <c r="C227" s="829">
        <v>7</v>
      </c>
      <c r="D227" s="832"/>
      <c r="E227" s="435"/>
      <c r="F227" s="831"/>
      <c r="G227" s="829"/>
      <c r="H227" s="435"/>
      <c r="I227" s="435"/>
    </row>
    <row r="228" spans="1:9">
      <c r="A228" s="818"/>
      <c r="B228" s="831"/>
      <c r="C228" s="829">
        <v>0.5</v>
      </c>
      <c r="D228" s="832">
        <v>7</v>
      </c>
      <c r="E228" s="435" t="s">
        <v>3341</v>
      </c>
      <c r="F228" s="831"/>
      <c r="G228" s="829"/>
      <c r="H228" s="832"/>
      <c r="I228" s="1335" t="s">
        <v>3360</v>
      </c>
    </row>
    <row r="229" spans="1:9">
      <c r="A229" s="818"/>
      <c r="B229" s="831"/>
      <c r="C229" s="829"/>
      <c r="D229" s="832"/>
      <c r="E229" s="435"/>
      <c r="F229" s="831"/>
      <c r="G229" s="829"/>
      <c r="H229" s="832"/>
      <c r="I229" s="435"/>
    </row>
    <row r="230" spans="1:9">
      <c r="A230" s="818"/>
      <c r="B230" s="831">
        <v>2</v>
      </c>
      <c r="C230" s="829">
        <v>7</v>
      </c>
      <c r="D230" s="832"/>
      <c r="E230" s="435"/>
      <c r="F230" s="839"/>
      <c r="G230" s="935"/>
      <c r="H230" s="838">
        <f>H226+H221+H216</f>
        <v>44.66</v>
      </c>
      <c r="I230" s="839" t="s">
        <v>3361</v>
      </c>
    </row>
    <row r="231" spans="1:9">
      <c r="A231" s="818"/>
      <c r="B231" s="831"/>
      <c r="C231" s="829">
        <v>0.5</v>
      </c>
      <c r="D231" s="832">
        <v>7</v>
      </c>
      <c r="E231" s="435" t="s">
        <v>3349</v>
      </c>
      <c r="F231" s="1335"/>
      <c r="G231" s="848"/>
      <c r="H231" s="843"/>
      <c r="I231" s="435"/>
    </row>
    <row r="232" spans="1:9">
      <c r="A232" s="818"/>
      <c r="B232" s="831"/>
      <c r="C232" s="829"/>
      <c r="D232" s="832"/>
      <c r="E232" s="435"/>
      <c r="F232" s="831"/>
      <c r="G232" s="829"/>
      <c r="H232" s="832"/>
      <c r="I232" s="1335" t="s">
        <v>3352</v>
      </c>
    </row>
    <row r="233" spans="1:9">
      <c r="A233" s="818"/>
      <c r="B233" s="831">
        <v>3</v>
      </c>
      <c r="C233" s="829">
        <v>5</v>
      </c>
      <c r="D233" s="832"/>
      <c r="E233" s="435"/>
      <c r="F233" s="831"/>
      <c r="G233" s="829"/>
      <c r="H233" s="832"/>
      <c r="I233" s="1335" t="s">
        <v>2800</v>
      </c>
    </row>
    <row r="234" spans="1:9">
      <c r="A234" s="818"/>
      <c r="B234" s="831"/>
      <c r="C234" s="829">
        <v>0.5</v>
      </c>
      <c r="D234" s="832">
        <v>7.5</v>
      </c>
      <c r="E234" s="435" t="s">
        <v>3316</v>
      </c>
      <c r="F234" s="831">
        <v>1</v>
      </c>
      <c r="G234" s="829">
        <v>5.5</v>
      </c>
      <c r="H234" s="832"/>
      <c r="I234" s="1335" t="s">
        <v>3353</v>
      </c>
    </row>
    <row r="235" spans="1:9">
      <c r="A235" s="818"/>
      <c r="B235" s="831"/>
      <c r="C235" s="829"/>
      <c r="D235" s="832"/>
      <c r="E235" s="435"/>
      <c r="F235" s="831"/>
      <c r="G235" s="829">
        <v>5.5</v>
      </c>
      <c r="H235" s="832"/>
      <c r="I235" s="435" t="s">
        <v>3434</v>
      </c>
    </row>
    <row r="236" spans="1:9">
      <c r="A236" s="818"/>
      <c r="B236" s="831">
        <v>2</v>
      </c>
      <c r="C236" s="829">
        <v>7.6</v>
      </c>
      <c r="D236" s="832"/>
      <c r="E236" s="435"/>
      <c r="F236" s="831"/>
      <c r="G236" s="829">
        <v>1.5</v>
      </c>
      <c r="H236" s="832"/>
      <c r="I236" s="435"/>
    </row>
    <row r="237" spans="1:9">
      <c r="A237" s="818"/>
      <c r="B237" s="831"/>
      <c r="C237" s="829">
        <v>0.5</v>
      </c>
      <c r="D237" s="832">
        <v>7.6</v>
      </c>
      <c r="E237" s="435" t="s">
        <v>3316</v>
      </c>
      <c r="F237" s="839"/>
      <c r="G237" s="935"/>
      <c r="H237" s="838">
        <f>F234*G234*G235*G236</f>
        <v>45.375</v>
      </c>
      <c r="I237" s="839" t="s">
        <v>3354</v>
      </c>
    </row>
    <row r="238" spans="1:9">
      <c r="A238" s="818"/>
      <c r="B238" s="435"/>
      <c r="C238" s="435"/>
      <c r="D238" s="435"/>
      <c r="E238" s="435"/>
      <c r="F238" s="1335"/>
      <c r="G238" s="848"/>
      <c r="H238" s="843"/>
      <c r="I238" s="435"/>
    </row>
    <row r="239" spans="1:9">
      <c r="A239" s="818"/>
      <c r="B239" s="839"/>
      <c r="C239" s="935"/>
      <c r="D239" s="838">
        <f>D237+D234+D231+D228+D225+D222+D219+D216</f>
        <v>69.099999999999994</v>
      </c>
      <c r="E239" s="839" t="s">
        <v>3344</v>
      </c>
      <c r="F239" s="1335"/>
      <c r="G239" s="848"/>
      <c r="H239" s="843"/>
      <c r="I239" s="435"/>
    </row>
    <row r="240" spans="1:9">
      <c r="A240" s="818"/>
      <c r="B240" s="831"/>
      <c r="C240" s="829"/>
      <c r="D240" s="832"/>
      <c r="E240" s="435"/>
      <c r="F240" s="831"/>
      <c r="G240" s="829"/>
      <c r="H240" s="832"/>
      <c r="I240" s="435"/>
    </row>
    <row r="241" spans="1:10">
      <c r="A241" s="828"/>
      <c r="B241" s="853" t="s">
        <v>1884</v>
      </c>
      <c r="C241" s="854" t="s">
        <v>526</v>
      </c>
      <c r="D241" s="855" t="s">
        <v>1885</v>
      </c>
      <c r="E241" s="854" t="s">
        <v>1886</v>
      </c>
      <c r="F241" s="853" t="s">
        <v>1884</v>
      </c>
      <c r="G241" s="854" t="s">
        <v>526</v>
      </c>
      <c r="H241" s="855" t="s">
        <v>1885</v>
      </c>
      <c r="I241" s="854" t="s">
        <v>1886</v>
      </c>
      <c r="J241" s="828"/>
    </row>
    <row r="242" spans="1:10">
      <c r="A242" s="818"/>
      <c r="B242" s="831">
        <v>1</v>
      </c>
      <c r="C242" s="829">
        <v>5</v>
      </c>
      <c r="D242" s="832"/>
      <c r="E242" s="1335" t="s">
        <v>2801</v>
      </c>
      <c r="F242" s="831"/>
      <c r="G242" s="829"/>
      <c r="H242" s="832"/>
      <c r="I242" s="1335" t="s">
        <v>2765</v>
      </c>
    </row>
    <row r="243" spans="1:10">
      <c r="A243" s="818"/>
      <c r="B243" s="831"/>
      <c r="C243" s="829">
        <v>5</v>
      </c>
      <c r="D243" s="832"/>
      <c r="E243" s="435" t="s">
        <v>3434</v>
      </c>
      <c r="F243" s="831">
        <v>4</v>
      </c>
      <c r="G243" s="829">
        <v>35.6</v>
      </c>
      <c r="H243" s="832"/>
      <c r="I243" s="435"/>
    </row>
    <row r="244" spans="1:10">
      <c r="A244" s="818"/>
      <c r="B244" s="831"/>
      <c r="C244" s="829">
        <v>1.3</v>
      </c>
      <c r="D244" s="832"/>
      <c r="E244" s="435"/>
      <c r="F244" s="831"/>
      <c r="G244" s="829">
        <v>0.4</v>
      </c>
      <c r="H244" s="832"/>
      <c r="I244" s="435"/>
    </row>
    <row r="245" spans="1:10">
      <c r="A245" s="818"/>
      <c r="B245" s="839"/>
      <c r="C245" s="935"/>
      <c r="D245" s="838">
        <f>B242*C242*C243*C244</f>
        <v>32.5</v>
      </c>
      <c r="E245" s="839" t="s">
        <v>3355</v>
      </c>
      <c r="F245" s="839"/>
      <c r="G245" s="935"/>
      <c r="H245" s="838">
        <f>G244*G243*F243</f>
        <v>56.960000000000008</v>
      </c>
      <c r="I245" s="839" t="s">
        <v>2340</v>
      </c>
    </row>
    <row r="246" spans="1:10">
      <c r="A246" s="818"/>
      <c r="B246" s="831"/>
      <c r="C246" s="829"/>
      <c r="D246" s="832"/>
      <c r="E246" s="435"/>
      <c r="F246" s="435"/>
      <c r="G246" s="435"/>
      <c r="H246" s="435"/>
      <c r="I246" s="435"/>
    </row>
    <row r="247" spans="1:10">
      <c r="A247" s="818"/>
      <c r="B247" s="831">
        <v>1</v>
      </c>
      <c r="C247" s="829">
        <v>5</v>
      </c>
      <c r="D247" s="832"/>
      <c r="E247" s="1335" t="s">
        <v>2803</v>
      </c>
      <c r="F247" s="831"/>
      <c r="G247" s="829"/>
      <c r="H247" s="832"/>
      <c r="I247" s="1335" t="s">
        <v>2766</v>
      </c>
    </row>
    <row r="248" spans="1:10">
      <c r="A248" s="818"/>
      <c r="B248" s="831"/>
      <c r="C248" s="829">
        <v>5</v>
      </c>
      <c r="D248" s="832"/>
      <c r="E248" s="435"/>
      <c r="F248" s="831"/>
      <c r="G248" s="829"/>
      <c r="H248" s="832"/>
      <c r="I248" s="1335" t="s">
        <v>2767</v>
      </c>
    </row>
    <row r="249" spans="1:10">
      <c r="A249" s="818"/>
      <c r="B249" s="831"/>
      <c r="C249" s="829">
        <v>0</v>
      </c>
      <c r="D249" s="832"/>
      <c r="E249" s="435"/>
      <c r="F249" s="831">
        <v>6</v>
      </c>
      <c r="G249" s="829">
        <v>3</v>
      </c>
      <c r="H249" s="832"/>
      <c r="I249" s="435"/>
    </row>
    <row r="250" spans="1:10">
      <c r="A250" s="818"/>
      <c r="B250" s="839"/>
      <c r="C250" s="935"/>
      <c r="D250" s="838">
        <f>B247*C247*C248*C249</f>
        <v>0</v>
      </c>
      <c r="E250" s="839" t="s">
        <v>3356</v>
      </c>
      <c r="F250" s="839"/>
      <c r="G250" s="935"/>
      <c r="H250" s="838">
        <f>G249*F249*2.93</f>
        <v>52.74</v>
      </c>
      <c r="I250" s="839" t="s">
        <v>2768</v>
      </c>
    </row>
    <row r="251" spans="1:10">
      <c r="A251" s="818"/>
      <c r="B251" s="435"/>
      <c r="C251" s="435"/>
      <c r="D251" s="435"/>
      <c r="E251" s="435"/>
      <c r="F251" s="1335"/>
      <c r="G251" s="848"/>
      <c r="H251" s="843"/>
      <c r="I251" s="435"/>
    </row>
    <row r="252" spans="1:10">
      <c r="A252" s="818"/>
      <c r="B252" s="831"/>
      <c r="C252" s="829"/>
      <c r="D252" s="832"/>
      <c r="E252" s="1335" t="s">
        <v>3360</v>
      </c>
      <c r="F252" s="831"/>
      <c r="G252" s="829"/>
      <c r="H252" s="832"/>
      <c r="I252" s="1335" t="s">
        <v>2769</v>
      </c>
    </row>
    <row r="253" spans="1:10">
      <c r="A253" s="818"/>
      <c r="B253" s="831"/>
      <c r="C253" s="829"/>
      <c r="D253" s="832"/>
      <c r="E253" s="435"/>
      <c r="F253" s="831">
        <v>26</v>
      </c>
      <c r="G253" s="829">
        <v>1</v>
      </c>
      <c r="H253" s="832"/>
      <c r="I253" s="435"/>
    </row>
    <row r="254" spans="1:10">
      <c r="A254" s="818"/>
      <c r="B254" s="839"/>
      <c r="C254" s="935"/>
      <c r="D254" s="838">
        <f>D250+D245+H237</f>
        <v>77.875</v>
      </c>
      <c r="E254" s="839" t="s">
        <v>3361</v>
      </c>
      <c r="F254" s="839"/>
      <c r="G254" s="935"/>
      <c r="H254" s="838">
        <f>G253*F253</f>
        <v>26</v>
      </c>
      <c r="I254" s="839" t="s">
        <v>2735</v>
      </c>
    </row>
    <row r="255" spans="1:10">
      <c r="A255" s="818"/>
      <c r="B255" s="435"/>
      <c r="C255" s="1335"/>
      <c r="D255" s="1335"/>
      <c r="E255" s="435"/>
      <c r="F255" s="1335"/>
      <c r="G255" s="848"/>
      <c r="H255" s="843"/>
      <c r="I255" s="435"/>
    </row>
    <row r="256" spans="1:10">
      <c r="A256" s="818"/>
      <c r="B256" s="831"/>
      <c r="C256" s="829"/>
      <c r="D256" s="832"/>
      <c r="E256" s="1335" t="s">
        <v>3357</v>
      </c>
      <c r="F256" s="831"/>
      <c r="G256" s="829"/>
      <c r="H256" s="832"/>
      <c r="I256" s="1335" t="s">
        <v>2771</v>
      </c>
    </row>
    <row r="257" spans="1:9">
      <c r="A257" s="818"/>
      <c r="B257" s="831"/>
      <c r="C257" s="829"/>
      <c r="D257" s="832"/>
      <c r="E257" s="1335" t="s">
        <v>2800</v>
      </c>
      <c r="F257" s="831">
        <v>26</v>
      </c>
      <c r="G257" s="829">
        <v>4</v>
      </c>
      <c r="H257" s="832"/>
      <c r="I257" s="435"/>
    </row>
    <row r="258" spans="1:9">
      <c r="A258" s="818"/>
      <c r="B258" s="831">
        <v>1</v>
      </c>
      <c r="C258" s="829"/>
      <c r="D258" s="832"/>
      <c r="E258" s="1335" t="s">
        <v>3358</v>
      </c>
      <c r="F258" s="839"/>
      <c r="G258" s="935"/>
      <c r="H258" s="838">
        <f>G257*F257</f>
        <v>104</v>
      </c>
      <c r="I258" s="839" t="s">
        <v>2735</v>
      </c>
    </row>
    <row r="259" spans="1:9">
      <c r="A259" s="818"/>
      <c r="B259" s="831"/>
      <c r="C259" s="829"/>
      <c r="D259" s="832"/>
      <c r="E259" s="435"/>
      <c r="F259" s="435"/>
      <c r="G259" s="435"/>
      <c r="H259" s="435"/>
      <c r="I259" s="435"/>
    </row>
    <row r="260" spans="1:9">
      <c r="A260" s="818"/>
      <c r="B260" s="839"/>
      <c r="C260" s="935"/>
      <c r="D260" s="838">
        <f>C259*C258*B258</f>
        <v>0</v>
      </c>
      <c r="E260" s="839" t="s">
        <v>3354</v>
      </c>
      <c r="F260" s="831"/>
      <c r="G260" s="829"/>
      <c r="H260" s="832"/>
      <c r="I260" s="1335" t="s">
        <v>2774</v>
      </c>
    </row>
    <row r="261" spans="1:9">
      <c r="A261" s="818"/>
      <c r="B261" s="831"/>
      <c r="C261" s="829"/>
      <c r="D261" s="435"/>
      <c r="E261" s="435"/>
      <c r="F261" s="1335">
        <v>2</v>
      </c>
      <c r="G261" s="848">
        <f>5+38.5</f>
        <v>43.5</v>
      </c>
      <c r="H261" s="843"/>
      <c r="I261" s="435"/>
    </row>
    <row r="262" spans="1:9">
      <c r="A262" s="818"/>
      <c r="B262" s="831">
        <v>1</v>
      </c>
      <c r="C262" s="829">
        <v>5</v>
      </c>
      <c r="D262" s="832"/>
      <c r="E262" s="1335" t="s">
        <v>3359</v>
      </c>
      <c r="F262" s="1335"/>
      <c r="G262" s="848"/>
      <c r="H262" s="838">
        <f>G261*F261</f>
        <v>87</v>
      </c>
      <c r="I262" s="435" t="s">
        <v>1402</v>
      </c>
    </row>
    <row r="263" spans="1:9">
      <c r="A263" s="818"/>
      <c r="B263" s="831"/>
      <c r="C263" s="829">
        <v>5</v>
      </c>
      <c r="D263" s="832"/>
      <c r="E263" s="435"/>
      <c r="F263" s="1335"/>
      <c r="G263" s="848"/>
      <c r="H263" s="843"/>
      <c r="I263" s="435"/>
    </row>
    <row r="264" spans="1:9">
      <c r="A264" s="818"/>
      <c r="B264" s="831"/>
      <c r="C264" s="829">
        <v>1.5</v>
      </c>
      <c r="D264" s="832"/>
      <c r="E264" s="435"/>
      <c r="F264" s="1335"/>
      <c r="G264" s="848"/>
      <c r="H264" s="843">
        <f>3.6*H262</f>
        <v>313.2</v>
      </c>
      <c r="I264" s="435" t="s">
        <v>2768</v>
      </c>
    </row>
    <row r="265" spans="1:9">
      <c r="A265" s="818"/>
      <c r="B265" s="839"/>
      <c r="C265" s="935"/>
      <c r="D265" s="838">
        <f>B262*C262*C263*C264</f>
        <v>37.5</v>
      </c>
      <c r="E265" s="839" t="s">
        <v>3355</v>
      </c>
      <c r="F265" s="1335"/>
      <c r="G265" s="848"/>
      <c r="H265" s="843"/>
      <c r="I265" s="435"/>
    </row>
    <row r="266" spans="1:9">
      <c r="A266" s="818"/>
      <c r="B266" s="1335"/>
      <c r="C266" s="848"/>
      <c r="D266" s="843"/>
      <c r="E266" s="435"/>
      <c r="F266" s="1335"/>
      <c r="G266" s="848"/>
      <c r="H266" s="843"/>
      <c r="I266" s="1637" t="s">
        <v>3423</v>
      </c>
    </row>
    <row r="267" spans="1:9">
      <c r="A267" s="818"/>
      <c r="B267" s="831"/>
      <c r="C267" s="829"/>
      <c r="D267" s="832"/>
      <c r="E267" s="1335" t="s">
        <v>3362</v>
      </c>
      <c r="F267" s="1637">
        <v>5</v>
      </c>
      <c r="G267" s="848">
        <v>5.0999999999999996</v>
      </c>
      <c r="H267" s="843"/>
      <c r="I267" s="435"/>
    </row>
    <row r="268" spans="1:9">
      <c r="A268" s="818"/>
      <c r="B268" s="831"/>
      <c r="C268" s="829"/>
      <c r="D268" s="832"/>
      <c r="E268" s="435"/>
      <c r="F268" s="1637"/>
      <c r="G268" s="848"/>
      <c r="H268" s="838">
        <f>G267*F267</f>
        <v>25.5</v>
      </c>
      <c r="I268" s="435" t="s">
        <v>1402</v>
      </c>
    </row>
    <row r="269" spans="1:9">
      <c r="A269" s="818"/>
      <c r="B269" s="839"/>
      <c r="C269" s="935"/>
      <c r="D269" s="838">
        <f>D265+D260*0.3</f>
        <v>37.5</v>
      </c>
      <c r="E269" s="839" t="s">
        <v>3363</v>
      </c>
      <c r="F269" s="1637"/>
      <c r="G269" s="848"/>
      <c r="H269" s="843"/>
      <c r="I269" s="435"/>
    </row>
    <row r="270" spans="1:9">
      <c r="A270" s="818"/>
      <c r="B270" s="1386"/>
      <c r="C270" s="1385"/>
      <c r="D270" s="1385"/>
      <c r="E270" s="1385"/>
      <c r="F270" s="1637"/>
      <c r="G270" s="848"/>
      <c r="H270" s="843">
        <f>3.3*H268</f>
        <v>84.149999999999991</v>
      </c>
      <c r="I270" s="435" t="s">
        <v>2768</v>
      </c>
    </row>
    <row r="271" spans="1:9">
      <c r="A271" s="818"/>
      <c r="B271" s="831"/>
      <c r="C271" s="829"/>
      <c r="D271" s="832"/>
      <c r="E271" s="1335" t="s">
        <v>2761</v>
      </c>
      <c r="F271" s="435"/>
      <c r="G271" s="435"/>
      <c r="H271" s="832"/>
      <c r="I271" s="435"/>
    </row>
    <row r="272" spans="1:9">
      <c r="A272" s="818"/>
      <c r="B272" s="831"/>
      <c r="C272" s="829"/>
      <c r="D272" s="832"/>
      <c r="E272" s="1335" t="s">
        <v>2762</v>
      </c>
      <c r="F272" s="1637"/>
      <c r="G272" s="848"/>
      <c r="H272" s="843"/>
      <c r="I272" s="1637" t="s">
        <v>3423</v>
      </c>
    </row>
    <row r="273" spans="1:9">
      <c r="A273" s="818"/>
      <c r="B273" s="831"/>
      <c r="C273" s="829"/>
      <c r="D273" s="832"/>
      <c r="E273" s="1335" t="s">
        <v>2763</v>
      </c>
      <c r="F273" s="1637">
        <v>5</v>
      </c>
      <c r="G273" s="848">
        <v>0.4</v>
      </c>
      <c r="H273" s="843"/>
      <c r="I273" s="435"/>
    </row>
    <row r="274" spans="1:9">
      <c r="A274" s="818"/>
      <c r="B274" s="831"/>
      <c r="C274" s="829"/>
      <c r="D274" s="832"/>
      <c r="E274" s="1335" t="s">
        <v>2764</v>
      </c>
      <c r="F274" s="1637"/>
      <c r="G274" s="848"/>
      <c r="H274" s="838">
        <f>G273*F273</f>
        <v>2</v>
      </c>
      <c r="I274" s="435" t="s">
        <v>1402</v>
      </c>
    </row>
    <row r="275" spans="1:9">
      <c r="A275" s="818"/>
      <c r="B275" s="831">
        <v>1</v>
      </c>
      <c r="C275" s="829">
        <v>41</v>
      </c>
      <c r="D275" s="832"/>
      <c r="E275" s="1335"/>
      <c r="F275" s="1637"/>
      <c r="G275" s="848"/>
      <c r="H275" s="843"/>
      <c r="I275" s="435"/>
    </row>
    <row r="276" spans="1:9">
      <c r="A276" s="818"/>
      <c r="B276" s="831"/>
      <c r="C276" s="829">
        <v>2.5</v>
      </c>
      <c r="D276" s="832"/>
      <c r="E276" s="435"/>
      <c r="F276" s="1637"/>
      <c r="G276" s="848"/>
      <c r="H276" s="843">
        <f>1.36*H274</f>
        <v>2.72</v>
      </c>
      <c r="I276" s="435" t="s">
        <v>2768</v>
      </c>
    </row>
    <row r="277" spans="1:9">
      <c r="A277" s="818"/>
      <c r="B277" s="839"/>
      <c r="C277" s="935"/>
      <c r="D277" s="838">
        <f>C276*C275*B275</f>
        <v>102.5</v>
      </c>
      <c r="E277" s="839" t="s">
        <v>2340</v>
      </c>
      <c r="F277" s="1335"/>
      <c r="G277" s="848"/>
      <c r="H277" s="843"/>
      <c r="I277" s="435"/>
    </row>
    <row r="278" spans="1:9">
      <c r="A278" s="818"/>
      <c r="B278" s="831"/>
      <c r="C278" s="435"/>
      <c r="D278" s="435"/>
      <c r="E278" s="435"/>
      <c r="F278" s="1335"/>
      <c r="G278" s="848"/>
      <c r="H278" s="843"/>
      <c r="I278" s="435"/>
    </row>
    <row r="279" spans="1:9">
      <c r="A279" s="818"/>
      <c r="B279" s="831"/>
      <c r="C279" s="829"/>
      <c r="D279" s="832"/>
      <c r="E279" s="1335" t="s">
        <v>2770</v>
      </c>
      <c r="F279" s="1335"/>
      <c r="G279" s="848"/>
      <c r="H279" s="843"/>
      <c r="I279" s="435"/>
    </row>
    <row r="280" spans="1:9">
      <c r="A280" s="818"/>
      <c r="B280" s="831">
        <v>1</v>
      </c>
      <c r="C280" s="829">
        <v>35.6</v>
      </c>
      <c r="D280" s="832"/>
      <c r="E280" s="435"/>
      <c r="F280" s="831"/>
      <c r="G280" s="829"/>
      <c r="H280" s="832"/>
      <c r="I280" s="435"/>
    </row>
    <row r="281" spans="1:9">
      <c r="A281" s="818"/>
      <c r="B281" s="831"/>
      <c r="C281" s="829">
        <v>2</v>
      </c>
      <c r="D281" s="832"/>
      <c r="E281" s="435"/>
      <c r="F281" s="1335"/>
      <c r="G281" s="848"/>
      <c r="H281" s="843"/>
      <c r="I281" s="435"/>
    </row>
    <row r="282" spans="1:9">
      <c r="A282" s="818"/>
      <c r="B282" s="839"/>
      <c r="C282" s="935"/>
      <c r="D282" s="838">
        <f>C281*C280*B280</f>
        <v>71.2</v>
      </c>
      <c r="E282" s="839" t="s">
        <v>2340</v>
      </c>
      <c r="F282" s="1335"/>
      <c r="G282" s="848"/>
      <c r="H282" s="843"/>
      <c r="I282" s="435"/>
    </row>
    <row r="283" spans="1:9">
      <c r="A283" s="818"/>
      <c r="B283" s="831"/>
      <c r="C283" s="435"/>
      <c r="D283" s="435"/>
      <c r="E283" s="435"/>
      <c r="F283" s="1335"/>
      <c r="G283" s="848"/>
      <c r="H283" s="843"/>
      <c r="I283" s="435"/>
    </row>
    <row r="284" spans="1:9">
      <c r="A284" s="818"/>
      <c r="B284" s="831"/>
      <c r="C284" s="829"/>
      <c r="D284" s="832"/>
      <c r="E284" s="1335" t="s">
        <v>2772</v>
      </c>
      <c r="F284" s="1335"/>
      <c r="G284" s="848"/>
      <c r="H284" s="843"/>
      <c r="I284" s="435"/>
    </row>
    <row r="285" spans="1:9">
      <c r="A285" s="818"/>
      <c r="B285" s="831"/>
      <c r="C285" s="829"/>
      <c r="D285" s="832"/>
      <c r="E285" s="1335" t="s">
        <v>2773</v>
      </c>
      <c r="F285" s="1335"/>
      <c r="G285" s="848"/>
      <c r="H285" s="843"/>
      <c r="I285" s="435"/>
    </row>
    <row r="286" spans="1:9">
      <c r="A286" s="818"/>
      <c r="B286" s="831">
        <v>2</v>
      </c>
      <c r="C286" s="829">
        <v>0.5</v>
      </c>
      <c r="D286" s="832"/>
      <c r="E286" s="435"/>
      <c r="F286" s="1335"/>
      <c r="G286" s="848"/>
      <c r="H286" s="843"/>
      <c r="I286" s="435"/>
    </row>
    <row r="287" spans="1:9">
      <c r="A287" s="818"/>
      <c r="B287" s="831"/>
      <c r="C287" s="829">
        <v>35.6</v>
      </c>
      <c r="D287" s="832"/>
      <c r="E287" s="435"/>
      <c r="F287" s="1335"/>
      <c r="G287" s="848"/>
      <c r="H287" s="843"/>
      <c r="I287" s="435"/>
    </row>
    <row r="288" spans="1:9">
      <c r="A288" s="818"/>
      <c r="B288" s="839"/>
      <c r="C288" s="935"/>
      <c r="D288" s="838">
        <f>C287*C286*B286</f>
        <v>35.6</v>
      </c>
      <c r="E288" s="839" t="s">
        <v>2340</v>
      </c>
      <c r="F288" s="1335"/>
      <c r="G288" s="848"/>
      <c r="H288" s="843"/>
      <c r="I288" s="435"/>
    </row>
    <row r="289" spans="1:9">
      <c r="A289" s="818"/>
      <c r="B289" s="831"/>
      <c r="C289" s="435"/>
      <c r="D289" s="435"/>
      <c r="E289" s="435"/>
      <c r="F289" s="1335"/>
      <c r="G289" s="848"/>
      <c r="H289" s="843"/>
      <c r="I289" s="435"/>
    </row>
    <row r="290" spans="1:9">
      <c r="A290" s="818"/>
      <c r="B290" s="831"/>
      <c r="C290" s="829"/>
      <c r="D290" s="832"/>
      <c r="E290" s="1335" t="s">
        <v>2775</v>
      </c>
      <c r="F290" s="1335"/>
      <c r="G290" s="848"/>
      <c r="H290" s="843"/>
      <c r="I290" s="435"/>
    </row>
    <row r="291" spans="1:9">
      <c r="A291" s="818"/>
      <c r="B291" s="831">
        <v>2</v>
      </c>
      <c r="C291" s="829">
        <v>35.6</v>
      </c>
      <c r="D291" s="832"/>
      <c r="E291" s="435"/>
      <c r="F291" s="1335"/>
      <c r="G291" s="848"/>
      <c r="H291" s="843"/>
      <c r="I291" s="435"/>
    </row>
    <row r="292" spans="1:9">
      <c r="A292" s="818"/>
      <c r="B292" s="831"/>
      <c r="C292" s="829">
        <v>0.25</v>
      </c>
      <c r="D292" s="832"/>
      <c r="E292" s="435"/>
      <c r="F292" s="1335"/>
      <c r="G292" s="848"/>
      <c r="H292" s="843"/>
      <c r="I292" s="435"/>
    </row>
    <row r="293" spans="1:9">
      <c r="A293" s="818"/>
      <c r="B293" s="831"/>
      <c r="C293" s="829">
        <v>0.4</v>
      </c>
      <c r="D293" s="832"/>
      <c r="E293" s="435"/>
      <c r="F293" s="1335"/>
      <c r="G293" s="848"/>
      <c r="H293" s="843"/>
      <c r="I293" s="435"/>
    </row>
    <row r="294" spans="1:9">
      <c r="A294" s="818"/>
      <c r="B294" s="839"/>
      <c r="C294" s="935"/>
      <c r="D294" s="838">
        <f>C293*C292*C291*B291</f>
        <v>7.120000000000001</v>
      </c>
      <c r="E294" s="839" t="s">
        <v>2754</v>
      </c>
      <c r="F294" s="435"/>
      <c r="G294" s="435"/>
      <c r="H294" s="832"/>
      <c r="I294" s="435"/>
    </row>
    <row r="295" spans="1:9">
      <c r="A295" s="818"/>
      <c r="B295" s="435"/>
      <c r="C295" s="1335"/>
      <c r="D295" s="1335"/>
      <c r="E295" s="435"/>
      <c r="F295" s="435"/>
      <c r="G295" s="435"/>
      <c r="H295" s="435"/>
      <c r="I295" s="435"/>
    </row>
    <row r="296" spans="1:9">
      <c r="A296" s="818"/>
      <c r="B296" s="831"/>
      <c r="C296" s="829"/>
      <c r="D296" s="832"/>
      <c r="E296" s="1335" t="s">
        <v>2776</v>
      </c>
      <c r="F296" s="831"/>
      <c r="G296" s="829"/>
      <c r="H296" s="832"/>
      <c r="I296" s="435"/>
    </row>
    <row r="297" spans="1:9">
      <c r="A297" s="818"/>
      <c r="B297" s="831">
        <v>1</v>
      </c>
      <c r="C297" s="829">
        <v>35.6</v>
      </c>
      <c r="D297" s="832"/>
      <c r="E297" s="435"/>
      <c r="F297" s="831"/>
      <c r="G297" s="829"/>
      <c r="H297" s="832"/>
      <c r="I297" s="435"/>
    </row>
    <row r="298" spans="1:9">
      <c r="A298" s="818"/>
      <c r="B298" s="831"/>
      <c r="C298" s="829">
        <v>2</v>
      </c>
      <c r="D298" s="832"/>
      <c r="E298" s="435"/>
      <c r="F298" s="831"/>
      <c r="G298" s="829"/>
      <c r="H298" s="832"/>
      <c r="I298" s="435"/>
    </row>
    <row r="299" spans="1:9">
      <c r="A299" s="818"/>
      <c r="B299" s="839"/>
      <c r="C299" s="935"/>
      <c r="D299" s="838">
        <f>C298*C297*B297</f>
        <v>71.2</v>
      </c>
      <c r="E299" s="839" t="s">
        <v>2340</v>
      </c>
      <c r="F299" s="831"/>
      <c r="G299" s="829"/>
      <c r="H299" s="832"/>
      <c r="I299" s="435"/>
    </row>
    <row r="300" spans="1:9">
      <c r="A300" s="818"/>
      <c r="B300" s="109"/>
      <c r="C300" s="109"/>
      <c r="D300" s="109"/>
      <c r="E300" s="109"/>
      <c r="F300" s="849"/>
      <c r="G300" s="850"/>
      <c r="H300" s="851"/>
      <c r="I300" s="109"/>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D.Office Engineer&amp;C&amp;14Consultant: - &amp;UDawit T. Resident Engineer&amp;R&amp;14Client: -_____________&amp;U    </oddFooter>
  </headerFooter>
  <rowBreaks count="4" manualBreakCount="4">
    <brk id="64" max="9" man="1"/>
    <brk id="122" max="9" man="1"/>
    <brk id="181" max="9" man="1"/>
    <brk id="240" max="9"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view="pageBreakPreview" zoomScale="60" zoomScalePageLayoutView="85" workbookViewId="0">
      <selection activeCell="Q19" sqref="Q19"/>
    </sheetView>
  </sheetViews>
  <sheetFormatPr defaultRowHeight="15"/>
  <cols>
    <col min="1" max="1" width="9" style="388" customWidth="1"/>
    <col min="2" max="2" width="28.28515625" style="388" customWidth="1"/>
    <col min="3" max="3" width="15.42578125" style="388" customWidth="1"/>
    <col min="4" max="4" width="14.85546875" style="388" customWidth="1"/>
    <col min="5" max="5" width="13.42578125" style="388" customWidth="1"/>
    <col min="6" max="6" width="14.85546875" style="388" customWidth="1"/>
    <col min="7" max="7" width="17.5703125" style="388" customWidth="1"/>
    <col min="8" max="8" width="20" style="388" customWidth="1"/>
    <col min="9" max="9" width="14.5703125" style="388" customWidth="1"/>
    <col min="10" max="10" width="15.140625" style="388" customWidth="1"/>
    <col min="11" max="11" width="15.5703125" style="388" customWidth="1"/>
    <col min="12" max="12" width="8" style="388" customWidth="1"/>
    <col min="13" max="16384" width="9.140625" style="388"/>
  </cols>
  <sheetData>
    <row r="1" spans="1:12" s="1088" customFormat="1" ht="21">
      <c r="B1" s="2426" t="s">
        <v>2731</v>
      </c>
      <c r="C1" s="2426"/>
      <c r="D1" s="2426"/>
      <c r="E1" s="2426"/>
      <c r="F1" s="1087"/>
      <c r="G1" s="1089"/>
      <c r="H1" s="1090"/>
      <c r="I1" s="1090"/>
    </row>
    <row r="2" spans="1:12" s="1088" customFormat="1" ht="21">
      <c r="B2" s="2426" t="s">
        <v>1822</v>
      </c>
      <c r="C2" s="2426"/>
      <c r="D2" s="2426"/>
      <c r="E2" s="2426"/>
      <c r="F2" s="1087"/>
      <c r="G2" s="1090"/>
      <c r="H2" s="1090"/>
      <c r="I2" s="1090"/>
    </row>
    <row r="3" spans="1:12" s="1088" customFormat="1" ht="21">
      <c r="B3" s="2427" t="s">
        <v>1823</v>
      </c>
      <c r="C3" s="2427"/>
      <c r="D3" s="2427"/>
      <c r="E3" s="2427"/>
      <c r="F3" s="1087"/>
    </row>
    <row r="4" spans="1:12" s="1088" customFormat="1" ht="21">
      <c r="B4" s="2428" t="s">
        <v>1870</v>
      </c>
      <c r="C4" s="2428"/>
      <c r="D4" s="2428"/>
      <c r="E4" s="2428"/>
      <c r="F4" s="1087"/>
    </row>
    <row r="5" spans="1:12" s="1088" customFormat="1" ht="21.75" thickBot="1">
      <c r="B5" s="1092"/>
      <c r="C5" s="1092"/>
      <c r="D5" s="1092"/>
      <c r="F5" s="1087"/>
      <c r="G5" s="2429" t="s">
        <v>2732</v>
      </c>
      <c r="H5" s="2429"/>
      <c r="I5" s="1091" t="s">
        <v>2443</v>
      </c>
    </row>
    <row r="6" spans="1:12" ht="21.75" thickTop="1">
      <c r="A6" s="536"/>
      <c r="B6" s="2418" t="s">
        <v>293</v>
      </c>
      <c r="C6" s="2420" t="s">
        <v>2777</v>
      </c>
      <c r="D6" s="2420" t="s">
        <v>2778</v>
      </c>
      <c r="E6" s="2422" t="s">
        <v>2779</v>
      </c>
      <c r="F6" s="2424" t="s">
        <v>2780</v>
      </c>
      <c r="G6" s="2415" t="s">
        <v>2781</v>
      </c>
      <c r="H6" s="2416"/>
      <c r="I6" s="2416"/>
      <c r="J6" s="2416"/>
      <c r="K6" s="2417"/>
      <c r="L6" s="536"/>
    </row>
    <row r="7" spans="1:12" ht="21.75" thickBot="1">
      <c r="A7" s="536"/>
      <c r="B7" s="2419"/>
      <c r="C7" s="2421"/>
      <c r="D7" s="2421"/>
      <c r="E7" s="2423"/>
      <c r="F7" s="2425"/>
      <c r="G7" s="1093">
        <v>6</v>
      </c>
      <c r="H7" s="1093">
        <v>8</v>
      </c>
      <c r="I7" s="1093">
        <v>10</v>
      </c>
      <c r="J7" s="1094">
        <v>12</v>
      </c>
      <c r="K7" s="1095">
        <v>14</v>
      </c>
      <c r="L7" s="536"/>
    </row>
    <row r="8" spans="1:12" ht="21.75" thickTop="1">
      <c r="A8" s="536"/>
      <c r="B8" s="1096" t="s">
        <v>1294</v>
      </c>
      <c r="C8" s="1097">
        <v>8</v>
      </c>
      <c r="D8" s="1097">
        <v>12</v>
      </c>
      <c r="E8" s="1098">
        <v>13</v>
      </c>
      <c r="F8" s="1097">
        <v>1</v>
      </c>
      <c r="G8" s="1099" t="str">
        <f>IF(C8=10,F8*D8*E8,"""")</f>
        <v>"</v>
      </c>
      <c r="H8" s="1099">
        <f>IF(C8=8,F8*D8*E8,"""")</f>
        <v>156</v>
      </c>
      <c r="I8" s="1099" t="str">
        <f>IF(C8=10,C8*D8*E8,"""")</f>
        <v>"</v>
      </c>
      <c r="J8" s="1099" t="str">
        <f>IF(C8=12,D8*E8*F8,"""")</f>
        <v>"</v>
      </c>
      <c r="K8" s="1100" t="str">
        <f>IF(C8=14,E8*F8*D8,"""")</f>
        <v>"</v>
      </c>
      <c r="L8" s="536"/>
    </row>
    <row r="9" spans="1:12" ht="21">
      <c r="A9" s="536"/>
      <c r="B9" s="1101"/>
      <c r="C9" s="1102">
        <v>8</v>
      </c>
      <c r="D9" s="1102">
        <v>2.4</v>
      </c>
      <c r="E9" s="1103">
        <v>61</v>
      </c>
      <c r="F9" s="1102">
        <v>1</v>
      </c>
      <c r="G9" s="1099" t="str">
        <f t="shared" ref="G9:G25" si="0">IF(C9=10,F9*D9*E9,"""")</f>
        <v>"</v>
      </c>
      <c r="H9" s="1099">
        <f t="shared" ref="H9:H25" si="1">IF(C9=8,F9*D9*E9,"""")</f>
        <v>146.4</v>
      </c>
      <c r="I9" s="1099" t="str">
        <f t="shared" ref="I9:I25" si="2">IF(C9=10,C9*D9*E9,"""")</f>
        <v>"</v>
      </c>
      <c r="J9" s="1099" t="str">
        <f t="shared" ref="J9:J25" si="3">IF(C9=12,D9*E9*F9,"""")</f>
        <v>"</v>
      </c>
      <c r="K9" s="1100" t="str">
        <f t="shared" ref="K9:K25" si="4">IF(C9=14,E9*F9*D9,"""")</f>
        <v>"</v>
      </c>
      <c r="L9" s="536"/>
    </row>
    <row r="10" spans="1:12" ht="21">
      <c r="A10" s="536"/>
      <c r="B10" s="1104"/>
      <c r="C10" s="1102"/>
      <c r="D10" s="1102"/>
      <c r="E10" s="1103"/>
      <c r="F10" s="1102"/>
      <c r="G10" s="1099" t="str">
        <f t="shared" si="0"/>
        <v>"</v>
      </c>
      <c r="H10" s="1099" t="str">
        <f t="shared" si="1"/>
        <v>"</v>
      </c>
      <c r="I10" s="1099" t="str">
        <f>IF(C10=10,C10*D10*E10,"""")</f>
        <v>"</v>
      </c>
      <c r="J10" s="1099" t="str">
        <f t="shared" si="3"/>
        <v>"</v>
      </c>
      <c r="K10" s="1100" t="str">
        <f t="shared" si="4"/>
        <v>"</v>
      </c>
      <c r="L10" s="536"/>
    </row>
    <row r="11" spans="1:12" ht="21">
      <c r="A11" s="536"/>
      <c r="B11" s="1104" t="s">
        <v>2782</v>
      </c>
      <c r="C11" s="1102">
        <v>8</v>
      </c>
      <c r="D11" s="1099">
        <v>7</v>
      </c>
      <c r="E11" s="1103">
        <v>13</v>
      </c>
      <c r="F11" s="1102">
        <v>1</v>
      </c>
      <c r="G11" s="1099" t="str">
        <f t="shared" si="0"/>
        <v>"</v>
      </c>
      <c r="H11" s="1099">
        <f t="shared" si="1"/>
        <v>91</v>
      </c>
      <c r="I11" s="1099" t="str">
        <f t="shared" si="2"/>
        <v>"</v>
      </c>
      <c r="J11" s="1099" t="str">
        <f t="shared" si="3"/>
        <v>"</v>
      </c>
      <c r="K11" s="1100" t="str">
        <f t="shared" si="4"/>
        <v>"</v>
      </c>
      <c r="L11" s="536"/>
    </row>
    <row r="12" spans="1:12" ht="21">
      <c r="A12" s="536"/>
      <c r="B12" s="1104"/>
      <c r="C12" s="1102">
        <v>8</v>
      </c>
      <c r="D12" s="1102">
        <v>2.4</v>
      </c>
      <c r="E12" s="1103">
        <v>36</v>
      </c>
      <c r="F12" s="1102">
        <v>1</v>
      </c>
      <c r="G12" s="1099" t="str">
        <f t="shared" si="0"/>
        <v>"</v>
      </c>
      <c r="H12" s="1099">
        <f t="shared" si="1"/>
        <v>86.399999999999991</v>
      </c>
      <c r="I12" s="1099" t="str">
        <f t="shared" si="2"/>
        <v>"</v>
      </c>
      <c r="J12" s="1099" t="str">
        <f t="shared" si="3"/>
        <v>"</v>
      </c>
      <c r="K12" s="1100" t="str">
        <f t="shared" si="4"/>
        <v>"</v>
      </c>
      <c r="L12" s="536"/>
    </row>
    <row r="13" spans="1:12" ht="21">
      <c r="A13" s="536"/>
      <c r="B13" s="1104"/>
      <c r="C13" s="1102"/>
      <c r="D13" s="1102"/>
      <c r="E13" s="1103"/>
      <c r="F13" s="1102"/>
      <c r="G13" s="1099" t="str">
        <f t="shared" si="0"/>
        <v>"</v>
      </c>
      <c r="H13" s="1099" t="str">
        <f t="shared" si="1"/>
        <v>"</v>
      </c>
      <c r="I13" s="1099" t="str">
        <f t="shared" si="2"/>
        <v>"</v>
      </c>
      <c r="J13" s="1099" t="str">
        <f t="shared" si="3"/>
        <v>"</v>
      </c>
      <c r="K13" s="1100" t="str">
        <f t="shared" si="4"/>
        <v>"</v>
      </c>
      <c r="L13" s="536"/>
    </row>
    <row r="14" spans="1:12" ht="21">
      <c r="A14" s="536"/>
      <c r="B14" s="1104" t="s">
        <v>2783</v>
      </c>
      <c r="C14" s="1102">
        <v>8</v>
      </c>
      <c r="D14" s="1102">
        <v>11</v>
      </c>
      <c r="E14" s="1103">
        <v>13</v>
      </c>
      <c r="F14" s="1102">
        <v>1</v>
      </c>
      <c r="G14" s="1099" t="str">
        <f t="shared" si="0"/>
        <v>"</v>
      </c>
      <c r="H14" s="1099">
        <f t="shared" si="1"/>
        <v>143</v>
      </c>
      <c r="I14" s="1099" t="str">
        <f t="shared" si="2"/>
        <v>"</v>
      </c>
      <c r="J14" s="1099" t="str">
        <f t="shared" si="3"/>
        <v>"</v>
      </c>
      <c r="K14" s="1100" t="str">
        <f t="shared" si="4"/>
        <v>"</v>
      </c>
      <c r="L14" s="536"/>
    </row>
    <row r="15" spans="1:12" ht="21">
      <c r="A15" s="536"/>
      <c r="B15" s="1104"/>
      <c r="C15" s="1102">
        <v>8</v>
      </c>
      <c r="D15" s="1102">
        <v>2.4</v>
      </c>
      <c r="E15" s="1103">
        <v>56</v>
      </c>
      <c r="F15" s="1102">
        <v>1</v>
      </c>
      <c r="G15" s="1099" t="str">
        <f t="shared" si="0"/>
        <v>"</v>
      </c>
      <c r="H15" s="1099">
        <f t="shared" si="1"/>
        <v>134.4</v>
      </c>
      <c r="I15" s="1099" t="str">
        <f t="shared" si="2"/>
        <v>"</v>
      </c>
      <c r="J15" s="1099" t="str">
        <f t="shared" si="3"/>
        <v>"</v>
      </c>
      <c r="K15" s="1100" t="str">
        <f t="shared" si="4"/>
        <v>"</v>
      </c>
      <c r="L15" s="536"/>
    </row>
    <row r="16" spans="1:12" ht="21">
      <c r="A16" s="536"/>
      <c r="B16" s="1104"/>
      <c r="C16" s="1102"/>
      <c r="D16" s="1102"/>
      <c r="E16" s="1103"/>
      <c r="F16" s="1102"/>
      <c r="G16" s="1099" t="str">
        <f t="shared" si="0"/>
        <v>"</v>
      </c>
      <c r="H16" s="1099" t="str">
        <f t="shared" si="1"/>
        <v>"</v>
      </c>
      <c r="I16" s="1099" t="str">
        <f t="shared" si="2"/>
        <v>"</v>
      </c>
      <c r="J16" s="1099" t="str">
        <f t="shared" si="3"/>
        <v>"</v>
      </c>
      <c r="K16" s="1100" t="str">
        <f t="shared" si="4"/>
        <v>"</v>
      </c>
      <c r="L16" s="536"/>
    </row>
    <row r="17" spans="1:12" ht="21">
      <c r="A17" s="536"/>
      <c r="B17" s="1104" t="s">
        <v>2784</v>
      </c>
      <c r="C17" s="1102">
        <v>8</v>
      </c>
      <c r="D17" s="1102">
        <v>12</v>
      </c>
      <c r="E17" s="1103">
        <v>16</v>
      </c>
      <c r="F17" s="1102">
        <v>1</v>
      </c>
      <c r="G17" s="1099" t="str">
        <f t="shared" si="0"/>
        <v>"</v>
      </c>
      <c r="H17" s="1099">
        <f t="shared" si="1"/>
        <v>192</v>
      </c>
      <c r="I17" s="1099" t="str">
        <f t="shared" si="2"/>
        <v>"</v>
      </c>
      <c r="J17" s="1099" t="str">
        <f t="shared" si="3"/>
        <v>"</v>
      </c>
      <c r="K17" s="1100" t="str">
        <f t="shared" si="4"/>
        <v>"</v>
      </c>
      <c r="L17" s="536"/>
    </row>
    <row r="18" spans="1:12" ht="21">
      <c r="A18" s="536"/>
      <c r="B18" s="1104"/>
      <c r="C18" s="1102">
        <v>8</v>
      </c>
      <c r="D18" s="1102">
        <v>3</v>
      </c>
      <c r="E18" s="1103">
        <v>61</v>
      </c>
      <c r="F18" s="1102">
        <v>1</v>
      </c>
      <c r="G18" s="1099" t="str">
        <f t="shared" si="0"/>
        <v>"</v>
      </c>
      <c r="H18" s="1099">
        <f t="shared" si="1"/>
        <v>183</v>
      </c>
      <c r="I18" s="1099" t="str">
        <f t="shared" si="2"/>
        <v>"</v>
      </c>
      <c r="J18" s="1099" t="str">
        <f t="shared" si="3"/>
        <v>"</v>
      </c>
      <c r="K18" s="1100" t="str">
        <f t="shared" si="4"/>
        <v>"</v>
      </c>
      <c r="L18" s="536"/>
    </row>
    <row r="19" spans="1:12" ht="21">
      <c r="A19" s="536"/>
      <c r="B19" s="1104"/>
      <c r="C19" s="1102"/>
      <c r="D19" s="1102"/>
      <c r="E19" s="1103"/>
      <c r="F19" s="1102"/>
      <c r="G19" s="1099" t="str">
        <f t="shared" si="0"/>
        <v>"</v>
      </c>
      <c r="H19" s="1099" t="str">
        <f t="shared" si="1"/>
        <v>"</v>
      </c>
      <c r="I19" s="1099" t="str">
        <f t="shared" si="2"/>
        <v>"</v>
      </c>
      <c r="J19" s="1099" t="str">
        <f t="shared" si="3"/>
        <v>"</v>
      </c>
      <c r="K19" s="1100" t="str">
        <f t="shared" si="4"/>
        <v>"</v>
      </c>
      <c r="L19" s="536"/>
    </row>
    <row r="20" spans="1:12" ht="21">
      <c r="A20" s="536"/>
      <c r="B20" s="1104" t="s">
        <v>1286</v>
      </c>
      <c r="C20" s="1102">
        <v>8</v>
      </c>
      <c r="D20" s="1102">
        <v>7</v>
      </c>
      <c r="E20" s="1103">
        <v>11</v>
      </c>
      <c r="F20" s="1102">
        <v>1</v>
      </c>
      <c r="G20" s="1099" t="str">
        <f t="shared" si="0"/>
        <v>"</v>
      </c>
      <c r="H20" s="1099">
        <f t="shared" si="1"/>
        <v>77</v>
      </c>
      <c r="I20" s="1099" t="str">
        <f t="shared" si="2"/>
        <v>"</v>
      </c>
      <c r="J20" s="1099" t="str">
        <f t="shared" si="3"/>
        <v>"</v>
      </c>
      <c r="K20" s="1100" t="str">
        <f t="shared" si="4"/>
        <v>"</v>
      </c>
      <c r="L20" s="536"/>
    </row>
    <row r="21" spans="1:12" ht="21">
      <c r="A21" s="536"/>
      <c r="B21" s="1105"/>
      <c r="C21" s="1102">
        <v>8</v>
      </c>
      <c r="D21" s="1102">
        <v>2</v>
      </c>
      <c r="E21" s="1103">
        <v>36</v>
      </c>
      <c r="F21" s="1102">
        <v>1</v>
      </c>
      <c r="G21" s="1099" t="str">
        <f t="shared" si="0"/>
        <v>"</v>
      </c>
      <c r="H21" s="1099">
        <f t="shared" si="1"/>
        <v>72</v>
      </c>
      <c r="I21" s="1099" t="str">
        <f t="shared" si="2"/>
        <v>"</v>
      </c>
      <c r="J21" s="1099" t="str">
        <f t="shared" si="3"/>
        <v>"</v>
      </c>
      <c r="K21" s="1100" t="str">
        <f t="shared" si="4"/>
        <v>"</v>
      </c>
      <c r="L21" s="536"/>
    </row>
    <row r="22" spans="1:12" ht="21">
      <c r="A22" s="536"/>
      <c r="B22" s="1106"/>
      <c r="C22" s="1107"/>
      <c r="D22" s="1107"/>
      <c r="E22" s="1108"/>
      <c r="F22" s="1107"/>
      <c r="G22" s="1099" t="str">
        <f t="shared" si="0"/>
        <v>"</v>
      </c>
      <c r="H22" s="1099" t="str">
        <f t="shared" si="1"/>
        <v>"</v>
      </c>
      <c r="I22" s="1099" t="str">
        <f t="shared" si="2"/>
        <v>"</v>
      </c>
      <c r="J22" s="1099" t="str">
        <f t="shared" si="3"/>
        <v>"</v>
      </c>
      <c r="K22" s="1100" t="str">
        <f t="shared" si="4"/>
        <v>"</v>
      </c>
      <c r="L22" s="536"/>
    </row>
    <row r="23" spans="1:12" ht="21">
      <c r="A23" s="1109"/>
      <c r="B23" s="1110" t="s">
        <v>2785</v>
      </c>
      <c r="C23" s="1107">
        <v>8</v>
      </c>
      <c r="D23" s="1107">
        <v>4.8</v>
      </c>
      <c r="E23" s="1108">
        <v>13</v>
      </c>
      <c r="F23" s="1107">
        <v>1</v>
      </c>
      <c r="G23" s="1099" t="str">
        <f t="shared" si="0"/>
        <v>"</v>
      </c>
      <c r="H23" s="1099">
        <f t="shared" si="1"/>
        <v>62.4</v>
      </c>
      <c r="I23" s="1099" t="str">
        <f t="shared" si="2"/>
        <v>"</v>
      </c>
      <c r="J23" s="1099" t="str">
        <f t="shared" si="3"/>
        <v>"</v>
      </c>
      <c r="K23" s="1100" t="str">
        <f t="shared" si="4"/>
        <v>"</v>
      </c>
      <c r="L23" s="536"/>
    </row>
    <row r="24" spans="1:12" ht="21">
      <c r="A24" s="1111"/>
      <c r="B24" s="1112"/>
      <c r="C24" s="1099">
        <v>8</v>
      </c>
      <c r="D24" s="1099">
        <v>2.4</v>
      </c>
      <c r="E24" s="1113">
        <v>25</v>
      </c>
      <c r="F24" s="1099">
        <v>1</v>
      </c>
      <c r="G24" s="1099" t="str">
        <f t="shared" si="0"/>
        <v>"</v>
      </c>
      <c r="H24" s="1099">
        <f t="shared" si="1"/>
        <v>60</v>
      </c>
      <c r="I24" s="1099" t="str">
        <f t="shared" si="2"/>
        <v>"</v>
      </c>
      <c r="J24" s="1099" t="str">
        <f t="shared" si="3"/>
        <v>"</v>
      </c>
      <c r="K24" s="1100" t="str">
        <f t="shared" si="4"/>
        <v>"</v>
      </c>
      <c r="L24" s="1084"/>
    </row>
    <row r="25" spans="1:12" ht="21">
      <c r="A25" s="1111"/>
      <c r="B25" s="1105"/>
      <c r="C25" s="1099"/>
      <c r="D25" s="1099"/>
      <c r="E25" s="1113"/>
      <c r="F25" s="1099"/>
      <c r="G25" s="1099" t="str">
        <f t="shared" si="0"/>
        <v>"</v>
      </c>
      <c r="H25" s="1099" t="str">
        <f t="shared" si="1"/>
        <v>"</v>
      </c>
      <c r="I25" s="1099" t="str">
        <f t="shared" si="2"/>
        <v>"</v>
      </c>
      <c r="J25" s="1099" t="str">
        <f t="shared" si="3"/>
        <v>"</v>
      </c>
      <c r="K25" s="1100" t="str">
        <f t="shared" si="4"/>
        <v>"</v>
      </c>
      <c r="L25" s="1084"/>
    </row>
    <row r="26" spans="1:12" ht="21.75" thickBot="1">
      <c r="A26" s="1084"/>
      <c r="B26" s="1114"/>
      <c r="C26" s="1115"/>
      <c r="D26" s="1115"/>
      <c r="E26" s="1116"/>
      <c r="F26" s="1115"/>
      <c r="G26" s="1099"/>
      <c r="H26" s="1099"/>
      <c r="I26" s="1099"/>
      <c r="J26" s="1099"/>
      <c r="K26" s="1100"/>
      <c r="L26" s="1084"/>
    </row>
    <row r="27" spans="1:12" ht="21.75" thickTop="1">
      <c r="A27" s="1084"/>
      <c r="B27" s="1117"/>
      <c r="C27" s="1117"/>
      <c r="D27" s="2409" t="s">
        <v>2786</v>
      </c>
      <c r="E27" s="2410"/>
      <c r="F27" s="2410"/>
      <c r="G27" s="1118">
        <f>SUM(G8:G26)</f>
        <v>0</v>
      </c>
      <c r="H27" s="1118">
        <f>SUM(H8:H26)</f>
        <v>1403.6</v>
      </c>
      <c r="I27" s="1118">
        <f>SUM(I8:I26)</f>
        <v>0</v>
      </c>
      <c r="J27" s="1119">
        <f>SUM(J8:J26)</f>
        <v>0</v>
      </c>
      <c r="K27" s="1120">
        <f>SUM(K8:K26)</f>
        <v>0</v>
      </c>
      <c r="L27" s="1084"/>
    </row>
    <row r="28" spans="1:12" s="1126" customFormat="1" ht="21">
      <c r="A28" s="1121"/>
      <c r="B28" s="1122"/>
      <c r="C28" s="1122"/>
      <c r="D28" s="2411" t="s">
        <v>2787</v>
      </c>
      <c r="E28" s="2412"/>
      <c r="F28" s="2412"/>
      <c r="G28" s="1123">
        <v>0.22</v>
      </c>
      <c r="H28" s="1123">
        <v>0.39500000000000002</v>
      </c>
      <c r="I28" s="1123">
        <v>0.61699999999999999</v>
      </c>
      <c r="J28" s="1124">
        <v>0.88800000000000001</v>
      </c>
      <c r="K28" s="1125">
        <v>1.208</v>
      </c>
      <c r="L28" s="1121"/>
    </row>
    <row r="29" spans="1:12" ht="21.75" thickBot="1">
      <c r="A29" s="1084"/>
      <c r="B29" s="1127"/>
      <c r="C29" s="1127"/>
      <c r="D29" s="2413" t="s">
        <v>2788</v>
      </c>
      <c r="E29" s="2414"/>
      <c r="F29" s="2414"/>
      <c r="G29" s="1128">
        <f>G27*G28</f>
        <v>0</v>
      </c>
      <c r="H29" s="1128">
        <f>H28*H27</f>
        <v>554.42200000000003</v>
      </c>
      <c r="I29" s="1128">
        <f>I27*I28</f>
        <v>0</v>
      </c>
      <c r="J29" s="1128">
        <f t="shared" ref="J29:K29" si="5">J27*J28</f>
        <v>0</v>
      </c>
      <c r="K29" s="1129">
        <f t="shared" si="5"/>
        <v>0</v>
      </c>
      <c r="L29" s="1084"/>
    </row>
    <row r="30" spans="1:12" ht="22.5" thickTop="1" thickBot="1">
      <c r="A30" s="1084"/>
      <c r="B30" s="1084"/>
      <c r="C30" s="1084"/>
      <c r="D30" s="1084"/>
      <c r="E30" s="1086"/>
      <c r="F30" s="1084"/>
      <c r="G30" s="1084"/>
      <c r="H30" s="1130" t="s">
        <v>2789</v>
      </c>
      <c r="I30" s="1131" t="s">
        <v>2790</v>
      </c>
      <c r="J30" s="1131"/>
      <c r="K30" s="1084"/>
      <c r="L30" s="1084"/>
    </row>
    <row r="31" spans="1:12" ht="21.75" thickTop="1">
      <c r="A31" s="536"/>
      <c r="B31" s="2418" t="s">
        <v>293</v>
      </c>
      <c r="C31" s="2420" t="s">
        <v>2777</v>
      </c>
      <c r="D31" s="2420" t="s">
        <v>2778</v>
      </c>
      <c r="E31" s="2422" t="s">
        <v>2779</v>
      </c>
      <c r="F31" s="2424" t="s">
        <v>2780</v>
      </c>
      <c r="G31" s="2415" t="s">
        <v>2781</v>
      </c>
      <c r="H31" s="2416"/>
      <c r="I31" s="2416"/>
      <c r="J31" s="2416"/>
      <c r="K31" s="2417"/>
      <c r="L31" s="536"/>
    </row>
    <row r="32" spans="1:12" ht="21.75" thickBot="1">
      <c r="A32" s="536"/>
      <c r="B32" s="2419"/>
      <c r="C32" s="2421"/>
      <c r="D32" s="2421"/>
      <c r="E32" s="2423"/>
      <c r="F32" s="2425"/>
      <c r="G32" s="1093">
        <v>6</v>
      </c>
      <c r="H32" s="1093">
        <v>8</v>
      </c>
      <c r="I32" s="1093">
        <v>10</v>
      </c>
      <c r="J32" s="1094">
        <v>12</v>
      </c>
      <c r="K32" s="1095">
        <v>14</v>
      </c>
      <c r="L32" s="536"/>
    </row>
    <row r="33" spans="1:12" ht="21.75" thickTop="1">
      <c r="A33" s="1109"/>
      <c r="B33" s="1132" t="s">
        <v>1088</v>
      </c>
      <c r="C33" s="1133"/>
      <c r="D33" s="1133"/>
      <c r="E33" s="1133"/>
      <c r="F33" s="1133"/>
      <c r="G33" s="1133"/>
      <c r="H33" s="1134"/>
      <c r="I33" s="1135"/>
      <c r="J33" s="1133"/>
      <c r="K33" s="1136"/>
      <c r="L33" s="1137"/>
    </row>
    <row r="34" spans="1:12" s="635" customFormat="1" ht="21">
      <c r="A34" s="536"/>
      <c r="B34" s="1138" t="s">
        <v>2791</v>
      </c>
      <c r="C34" s="1139">
        <v>12</v>
      </c>
      <c r="D34" s="1139">
        <v>13.4</v>
      </c>
      <c r="E34" s="1140">
        <v>3</v>
      </c>
      <c r="F34" s="1139">
        <v>2</v>
      </c>
      <c r="G34" s="1141" t="str">
        <f t="shared" ref="G34:G46" si="6">IF(C34=10,F34*D34*E34,"""")</f>
        <v>"</v>
      </c>
      <c r="H34" s="1141" t="str">
        <f t="shared" ref="H34:H52" si="7">IF(C34=8,F34*D34*E34,"""")</f>
        <v>"</v>
      </c>
      <c r="I34" s="1141" t="str">
        <f t="shared" ref="I34:I52" si="8">IF(C34=10,C34*D34*E34,"""")</f>
        <v>"</v>
      </c>
      <c r="J34" s="1141">
        <f t="shared" ref="J34:J52" si="9">IF(C34=12,D34*E34*F34,"""")</f>
        <v>80.400000000000006</v>
      </c>
      <c r="K34" s="1142" t="str">
        <f t="shared" ref="K34:K52" si="10">IF(C34=14,E34*F34*D34,"""")</f>
        <v>"</v>
      </c>
      <c r="L34" s="536"/>
    </row>
    <row r="35" spans="1:12" s="635" customFormat="1" ht="21">
      <c r="A35" s="536"/>
      <c r="B35" s="1143"/>
      <c r="C35" s="1139">
        <v>12</v>
      </c>
      <c r="D35" s="1102">
        <v>12.8</v>
      </c>
      <c r="E35" s="1103">
        <v>3</v>
      </c>
      <c r="F35" s="1102">
        <v>2</v>
      </c>
      <c r="G35" s="1099" t="str">
        <f t="shared" si="6"/>
        <v>"</v>
      </c>
      <c r="H35" s="1099" t="str">
        <f t="shared" si="7"/>
        <v>"</v>
      </c>
      <c r="I35" s="1099" t="str">
        <f t="shared" si="8"/>
        <v>"</v>
      </c>
      <c r="J35" s="1099">
        <f t="shared" si="9"/>
        <v>76.800000000000011</v>
      </c>
      <c r="K35" s="1100" t="str">
        <f t="shared" si="10"/>
        <v>"</v>
      </c>
      <c r="L35" s="536"/>
    </row>
    <row r="36" spans="1:12" ht="21">
      <c r="A36" s="536"/>
      <c r="B36" s="1144"/>
      <c r="C36" s="1102"/>
      <c r="D36" s="1102"/>
      <c r="E36" s="1103"/>
      <c r="F36" s="1102"/>
      <c r="G36" s="1099" t="str">
        <f t="shared" si="6"/>
        <v>"</v>
      </c>
      <c r="H36" s="1099" t="str">
        <f t="shared" si="7"/>
        <v>"</v>
      </c>
      <c r="I36" s="1099" t="str">
        <f t="shared" si="8"/>
        <v>"</v>
      </c>
      <c r="J36" s="1099" t="str">
        <f t="shared" si="9"/>
        <v>"</v>
      </c>
      <c r="K36" s="1100" t="str">
        <f t="shared" si="10"/>
        <v>"</v>
      </c>
      <c r="L36" s="536"/>
    </row>
    <row r="37" spans="1:12" ht="21">
      <c r="A37" s="536"/>
      <c r="B37" s="1144" t="s">
        <v>2792</v>
      </c>
      <c r="C37" s="1102">
        <v>8</v>
      </c>
      <c r="D37" s="1099">
        <v>1.2</v>
      </c>
      <c r="E37" s="1103">
        <v>65</v>
      </c>
      <c r="F37" s="1102">
        <v>2</v>
      </c>
      <c r="G37" s="1099" t="str">
        <f t="shared" si="6"/>
        <v>"</v>
      </c>
      <c r="H37" s="1099">
        <f t="shared" si="7"/>
        <v>156</v>
      </c>
      <c r="I37" s="1099" t="str">
        <f t="shared" si="8"/>
        <v>"</v>
      </c>
      <c r="J37" s="1099" t="str">
        <f t="shared" si="9"/>
        <v>"</v>
      </c>
      <c r="K37" s="1100" t="str">
        <f t="shared" si="10"/>
        <v>"</v>
      </c>
      <c r="L37" s="536"/>
    </row>
    <row r="38" spans="1:12" ht="21">
      <c r="A38" s="536"/>
      <c r="B38" s="1144"/>
      <c r="C38" s="1102"/>
      <c r="D38" s="1099"/>
      <c r="E38" s="1103"/>
      <c r="F38" s="1102"/>
      <c r="G38" s="1099" t="str">
        <f t="shared" si="6"/>
        <v>"</v>
      </c>
      <c r="H38" s="1099" t="str">
        <f t="shared" si="7"/>
        <v>"</v>
      </c>
      <c r="I38" s="1099" t="str">
        <f t="shared" si="8"/>
        <v>"</v>
      </c>
      <c r="J38" s="1099" t="str">
        <f t="shared" si="9"/>
        <v>"</v>
      </c>
      <c r="K38" s="1100" t="str">
        <f t="shared" si="10"/>
        <v>"</v>
      </c>
      <c r="L38" s="536"/>
    </row>
    <row r="39" spans="1:12" ht="21">
      <c r="A39" s="536"/>
      <c r="B39" s="1144" t="s">
        <v>2793</v>
      </c>
      <c r="C39" s="1102">
        <v>12</v>
      </c>
      <c r="D39" s="1102">
        <v>23.4</v>
      </c>
      <c r="E39" s="1103">
        <v>3</v>
      </c>
      <c r="F39" s="1102">
        <v>2</v>
      </c>
      <c r="G39" s="1099" t="str">
        <f t="shared" si="6"/>
        <v>"</v>
      </c>
      <c r="H39" s="1099" t="str">
        <f t="shared" si="7"/>
        <v>"</v>
      </c>
      <c r="I39" s="1099" t="str">
        <f t="shared" si="8"/>
        <v>"</v>
      </c>
      <c r="J39" s="1099">
        <f t="shared" si="9"/>
        <v>140.39999999999998</v>
      </c>
      <c r="K39" s="1100" t="str">
        <f t="shared" si="10"/>
        <v>"</v>
      </c>
      <c r="L39" s="536"/>
    </row>
    <row r="40" spans="1:12" ht="21">
      <c r="A40" s="536"/>
      <c r="B40" s="1144"/>
      <c r="C40" s="1102">
        <v>12</v>
      </c>
      <c r="D40" s="1102">
        <v>22.8</v>
      </c>
      <c r="E40" s="1103">
        <v>3</v>
      </c>
      <c r="F40" s="1102">
        <v>2</v>
      </c>
      <c r="G40" s="1099" t="str">
        <f t="shared" si="6"/>
        <v>"</v>
      </c>
      <c r="H40" s="1099" t="str">
        <f t="shared" si="7"/>
        <v>"</v>
      </c>
      <c r="I40" s="1099" t="str">
        <f t="shared" si="8"/>
        <v>"</v>
      </c>
      <c r="J40" s="1099">
        <f t="shared" si="9"/>
        <v>136.80000000000001</v>
      </c>
      <c r="K40" s="1100" t="str">
        <f t="shared" si="10"/>
        <v>"</v>
      </c>
      <c r="L40" s="536"/>
    </row>
    <row r="41" spans="1:12" ht="21">
      <c r="A41" s="536"/>
      <c r="B41" s="1144"/>
      <c r="C41" s="1102"/>
      <c r="D41" s="1102"/>
      <c r="E41" s="1103"/>
      <c r="F41" s="1102"/>
      <c r="G41" s="1099" t="str">
        <f t="shared" si="6"/>
        <v>"</v>
      </c>
      <c r="H41" s="1099" t="str">
        <f t="shared" si="7"/>
        <v>"</v>
      </c>
      <c r="I41" s="1099" t="str">
        <f t="shared" si="8"/>
        <v>"</v>
      </c>
      <c r="J41" s="1099" t="str">
        <f t="shared" si="9"/>
        <v>"</v>
      </c>
      <c r="K41" s="1100" t="str">
        <f t="shared" si="10"/>
        <v>"</v>
      </c>
      <c r="L41" s="536"/>
    </row>
    <row r="42" spans="1:12" ht="21">
      <c r="A42" s="536"/>
      <c r="B42" s="1144" t="s">
        <v>2794</v>
      </c>
      <c r="C42" s="1102">
        <v>8</v>
      </c>
      <c r="D42" s="1102">
        <v>1.2</v>
      </c>
      <c r="E42" s="1103">
        <v>115</v>
      </c>
      <c r="F42" s="1102">
        <v>2</v>
      </c>
      <c r="G42" s="1099" t="str">
        <f t="shared" si="6"/>
        <v>"</v>
      </c>
      <c r="H42" s="1099">
        <f t="shared" si="7"/>
        <v>276</v>
      </c>
      <c r="I42" s="1099" t="str">
        <f t="shared" si="8"/>
        <v>"</v>
      </c>
      <c r="J42" s="1099" t="str">
        <f t="shared" si="9"/>
        <v>"</v>
      </c>
      <c r="K42" s="1100" t="str">
        <f t="shared" si="10"/>
        <v>"</v>
      </c>
      <c r="L42" s="536"/>
    </row>
    <row r="43" spans="1:12" ht="21">
      <c r="A43" s="536"/>
      <c r="B43" s="1144"/>
      <c r="C43" s="1102"/>
      <c r="D43" s="1102"/>
      <c r="E43" s="1103"/>
      <c r="F43" s="1102"/>
      <c r="G43" s="1099" t="str">
        <f t="shared" si="6"/>
        <v>"</v>
      </c>
      <c r="H43" s="1099" t="str">
        <f t="shared" si="7"/>
        <v>"</v>
      </c>
      <c r="I43" s="1099" t="str">
        <f t="shared" si="8"/>
        <v>"</v>
      </c>
      <c r="J43" s="1099" t="str">
        <f t="shared" si="9"/>
        <v>"</v>
      </c>
      <c r="K43" s="1100" t="str">
        <f t="shared" si="10"/>
        <v>"</v>
      </c>
      <c r="L43" s="536"/>
    </row>
    <row r="44" spans="1:12" ht="21">
      <c r="A44" s="1109"/>
      <c r="B44" s="1145" t="s">
        <v>2795</v>
      </c>
      <c r="C44" s="1102"/>
      <c r="D44" s="1102"/>
      <c r="E44" s="1103"/>
      <c r="F44" s="1102"/>
      <c r="G44" s="1099" t="str">
        <f t="shared" si="6"/>
        <v>"</v>
      </c>
      <c r="H44" s="1099" t="str">
        <f t="shared" si="7"/>
        <v>"</v>
      </c>
      <c r="I44" s="1099" t="str">
        <f t="shared" si="8"/>
        <v>"</v>
      </c>
      <c r="J44" s="1099" t="str">
        <f t="shared" si="9"/>
        <v>"</v>
      </c>
      <c r="K44" s="1100" t="str">
        <f t="shared" si="10"/>
        <v>"</v>
      </c>
      <c r="L44" s="536"/>
    </row>
    <row r="45" spans="1:12" ht="21">
      <c r="A45" s="536"/>
      <c r="B45" s="1146"/>
      <c r="C45" s="1102"/>
      <c r="D45" s="1102"/>
      <c r="E45" s="1103"/>
      <c r="F45" s="1102"/>
      <c r="G45" s="1099" t="str">
        <f t="shared" si="6"/>
        <v>"</v>
      </c>
      <c r="H45" s="1099" t="str">
        <f t="shared" si="7"/>
        <v>"</v>
      </c>
      <c r="I45" s="1099" t="str">
        <f t="shared" si="8"/>
        <v>"</v>
      </c>
      <c r="J45" s="1099" t="str">
        <f t="shared" si="9"/>
        <v>"</v>
      </c>
      <c r="K45" s="1100" t="str">
        <f t="shared" si="10"/>
        <v>"</v>
      </c>
      <c r="L45" s="536"/>
    </row>
    <row r="46" spans="1:12" ht="21">
      <c r="A46" s="536"/>
      <c r="B46" s="1138" t="s">
        <v>2791</v>
      </c>
      <c r="C46" s="1102">
        <v>8</v>
      </c>
      <c r="D46" s="1102">
        <v>12.8</v>
      </c>
      <c r="E46" s="1103">
        <v>9</v>
      </c>
      <c r="F46" s="1102">
        <v>1</v>
      </c>
      <c r="G46" s="1099" t="str">
        <f t="shared" si="6"/>
        <v>"</v>
      </c>
      <c r="H46" s="1099">
        <f t="shared" si="7"/>
        <v>115.2</v>
      </c>
      <c r="I46" s="1099" t="str">
        <f t="shared" si="8"/>
        <v>"</v>
      </c>
      <c r="J46" s="1099" t="str">
        <f t="shared" si="9"/>
        <v>"</v>
      </c>
      <c r="K46" s="1100" t="str">
        <f t="shared" si="10"/>
        <v>"</v>
      </c>
      <c r="L46" s="536"/>
    </row>
    <row r="47" spans="1:12" ht="21">
      <c r="A47" s="536"/>
      <c r="B47" s="1147"/>
      <c r="C47" s="1107">
        <v>8</v>
      </c>
      <c r="D47" s="1107">
        <v>2</v>
      </c>
      <c r="E47" s="1108">
        <v>53</v>
      </c>
      <c r="F47" s="1107">
        <v>1</v>
      </c>
      <c r="G47" s="1099" t="str">
        <f>IF(C47=10,F47*D47*E47,"""")</f>
        <v>"</v>
      </c>
      <c r="H47" s="1099">
        <f t="shared" si="7"/>
        <v>106</v>
      </c>
      <c r="I47" s="1099" t="str">
        <f t="shared" si="8"/>
        <v>"</v>
      </c>
      <c r="J47" s="1099" t="str">
        <f t="shared" si="9"/>
        <v>"</v>
      </c>
      <c r="K47" s="1100" t="str">
        <f t="shared" si="10"/>
        <v>"</v>
      </c>
      <c r="L47" s="536"/>
    </row>
    <row r="48" spans="1:12" ht="21">
      <c r="A48" s="536"/>
      <c r="B48" s="1147"/>
      <c r="C48" s="1107"/>
      <c r="D48" s="1107"/>
      <c r="E48" s="1108"/>
      <c r="F48" s="1107"/>
      <c r="G48" s="1099" t="str">
        <f t="shared" ref="G48:G52" si="11">IF(C48=10,F48*D48*E48,"""")</f>
        <v>"</v>
      </c>
      <c r="H48" s="1099" t="str">
        <f t="shared" si="7"/>
        <v>"</v>
      </c>
      <c r="I48" s="1099" t="str">
        <f t="shared" si="8"/>
        <v>"</v>
      </c>
      <c r="J48" s="1099" t="str">
        <f t="shared" si="9"/>
        <v>"</v>
      </c>
      <c r="K48" s="1100" t="str">
        <f t="shared" si="10"/>
        <v>"</v>
      </c>
      <c r="L48" s="536"/>
    </row>
    <row r="49" spans="1:12" ht="21">
      <c r="A49" s="536"/>
      <c r="B49" s="1144" t="s">
        <v>2793</v>
      </c>
      <c r="C49" s="1102">
        <v>8</v>
      </c>
      <c r="D49" s="1107">
        <v>22.8</v>
      </c>
      <c r="E49" s="1108">
        <v>9</v>
      </c>
      <c r="F49" s="1102">
        <v>1</v>
      </c>
      <c r="G49" s="1099" t="str">
        <f t="shared" si="11"/>
        <v>"</v>
      </c>
      <c r="H49" s="1099">
        <f t="shared" si="7"/>
        <v>205.20000000000002</v>
      </c>
      <c r="I49" s="1099" t="str">
        <f t="shared" si="8"/>
        <v>"</v>
      </c>
      <c r="J49" s="1099" t="str">
        <f t="shared" si="9"/>
        <v>"</v>
      </c>
      <c r="K49" s="1100" t="str">
        <f t="shared" si="10"/>
        <v>"</v>
      </c>
      <c r="L49" s="536"/>
    </row>
    <row r="50" spans="1:12" ht="21">
      <c r="A50" s="536"/>
      <c r="B50" s="1147"/>
      <c r="C50" s="1107">
        <v>8</v>
      </c>
      <c r="D50" s="1107">
        <v>2</v>
      </c>
      <c r="E50" s="1108">
        <v>93</v>
      </c>
      <c r="F50" s="1107">
        <v>1</v>
      </c>
      <c r="G50" s="1099" t="str">
        <f t="shared" si="11"/>
        <v>"</v>
      </c>
      <c r="H50" s="1099">
        <f t="shared" si="7"/>
        <v>186</v>
      </c>
      <c r="I50" s="1099" t="str">
        <f t="shared" si="8"/>
        <v>"</v>
      </c>
      <c r="J50" s="1099" t="str">
        <f t="shared" si="9"/>
        <v>"</v>
      </c>
      <c r="K50" s="1100" t="str">
        <f t="shared" si="10"/>
        <v>"</v>
      </c>
      <c r="L50" s="536"/>
    </row>
    <row r="51" spans="1:12" ht="21">
      <c r="A51" s="1084"/>
      <c r="B51" s="1148"/>
      <c r="C51" s="1099"/>
      <c r="D51" s="1099"/>
      <c r="E51" s="1113"/>
      <c r="F51" s="1099"/>
      <c r="G51" s="1099" t="str">
        <f t="shared" si="11"/>
        <v>"</v>
      </c>
      <c r="H51" s="1099" t="str">
        <f t="shared" si="7"/>
        <v>"</v>
      </c>
      <c r="I51" s="1099" t="str">
        <f t="shared" si="8"/>
        <v>"</v>
      </c>
      <c r="J51" s="1099" t="str">
        <f t="shared" si="9"/>
        <v>"</v>
      </c>
      <c r="K51" s="1100" t="str">
        <f t="shared" si="10"/>
        <v>"</v>
      </c>
      <c r="L51" s="1084"/>
    </row>
    <row r="52" spans="1:12" ht="21.75" thickBot="1">
      <c r="A52" s="1084"/>
      <c r="B52" s="1149"/>
      <c r="C52" s="1150"/>
      <c r="D52" s="1150"/>
      <c r="E52" s="1151"/>
      <c r="F52" s="1150"/>
      <c r="G52" s="1099" t="str">
        <f t="shared" si="11"/>
        <v>"</v>
      </c>
      <c r="H52" s="1099" t="str">
        <f t="shared" si="7"/>
        <v>"</v>
      </c>
      <c r="I52" s="1099" t="str">
        <f t="shared" si="8"/>
        <v>"</v>
      </c>
      <c r="J52" s="1099" t="str">
        <f t="shared" si="9"/>
        <v>"</v>
      </c>
      <c r="K52" s="1100" t="str">
        <f t="shared" si="10"/>
        <v>"</v>
      </c>
      <c r="L52" s="1084"/>
    </row>
    <row r="53" spans="1:12" ht="21.75" thickTop="1">
      <c r="A53" s="1084"/>
      <c r="B53" s="1152"/>
      <c r="C53" s="1117"/>
      <c r="D53" s="2409" t="s">
        <v>2786</v>
      </c>
      <c r="E53" s="2410"/>
      <c r="F53" s="2410"/>
      <c r="G53" s="1118">
        <f>SUM(G34:G52)</f>
        <v>0</v>
      </c>
      <c r="H53" s="1118">
        <f>SUM(H34:H52)</f>
        <v>1044.4000000000001</v>
      </c>
      <c r="I53" s="1118">
        <f>SUM(I34:I52)</f>
        <v>0</v>
      </c>
      <c r="J53" s="1119">
        <f>SUM(J34:J52)</f>
        <v>434.40000000000003</v>
      </c>
      <c r="K53" s="1120">
        <f>SUM(K34:K52)</f>
        <v>0</v>
      </c>
      <c r="L53" s="1084"/>
    </row>
    <row r="54" spans="1:12" s="1126" customFormat="1" ht="21">
      <c r="A54" s="1121"/>
      <c r="B54" s="1153"/>
      <c r="C54" s="1122"/>
      <c r="D54" s="2411" t="s">
        <v>2787</v>
      </c>
      <c r="E54" s="2412"/>
      <c r="F54" s="2412"/>
      <c r="G54" s="1123">
        <v>0.22</v>
      </c>
      <c r="H54" s="1123">
        <v>0.39500000000000002</v>
      </c>
      <c r="I54" s="1123">
        <v>0.61699999999999999</v>
      </c>
      <c r="J54" s="1124">
        <v>0.88800000000000001</v>
      </c>
      <c r="K54" s="1125">
        <v>1.208</v>
      </c>
      <c r="L54" s="1121"/>
    </row>
    <row r="55" spans="1:12" ht="21.75" thickBot="1">
      <c r="A55" s="1084"/>
      <c r="B55" s="1154"/>
      <c r="C55" s="1127"/>
      <c r="D55" s="2413" t="s">
        <v>2788</v>
      </c>
      <c r="E55" s="2414"/>
      <c r="F55" s="2414"/>
      <c r="G55" s="1128">
        <f>G53*G54</f>
        <v>0</v>
      </c>
      <c r="H55" s="1128">
        <f>H54*H53</f>
        <v>412.53800000000007</v>
      </c>
      <c r="I55" s="1128">
        <f>I53*I54</f>
        <v>0</v>
      </c>
      <c r="J55" s="1128">
        <f t="shared" ref="J55:K55" si="12">J53*J54</f>
        <v>385.74720000000002</v>
      </c>
      <c r="K55" s="1129">
        <f t="shared" si="12"/>
        <v>0</v>
      </c>
      <c r="L55" s="1084"/>
    </row>
    <row r="56" spans="1:12" ht="15.75" thickTop="1">
      <c r="B56" s="1155"/>
    </row>
    <row r="57" spans="1:12">
      <c r="B57" s="1155"/>
    </row>
    <row r="58" spans="1:12">
      <c r="B58" s="1155"/>
    </row>
  </sheetData>
  <mergeCells count="23">
    <mergeCell ref="B6:B7"/>
    <mergeCell ref="C6:C7"/>
    <mergeCell ref="D6:D7"/>
    <mergeCell ref="E6:E7"/>
    <mergeCell ref="F6:F7"/>
    <mergeCell ref="B1:E1"/>
    <mergeCell ref="B2:E2"/>
    <mergeCell ref="B3:E3"/>
    <mergeCell ref="B4:E4"/>
    <mergeCell ref="G5:H5"/>
    <mergeCell ref="B31:B32"/>
    <mergeCell ref="C31:C32"/>
    <mergeCell ref="D31:D32"/>
    <mergeCell ref="E31:E32"/>
    <mergeCell ref="F31:F32"/>
    <mergeCell ref="D53:F53"/>
    <mergeCell ref="D54:F54"/>
    <mergeCell ref="D55:F55"/>
    <mergeCell ref="G6:K6"/>
    <mergeCell ref="D27:F27"/>
    <mergeCell ref="D28:F28"/>
    <mergeCell ref="D29:F29"/>
    <mergeCell ref="G31:K31"/>
  </mergeCells>
  <pageMargins left="0.3" right="0.3" top="1" bottom="0.5" header="0.3" footer="0.3"/>
  <pageSetup paperSize="9" scale="71" orientation="landscape" r:id="rId1"/>
  <headerFooter>
    <oddFooter>&amp;L&amp;16Prepard by:- &amp;USelam DadiS/Enginner&amp;R&amp;16Checked by:-_______</oddFooter>
  </headerFooter>
  <rowBreaks count="1" manualBreakCount="1">
    <brk id="29" max="11"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
  <sheetViews>
    <sheetView view="pageBreakPreview" zoomScale="115" zoomScaleNormal="115" zoomScaleSheetLayoutView="115" zoomScalePageLayoutView="85" workbookViewId="0">
      <selection activeCell="H4" sqref="H4:I4"/>
    </sheetView>
  </sheetViews>
  <sheetFormatPr defaultRowHeight="15.75"/>
  <cols>
    <col min="1" max="1" width="4.5703125" style="103" customWidth="1"/>
    <col min="2" max="2" width="5" style="103" customWidth="1"/>
    <col min="3" max="3" width="11.5703125" style="159" customWidth="1"/>
    <col min="4" max="4" width="10" style="159" customWidth="1"/>
    <col min="5" max="5" width="37.85546875" style="103" customWidth="1"/>
    <col min="6" max="6" width="6" style="159" customWidth="1"/>
    <col min="7" max="7" width="10.140625" style="835" customWidth="1"/>
    <col min="8" max="8" width="11.28515625" style="836" customWidth="1"/>
    <col min="9" max="9" width="40.5703125" style="103" customWidth="1"/>
    <col min="10" max="10" width="1.28515625" style="103" customWidth="1"/>
    <col min="11" max="11" width="22.7109375" style="103" customWidth="1"/>
    <col min="12" max="256" width="9.140625" style="103"/>
    <col min="257" max="257" width="3.5703125" style="103" customWidth="1"/>
    <col min="258" max="258" width="6.28515625" style="103" customWidth="1"/>
    <col min="259" max="259" width="8.28515625" style="103" customWidth="1"/>
    <col min="260" max="260" width="8.85546875" style="103" customWidth="1"/>
    <col min="261" max="261" width="38.5703125" style="103" customWidth="1"/>
    <col min="262" max="262" width="6.28515625" style="103" customWidth="1"/>
    <col min="263" max="263" width="8.42578125" style="103" customWidth="1"/>
    <col min="264" max="264" width="9.140625" style="103" customWidth="1"/>
    <col min="265" max="265" width="42" style="103" customWidth="1"/>
    <col min="266" max="266" width="1.28515625" style="103" customWidth="1"/>
    <col min="267" max="267" width="22.7109375" style="103" customWidth="1"/>
    <col min="268" max="512" width="9.140625" style="103"/>
    <col min="513" max="513" width="3.5703125" style="103" customWidth="1"/>
    <col min="514" max="514" width="6.28515625" style="103" customWidth="1"/>
    <col min="515" max="515" width="8.28515625" style="103" customWidth="1"/>
    <col min="516" max="516" width="8.85546875" style="103" customWidth="1"/>
    <col min="517" max="517" width="38.5703125" style="103" customWidth="1"/>
    <col min="518" max="518" width="6.28515625" style="103" customWidth="1"/>
    <col min="519" max="519" width="8.42578125" style="103" customWidth="1"/>
    <col min="520" max="520" width="9.140625" style="103" customWidth="1"/>
    <col min="521" max="521" width="42" style="103" customWidth="1"/>
    <col min="522" max="522" width="1.28515625" style="103" customWidth="1"/>
    <col min="523" max="523" width="22.7109375" style="103" customWidth="1"/>
    <col min="524" max="768" width="9.140625" style="103"/>
    <col min="769" max="769" width="3.5703125" style="103" customWidth="1"/>
    <col min="770" max="770" width="6.28515625" style="103" customWidth="1"/>
    <col min="771" max="771" width="8.28515625" style="103" customWidth="1"/>
    <col min="772" max="772" width="8.85546875" style="103" customWidth="1"/>
    <col min="773" max="773" width="38.5703125" style="103" customWidth="1"/>
    <col min="774" max="774" width="6.28515625" style="103" customWidth="1"/>
    <col min="775" max="775" width="8.42578125" style="103" customWidth="1"/>
    <col min="776" max="776" width="9.140625" style="103" customWidth="1"/>
    <col min="777" max="777" width="42" style="103" customWidth="1"/>
    <col min="778" max="778" width="1.28515625" style="103" customWidth="1"/>
    <col min="779" max="779" width="22.7109375" style="103" customWidth="1"/>
    <col min="780" max="1024" width="9.140625" style="103"/>
    <col min="1025" max="1025" width="3.5703125" style="103" customWidth="1"/>
    <col min="1026" max="1026" width="6.28515625" style="103" customWidth="1"/>
    <col min="1027" max="1027" width="8.28515625" style="103" customWidth="1"/>
    <col min="1028" max="1028" width="8.85546875" style="103" customWidth="1"/>
    <col min="1029" max="1029" width="38.5703125" style="103" customWidth="1"/>
    <col min="1030" max="1030" width="6.28515625" style="103" customWidth="1"/>
    <col min="1031" max="1031" width="8.42578125" style="103" customWidth="1"/>
    <col min="1032" max="1032" width="9.140625" style="103" customWidth="1"/>
    <col min="1033" max="1033" width="42" style="103" customWidth="1"/>
    <col min="1034" max="1034" width="1.28515625" style="103" customWidth="1"/>
    <col min="1035" max="1035" width="22.7109375" style="103" customWidth="1"/>
    <col min="1036" max="1280" width="9.140625" style="103"/>
    <col min="1281" max="1281" width="3.5703125" style="103" customWidth="1"/>
    <col min="1282" max="1282" width="6.28515625" style="103" customWidth="1"/>
    <col min="1283" max="1283" width="8.28515625" style="103" customWidth="1"/>
    <col min="1284" max="1284" width="8.85546875" style="103" customWidth="1"/>
    <col min="1285" max="1285" width="38.5703125" style="103" customWidth="1"/>
    <col min="1286" max="1286" width="6.28515625" style="103" customWidth="1"/>
    <col min="1287" max="1287" width="8.42578125" style="103" customWidth="1"/>
    <col min="1288" max="1288" width="9.140625" style="103" customWidth="1"/>
    <col min="1289" max="1289" width="42" style="103" customWidth="1"/>
    <col min="1290" max="1290" width="1.28515625" style="103" customWidth="1"/>
    <col min="1291" max="1291" width="22.7109375" style="103" customWidth="1"/>
    <col min="1292" max="1536" width="9.140625" style="103"/>
    <col min="1537" max="1537" width="3.5703125" style="103" customWidth="1"/>
    <col min="1538" max="1538" width="6.28515625" style="103" customWidth="1"/>
    <col min="1539" max="1539" width="8.28515625" style="103" customWidth="1"/>
    <col min="1540" max="1540" width="8.85546875" style="103" customWidth="1"/>
    <col min="1541" max="1541" width="38.5703125" style="103" customWidth="1"/>
    <col min="1542" max="1542" width="6.28515625" style="103" customWidth="1"/>
    <col min="1543" max="1543" width="8.42578125" style="103" customWidth="1"/>
    <col min="1544" max="1544" width="9.140625" style="103" customWidth="1"/>
    <col min="1545" max="1545" width="42" style="103" customWidth="1"/>
    <col min="1546" max="1546" width="1.28515625" style="103" customWidth="1"/>
    <col min="1547" max="1547" width="22.7109375" style="103" customWidth="1"/>
    <col min="1548" max="1792" width="9.140625" style="103"/>
    <col min="1793" max="1793" width="3.5703125" style="103" customWidth="1"/>
    <col min="1794" max="1794" width="6.28515625" style="103" customWidth="1"/>
    <col min="1795" max="1795" width="8.28515625" style="103" customWidth="1"/>
    <col min="1796" max="1796" width="8.85546875" style="103" customWidth="1"/>
    <col min="1797" max="1797" width="38.5703125" style="103" customWidth="1"/>
    <col min="1798" max="1798" width="6.28515625" style="103" customWidth="1"/>
    <col min="1799" max="1799" width="8.42578125" style="103" customWidth="1"/>
    <col min="1800" max="1800" width="9.140625" style="103" customWidth="1"/>
    <col min="1801" max="1801" width="42" style="103" customWidth="1"/>
    <col min="1802" max="1802" width="1.28515625" style="103" customWidth="1"/>
    <col min="1803" max="1803" width="22.7109375" style="103" customWidth="1"/>
    <col min="1804" max="2048" width="9.140625" style="103"/>
    <col min="2049" max="2049" width="3.5703125" style="103" customWidth="1"/>
    <col min="2050" max="2050" width="6.28515625" style="103" customWidth="1"/>
    <col min="2051" max="2051" width="8.28515625" style="103" customWidth="1"/>
    <col min="2052" max="2052" width="8.85546875" style="103" customWidth="1"/>
    <col min="2053" max="2053" width="38.5703125" style="103" customWidth="1"/>
    <col min="2054" max="2054" width="6.28515625" style="103" customWidth="1"/>
    <col min="2055" max="2055" width="8.42578125" style="103" customWidth="1"/>
    <col min="2056" max="2056" width="9.140625" style="103" customWidth="1"/>
    <col min="2057" max="2057" width="42" style="103" customWidth="1"/>
    <col min="2058" max="2058" width="1.28515625" style="103" customWidth="1"/>
    <col min="2059" max="2059" width="22.7109375" style="103" customWidth="1"/>
    <col min="2060" max="2304" width="9.140625" style="103"/>
    <col min="2305" max="2305" width="3.5703125" style="103" customWidth="1"/>
    <col min="2306" max="2306" width="6.28515625" style="103" customWidth="1"/>
    <col min="2307" max="2307" width="8.28515625" style="103" customWidth="1"/>
    <col min="2308" max="2308" width="8.85546875" style="103" customWidth="1"/>
    <col min="2309" max="2309" width="38.5703125" style="103" customWidth="1"/>
    <col min="2310" max="2310" width="6.28515625" style="103" customWidth="1"/>
    <col min="2311" max="2311" width="8.42578125" style="103" customWidth="1"/>
    <col min="2312" max="2312" width="9.140625" style="103" customWidth="1"/>
    <col min="2313" max="2313" width="42" style="103" customWidth="1"/>
    <col min="2314" max="2314" width="1.28515625" style="103" customWidth="1"/>
    <col min="2315" max="2315" width="22.7109375" style="103" customWidth="1"/>
    <col min="2316" max="2560" width="9.140625" style="103"/>
    <col min="2561" max="2561" width="3.5703125" style="103" customWidth="1"/>
    <col min="2562" max="2562" width="6.28515625" style="103" customWidth="1"/>
    <col min="2563" max="2563" width="8.28515625" style="103" customWidth="1"/>
    <col min="2564" max="2564" width="8.85546875" style="103" customWidth="1"/>
    <col min="2565" max="2565" width="38.5703125" style="103" customWidth="1"/>
    <col min="2566" max="2566" width="6.28515625" style="103" customWidth="1"/>
    <col min="2567" max="2567" width="8.42578125" style="103" customWidth="1"/>
    <col min="2568" max="2568" width="9.140625" style="103" customWidth="1"/>
    <col min="2569" max="2569" width="42" style="103" customWidth="1"/>
    <col min="2570" max="2570" width="1.28515625" style="103" customWidth="1"/>
    <col min="2571" max="2571" width="22.7109375" style="103" customWidth="1"/>
    <col min="2572" max="2816" width="9.140625" style="103"/>
    <col min="2817" max="2817" width="3.5703125" style="103" customWidth="1"/>
    <col min="2818" max="2818" width="6.28515625" style="103" customWidth="1"/>
    <col min="2819" max="2819" width="8.28515625" style="103" customWidth="1"/>
    <col min="2820" max="2820" width="8.85546875" style="103" customWidth="1"/>
    <col min="2821" max="2821" width="38.5703125" style="103" customWidth="1"/>
    <col min="2822" max="2822" width="6.28515625" style="103" customWidth="1"/>
    <col min="2823" max="2823" width="8.42578125" style="103" customWidth="1"/>
    <col min="2824" max="2824" width="9.140625" style="103" customWidth="1"/>
    <col min="2825" max="2825" width="42" style="103" customWidth="1"/>
    <col min="2826" max="2826" width="1.28515625" style="103" customWidth="1"/>
    <col min="2827" max="2827" width="22.7109375" style="103" customWidth="1"/>
    <col min="2828" max="3072" width="9.140625" style="103"/>
    <col min="3073" max="3073" width="3.5703125" style="103" customWidth="1"/>
    <col min="3074" max="3074" width="6.28515625" style="103" customWidth="1"/>
    <col min="3075" max="3075" width="8.28515625" style="103" customWidth="1"/>
    <col min="3076" max="3076" width="8.85546875" style="103" customWidth="1"/>
    <col min="3077" max="3077" width="38.5703125" style="103" customWidth="1"/>
    <col min="3078" max="3078" width="6.28515625" style="103" customWidth="1"/>
    <col min="3079" max="3079" width="8.42578125" style="103" customWidth="1"/>
    <col min="3080" max="3080" width="9.140625" style="103" customWidth="1"/>
    <col min="3081" max="3081" width="42" style="103" customWidth="1"/>
    <col min="3082" max="3082" width="1.28515625" style="103" customWidth="1"/>
    <col min="3083" max="3083" width="22.7109375" style="103" customWidth="1"/>
    <col min="3084" max="3328" width="9.140625" style="103"/>
    <col min="3329" max="3329" width="3.5703125" style="103" customWidth="1"/>
    <col min="3330" max="3330" width="6.28515625" style="103" customWidth="1"/>
    <col min="3331" max="3331" width="8.28515625" style="103" customWidth="1"/>
    <col min="3332" max="3332" width="8.85546875" style="103" customWidth="1"/>
    <col min="3333" max="3333" width="38.5703125" style="103" customWidth="1"/>
    <col min="3334" max="3334" width="6.28515625" style="103" customWidth="1"/>
    <col min="3335" max="3335" width="8.42578125" style="103" customWidth="1"/>
    <col min="3336" max="3336" width="9.140625" style="103" customWidth="1"/>
    <col min="3337" max="3337" width="42" style="103" customWidth="1"/>
    <col min="3338" max="3338" width="1.28515625" style="103" customWidth="1"/>
    <col min="3339" max="3339" width="22.7109375" style="103" customWidth="1"/>
    <col min="3340" max="3584" width="9.140625" style="103"/>
    <col min="3585" max="3585" width="3.5703125" style="103" customWidth="1"/>
    <col min="3586" max="3586" width="6.28515625" style="103" customWidth="1"/>
    <col min="3587" max="3587" width="8.28515625" style="103" customWidth="1"/>
    <col min="3588" max="3588" width="8.85546875" style="103" customWidth="1"/>
    <col min="3589" max="3589" width="38.5703125" style="103" customWidth="1"/>
    <col min="3590" max="3590" width="6.28515625" style="103" customWidth="1"/>
    <col min="3591" max="3591" width="8.42578125" style="103" customWidth="1"/>
    <col min="3592" max="3592" width="9.140625" style="103" customWidth="1"/>
    <col min="3593" max="3593" width="42" style="103" customWidth="1"/>
    <col min="3594" max="3594" width="1.28515625" style="103" customWidth="1"/>
    <col min="3595" max="3595" width="22.7109375" style="103" customWidth="1"/>
    <col min="3596" max="3840" width="9.140625" style="103"/>
    <col min="3841" max="3841" width="3.5703125" style="103" customWidth="1"/>
    <col min="3842" max="3842" width="6.28515625" style="103" customWidth="1"/>
    <col min="3843" max="3843" width="8.28515625" style="103" customWidth="1"/>
    <col min="3844" max="3844" width="8.85546875" style="103" customWidth="1"/>
    <col min="3845" max="3845" width="38.5703125" style="103" customWidth="1"/>
    <col min="3846" max="3846" width="6.28515625" style="103" customWidth="1"/>
    <col min="3847" max="3847" width="8.42578125" style="103" customWidth="1"/>
    <col min="3848" max="3848" width="9.140625" style="103" customWidth="1"/>
    <col min="3849" max="3849" width="42" style="103" customWidth="1"/>
    <col min="3850" max="3850" width="1.28515625" style="103" customWidth="1"/>
    <col min="3851" max="3851" width="22.7109375" style="103" customWidth="1"/>
    <col min="3852" max="4096" width="9.140625" style="103"/>
    <col min="4097" max="4097" width="3.5703125" style="103" customWidth="1"/>
    <col min="4098" max="4098" width="6.28515625" style="103" customWidth="1"/>
    <col min="4099" max="4099" width="8.28515625" style="103" customWidth="1"/>
    <col min="4100" max="4100" width="8.85546875" style="103" customWidth="1"/>
    <col min="4101" max="4101" width="38.5703125" style="103" customWidth="1"/>
    <col min="4102" max="4102" width="6.28515625" style="103" customWidth="1"/>
    <col min="4103" max="4103" width="8.42578125" style="103" customWidth="1"/>
    <col min="4104" max="4104" width="9.140625" style="103" customWidth="1"/>
    <col min="4105" max="4105" width="42" style="103" customWidth="1"/>
    <col min="4106" max="4106" width="1.28515625" style="103" customWidth="1"/>
    <col min="4107" max="4107" width="22.7109375" style="103" customWidth="1"/>
    <col min="4108" max="4352" width="9.140625" style="103"/>
    <col min="4353" max="4353" width="3.5703125" style="103" customWidth="1"/>
    <col min="4354" max="4354" width="6.28515625" style="103" customWidth="1"/>
    <col min="4355" max="4355" width="8.28515625" style="103" customWidth="1"/>
    <col min="4356" max="4356" width="8.85546875" style="103" customWidth="1"/>
    <col min="4357" max="4357" width="38.5703125" style="103" customWidth="1"/>
    <col min="4358" max="4358" width="6.28515625" style="103" customWidth="1"/>
    <col min="4359" max="4359" width="8.42578125" style="103" customWidth="1"/>
    <col min="4360" max="4360" width="9.140625" style="103" customWidth="1"/>
    <col min="4361" max="4361" width="42" style="103" customWidth="1"/>
    <col min="4362" max="4362" width="1.28515625" style="103" customWidth="1"/>
    <col min="4363" max="4363" width="22.7109375" style="103" customWidth="1"/>
    <col min="4364" max="4608" width="9.140625" style="103"/>
    <col min="4609" max="4609" width="3.5703125" style="103" customWidth="1"/>
    <col min="4610" max="4610" width="6.28515625" style="103" customWidth="1"/>
    <col min="4611" max="4611" width="8.28515625" style="103" customWidth="1"/>
    <col min="4612" max="4612" width="8.85546875" style="103" customWidth="1"/>
    <col min="4613" max="4613" width="38.5703125" style="103" customWidth="1"/>
    <col min="4614" max="4614" width="6.28515625" style="103" customWidth="1"/>
    <col min="4615" max="4615" width="8.42578125" style="103" customWidth="1"/>
    <col min="4616" max="4616" width="9.140625" style="103" customWidth="1"/>
    <col min="4617" max="4617" width="42" style="103" customWidth="1"/>
    <col min="4618" max="4618" width="1.28515625" style="103" customWidth="1"/>
    <col min="4619" max="4619" width="22.7109375" style="103" customWidth="1"/>
    <col min="4620" max="4864" width="9.140625" style="103"/>
    <col min="4865" max="4865" width="3.5703125" style="103" customWidth="1"/>
    <col min="4866" max="4866" width="6.28515625" style="103" customWidth="1"/>
    <col min="4867" max="4867" width="8.28515625" style="103" customWidth="1"/>
    <col min="4868" max="4868" width="8.85546875" style="103" customWidth="1"/>
    <col min="4869" max="4869" width="38.5703125" style="103" customWidth="1"/>
    <col min="4870" max="4870" width="6.28515625" style="103" customWidth="1"/>
    <col min="4871" max="4871" width="8.42578125" style="103" customWidth="1"/>
    <col min="4872" max="4872" width="9.140625" style="103" customWidth="1"/>
    <col min="4873" max="4873" width="42" style="103" customWidth="1"/>
    <col min="4874" max="4874" width="1.28515625" style="103" customWidth="1"/>
    <col min="4875" max="4875" width="22.7109375" style="103" customWidth="1"/>
    <col min="4876" max="5120" width="9.140625" style="103"/>
    <col min="5121" max="5121" width="3.5703125" style="103" customWidth="1"/>
    <col min="5122" max="5122" width="6.28515625" style="103" customWidth="1"/>
    <col min="5123" max="5123" width="8.28515625" style="103" customWidth="1"/>
    <col min="5124" max="5124" width="8.85546875" style="103" customWidth="1"/>
    <col min="5125" max="5125" width="38.5703125" style="103" customWidth="1"/>
    <col min="5126" max="5126" width="6.28515625" style="103" customWidth="1"/>
    <col min="5127" max="5127" width="8.42578125" style="103" customWidth="1"/>
    <col min="5128" max="5128" width="9.140625" style="103" customWidth="1"/>
    <col min="5129" max="5129" width="42" style="103" customWidth="1"/>
    <col min="5130" max="5130" width="1.28515625" style="103" customWidth="1"/>
    <col min="5131" max="5131" width="22.7109375" style="103" customWidth="1"/>
    <col min="5132" max="5376" width="9.140625" style="103"/>
    <col min="5377" max="5377" width="3.5703125" style="103" customWidth="1"/>
    <col min="5378" max="5378" width="6.28515625" style="103" customWidth="1"/>
    <col min="5379" max="5379" width="8.28515625" style="103" customWidth="1"/>
    <col min="5380" max="5380" width="8.85546875" style="103" customWidth="1"/>
    <col min="5381" max="5381" width="38.5703125" style="103" customWidth="1"/>
    <col min="5382" max="5382" width="6.28515625" style="103" customWidth="1"/>
    <col min="5383" max="5383" width="8.42578125" style="103" customWidth="1"/>
    <col min="5384" max="5384" width="9.140625" style="103" customWidth="1"/>
    <col min="5385" max="5385" width="42" style="103" customWidth="1"/>
    <col min="5386" max="5386" width="1.28515625" style="103" customWidth="1"/>
    <col min="5387" max="5387" width="22.7109375" style="103" customWidth="1"/>
    <col min="5388" max="5632" width="9.140625" style="103"/>
    <col min="5633" max="5633" width="3.5703125" style="103" customWidth="1"/>
    <col min="5634" max="5634" width="6.28515625" style="103" customWidth="1"/>
    <col min="5635" max="5635" width="8.28515625" style="103" customWidth="1"/>
    <col min="5636" max="5636" width="8.85546875" style="103" customWidth="1"/>
    <col min="5637" max="5637" width="38.5703125" style="103" customWidth="1"/>
    <col min="5638" max="5638" width="6.28515625" style="103" customWidth="1"/>
    <col min="5639" max="5639" width="8.42578125" style="103" customWidth="1"/>
    <col min="5640" max="5640" width="9.140625" style="103" customWidth="1"/>
    <col min="5641" max="5641" width="42" style="103" customWidth="1"/>
    <col min="5642" max="5642" width="1.28515625" style="103" customWidth="1"/>
    <col min="5643" max="5643" width="22.7109375" style="103" customWidth="1"/>
    <col min="5644" max="5888" width="9.140625" style="103"/>
    <col min="5889" max="5889" width="3.5703125" style="103" customWidth="1"/>
    <col min="5890" max="5890" width="6.28515625" style="103" customWidth="1"/>
    <col min="5891" max="5891" width="8.28515625" style="103" customWidth="1"/>
    <col min="5892" max="5892" width="8.85546875" style="103" customWidth="1"/>
    <col min="5893" max="5893" width="38.5703125" style="103" customWidth="1"/>
    <col min="5894" max="5894" width="6.28515625" style="103" customWidth="1"/>
    <col min="5895" max="5895" width="8.42578125" style="103" customWidth="1"/>
    <col min="5896" max="5896" width="9.140625" style="103" customWidth="1"/>
    <col min="5897" max="5897" width="42" style="103" customWidth="1"/>
    <col min="5898" max="5898" width="1.28515625" style="103" customWidth="1"/>
    <col min="5899" max="5899" width="22.7109375" style="103" customWidth="1"/>
    <col min="5900" max="6144" width="9.140625" style="103"/>
    <col min="6145" max="6145" width="3.5703125" style="103" customWidth="1"/>
    <col min="6146" max="6146" width="6.28515625" style="103" customWidth="1"/>
    <col min="6147" max="6147" width="8.28515625" style="103" customWidth="1"/>
    <col min="6148" max="6148" width="8.85546875" style="103" customWidth="1"/>
    <col min="6149" max="6149" width="38.5703125" style="103" customWidth="1"/>
    <col min="6150" max="6150" width="6.28515625" style="103" customWidth="1"/>
    <col min="6151" max="6151" width="8.42578125" style="103" customWidth="1"/>
    <col min="6152" max="6152" width="9.140625" style="103" customWidth="1"/>
    <col min="6153" max="6153" width="42" style="103" customWidth="1"/>
    <col min="6154" max="6154" width="1.28515625" style="103" customWidth="1"/>
    <col min="6155" max="6155" width="22.7109375" style="103" customWidth="1"/>
    <col min="6156" max="6400" width="9.140625" style="103"/>
    <col min="6401" max="6401" width="3.5703125" style="103" customWidth="1"/>
    <col min="6402" max="6402" width="6.28515625" style="103" customWidth="1"/>
    <col min="6403" max="6403" width="8.28515625" style="103" customWidth="1"/>
    <col min="6404" max="6404" width="8.85546875" style="103" customWidth="1"/>
    <col min="6405" max="6405" width="38.5703125" style="103" customWidth="1"/>
    <col min="6406" max="6406" width="6.28515625" style="103" customWidth="1"/>
    <col min="6407" max="6407" width="8.42578125" style="103" customWidth="1"/>
    <col min="6408" max="6408" width="9.140625" style="103" customWidth="1"/>
    <col min="6409" max="6409" width="42" style="103" customWidth="1"/>
    <col min="6410" max="6410" width="1.28515625" style="103" customWidth="1"/>
    <col min="6411" max="6411" width="22.7109375" style="103" customWidth="1"/>
    <col min="6412" max="6656" width="9.140625" style="103"/>
    <col min="6657" max="6657" width="3.5703125" style="103" customWidth="1"/>
    <col min="6658" max="6658" width="6.28515625" style="103" customWidth="1"/>
    <col min="6659" max="6659" width="8.28515625" style="103" customWidth="1"/>
    <col min="6660" max="6660" width="8.85546875" style="103" customWidth="1"/>
    <col min="6661" max="6661" width="38.5703125" style="103" customWidth="1"/>
    <col min="6662" max="6662" width="6.28515625" style="103" customWidth="1"/>
    <col min="6663" max="6663" width="8.42578125" style="103" customWidth="1"/>
    <col min="6664" max="6664" width="9.140625" style="103" customWidth="1"/>
    <col min="6665" max="6665" width="42" style="103" customWidth="1"/>
    <col min="6666" max="6666" width="1.28515625" style="103" customWidth="1"/>
    <col min="6667" max="6667" width="22.7109375" style="103" customWidth="1"/>
    <col min="6668" max="6912" width="9.140625" style="103"/>
    <col min="6913" max="6913" width="3.5703125" style="103" customWidth="1"/>
    <col min="6914" max="6914" width="6.28515625" style="103" customWidth="1"/>
    <col min="6915" max="6915" width="8.28515625" style="103" customWidth="1"/>
    <col min="6916" max="6916" width="8.85546875" style="103" customWidth="1"/>
    <col min="6917" max="6917" width="38.5703125" style="103" customWidth="1"/>
    <col min="6918" max="6918" width="6.28515625" style="103" customWidth="1"/>
    <col min="6919" max="6919" width="8.42578125" style="103" customWidth="1"/>
    <col min="6920" max="6920" width="9.140625" style="103" customWidth="1"/>
    <col min="6921" max="6921" width="42" style="103" customWidth="1"/>
    <col min="6922" max="6922" width="1.28515625" style="103" customWidth="1"/>
    <col min="6923" max="6923" width="22.7109375" style="103" customWidth="1"/>
    <col min="6924" max="7168" width="9.140625" style="103"/>
    <col min="7169" max="7169" width="3.5703125" style="103" customWidth="1"/>
    <col min="7170" max="7170" width="6.28515625" style="103" customWidth="1"/>
    <col min="7171" max="7171" width="8.28515625" style="103" customWidth="1"/>
    <col min="7172" max="7172" width="8.85546875" style="103" customWidth="1"/>
    <col min="7173" max="7173" width="38.5703125" style="103" customWidth="1"/>
    <col min="7174" max="7174" width="6.28515625" style="103" customWidth="1"/>
    <col min="7175" max="7175" width="8.42578125" style="103" customWidth="1"/>
    <col min="7176" max="7176" width="9.140625" style="103" customWidth="1"/>
    <col min="7177" max="7177" width="42" style="103" customWidth="1"/>
    <col min="7178" max="7178" width="1.28515625" style="103" customWidth="1"/>
    <col min="7179" max="7179" width="22.7109375" style="103" customWidth="1"/>
    <col min="7180" max="7424" width="9.140625" style="103"/>
    <col min="7425" max="7425" width="3.5703125" style="103" customWidth="1"/>
    <col min="7426" max="7426" width="6.28515625" style="103" customWidth="1"/>
    <col min="7427" max="7427" width="8.28515625" style="103" customWidth="1"/>
    <col min="7428" max="7428" width="8.85546875" style="103" customWidth="1"/>
    <col min="7429" max="7429" width="38.5703125" style="103" customWidth="1"/>
    <col min="7430" max="7430" width="6.28515625" style="103" customWidth="1"/>
    <col min="7431" max="7431" width="8.42578125" style="103" customWidth="1"/>
    <col min="7432" max="7432" width="9.140625" style="103" customWidth="1"/>
    <col min="7433" max="7433" width="42" style="103" customWidth="1"/>
    <col min="7434" max="7434" width="1.28515625" style="103" customWidth="1"/>
    <col min="7435" max="7435" width="22.7109375" style="103" customWidth="1"/>
    <col min="7436" max="7680" width="9.140625" style="103"/>
    <col min="7681" max="7681" width="3.5703125" style="103" customWidth="1"/>
    <col min="7682" max="7682" width="6.28515625" style="103" customWidth="1"/>
    <col min="7683" max="7683" width="8.28515625" style="103" customWidth="1"/>
    <col min="7684" max="7684" width="8.85546875" style="103" customWidth="1"/>
    <col min="7685" max="7685" width="38.5703125" style="103" customWidth="1"/>
    <col min="7686" max="7686" width="6.28515625" style="103" customWidth="1"/>
    <col min="7687" max="7687" width="8.42578125" style="103" customWidth="1"/>
    <col min="7688" max="7688" width="9.140625" style="103" customWidth="1"/>
    <col min="7689" max="7689" width="42" style="103" customWidth="1"/>
    <col min="7690" max="7690" width="1.28515625" style="103" customWidth="1"/>
    <col min="7691" max="7691" width="22.7109375" style="103" customWidth="1"/>
    <col min="7692" max="7936" width="9.140625" style="103"/>
    <col min="7937" max="7937" width="3.5703125" style="103" customWidth="1"/>
    <col min="7938" max="7938" width="6.28515625" style="103" customWidth="1"/>
    <col min="7939" max="7939" width="8.28515625" style="103" customWidth="1"/>
    <col min="7940" max="7940" width="8.85546875" style="103" customWidth="1"/>
    <col min="7941" max="7941" width="38.5703125" style="103" customWidth="1"/>
    <col min="7942" max="7942" width="6.28515625" style="103" customWidth="1"/>
    <col min="7943" max="7943" width="8.42578125" style="103" customWidth="1"/>
    <col min="7944" max="7944" width="9.140625" style="103" customWidth="1"/>
    <col min="7945" max="7945" width="42" style="103" customWidth="1"/>
    <col min="7946" max="7946" width="1.28515625" style="103" customWidth="1"/>
    <col min="7947" max="7947" width="22.7109375" style="103" customWidth="1"/>
    <col min="7948" max="8192" width="9.140625" style="103"/>
    <col min="8193" max="8193" width="3.5703125" style="103" customWidth="1"/>
    <col min="8194" max="8194" width="6.28515625" style="103" customWidth="1"/>
    <col min="8195" max="8195" width="8.28515625" style="103" customWidth="1"/>
    <col min="8196" max="8196" width="8.85546875" style="103" customWidth="1"/>
    <col min="8197" max="8197" width="38.5703125" style="103" customWidth="1"/>
    <col min="8198" max="8198" width="6.28515625" style="103" customWidth="1"/>
    <col min="8199" max="8199" width="8.42578125" style="103" customWidth="1"/>
    <col min="8200" max="8200" width="9.140625" style="103" customWidth="1"/>
    <col min="8201" max="8201" width="42" style="103" customWidth="1"/>
    <col min="8202" max="8202" width="1.28515625" style="103" customWidth="1"/>
    <col min="8203" max="8203" width="22.7109375" style="103" customWidth="1"/>
    <col min="8204" max="8448" width="9.140625" style="103"/>
    <col min="8449" max="8449" width="3.5703125" style="103" customWidth="1"/>
    <col min="8450" max="8450" width="6.28515625" style="103" customWidth="1"/>
    <col min="8451" max="8451" width="8.28515625" style="103" customWidth="1"/>
    <col min="8452" max="8452" width="8.85546875" style="103" customWidth="1"/>
    <col min="8453" max="8453" width="38.5703125" style="103" customWidth="1"/>
    <col min="8454" max="8454" width="6.28515625" style="103" customWidth="1"/>
    <col min="8455" max="8455" width="8.42578125" style="103" customWidth="1"/>
    <col min="8456" max="8456" width="9.140625" style="103" customWidth="1"/>
    <col min="8457" max="8457" width="42" style="103" customWidth="1"/>
    <col min="8458" max="8458" width="1.28515625" style="103" customWidth="1"/>
    <col min="8459" max="8459" width="22.7109375" style="103" customWidth="1"/>
    <col min="8460" max="8704" width="9.140625" style="103"/>
    <col min="8705" max="8705" width="3.5703125" style="103" customWidth="1"/>
    <col min="8706" max="8706" width="6.28515625" style="103" customWidth="1"/>
    <col min="8707" max="8707" width="8.28515625" style="103" customWidth="1"/>
    <col min="8708" max="8708" width="8.85546875" style="103" customWidth="1"/>
    <col min="8709" max="8709" width="38.5703125" style="103" customWidth="1"/>
    <col min="8710" max="8710" width="6.28515625" style="103" customWidth="1"/>
    <col min="8711" max="8711" width="8.42578125" style="103" customWidth="1"/>
    <col min="8712" max="8712" width="9.140625" style="103" customWidth="1"/>
    <col min="8713" max="8713" width="42" style="103" customWidth="1"/>
    <col min="8714" max="8714" width="1.28515625" style="103" customWidth="1"/>
    <col min="8715" max="8715" width="22.7109375" style="103" customWidth="1"/>
    <col min="8716" max="8960" width="9.140625" style="103"/>
    <col min="8961" max="8961" width="3.5703125" style="103" customWidth="1"/>
    <col min="8962" max="8962" width="6.28515625" style="103" customWidth="1"/>
    <col min="8963" max="8963" width="8.28515625" style="103" customWidth="1"/>
    <col min="8964" max="8964" width="8.85546875" style="103" customWidth="1"/>
    <col min="8965" max="8965" width="38.5703125" style="103" customWidth="1"/>
    <col min="8966" max="8966" width="6.28515625" style="103" customWidth="1"/>
    <col min="8967" max="8967" width="8.42578125" style="103" customWidth="1"/>
    <col min="8968" max="8968" width="9.140625" style="103" customWidth="1"/>
    <col min="8969" max="8969" width="42" style="103" customWidth="1"/>
    <col min="8970" max="8970" width="1.28515625" style="103" customWidth="1"/>
    <col min="8971" max="8971" width="22.7109375" style="103" customWidth="1"/>
    <col min="8972" max="9216" width="9.140625" style="103"/>
    <col min="9217" max="9217" width="3.5703125" style="103" customWidth="1"/>
    <col min="9218" max="9218" width="6.28515625" style="103" customWidth="1"/>
    <col min="9219" max="9219" width="8.28515625" style="103" customWidth="1"/>
    <col min="9220" max="9220" width="8.85546875" style="103" customWidth="1"/>
    <col min="9221" max="9221" width="38.5703125" style="103" customWidth="1"/>
    <col min="9222" max="9222" width="6.28515625" style="103" customWidth="1"/>
    <col min="9223" max="9223" width="8.42578125" style="103" customWidth="1"/>
    <col min="9224" max="9224" width="9.140625" style="103" customWidth="1"/>
    <col min="9225" max="9225" width="42" style="103" customWidth="1"/>
    <col min="9226" max="9226" width="1.28515625" style="103" customWidth="1"/>
    <col min="9227" max="9227" width="22.7109375" style="103" customWidth="1"/>
    <col min="9228" max="9472" width="9.140625" style="103"/>
    <col min="9473" max="9473" width="3.5703125" style="103" customWidth="1"/>
    <col min="9474" max="9474" width="6.28515625" style="103" customWidth="1"/>
    <col min="9475" max="9475" width="8.28515625" style="103" customWidth="1"/>
    <col min="9476" max="9476" width="8.85546875" style="103" customWidth="1"/>
    <col min="9477" max="9477" width="38.5703125" style="103" customWidth="1"/>
    <col min="9478" max="9478" width="6.28515625" style="103" customWidth="1"/>
    <col min="9479" max="9479" width="8.42578125" style="103" customWidth="1"/>
    <col min="9480" max="9480" width="9.140625" style="103" customWidth="1"/>
    <col min="9481" max="9481" width="42" style="103" customWidth="1"/>
    <col min="9482" max="9482" width="1.28515625" style="103" customWidth="1"/>
    <col min="9483" max="9483" width="22.7109375" style="103" customWidth="1"/>
    <col min="9484" max="9728" width="9.140625" style="103"/>
    <col min="9729" max="9729" width="3.5703125" style="103" customWidth="1"/>
    <col min="9730" max="9730" width="6.28515625" style="103" customWidth="1"/>
    <col min="9731" max="9731" width="8.28515625" style="103" customWidth="1"/>
    <col min="9732" max="9732" width="8.85546875" style="103" customWidth="1"/>
    <col min="9733" max="9733" width="38.5703125" style="103" customWidth="1"/>
    <col min="9734" max="9734" width="6.28515625" style="103" customWidth="1"/>
    <col min="9735" max="9735" width="8.42578125" style="103" customWidth="1"/>
    <col min="9736" max="9736" width="9.140625" style="103" customWidth="1"/>
    <col min="9737" max="9737" width="42" style="103" customWidth="1"/>
    <col min="9738" max="9738" width="1.28515625" style="103" customWidth="1"/>
    <col min="9739" max="9739" width="22.7109375" style="103" customWidth="1"/>
    <col min="9740" max="9984" width="9.140625" style="103"/>
    <col min="9985" max="9985" width="3.5703125" style="103" customWidth="1"/>
    <col min="9986" max="9986" width="6.28515625" style="103" customWidth="1"/>
    <col min="9987" max="9987" width="8.28515625" style="103" customWidth="1"/>
    <col min="9988" max="9988" width="8.85546875" style="103" customWidth="1"/>
    <col min="9989" max="9989" width="38.5703125" style="103" customWidth="1"/>
    <col min="9990" max="9990" width="6.28515625" style="103" customWidth="1"/>
    <col min="9991" max="9991" width="8.42578125" style="103" customWidth="1"/>
    <col min="9992" max="9992" width="9.140625" style="103" customWidth="1"/>
    <col min="9993" max="9993" width="42" style="103" customWidth="1"/>
    <col min="9994" max="9994" width="1.28515625" style="103" customWidth="1"/>
    <col min="9995" max="9995" width="22.7109375" style="103" customWidth="1"/>
    <col min="9996" max="10240" width="9.140625" style="103"/>
    <col min="10241" max="10241" width="3.5703125" style="103" customWidth="1"/>
    <col min="10242" max="10242" width="6.28515625" style="103" customWidth="1"/>
    <col min="10243" max="10243" width="8.28515625" style="103" customWidth="1"/>
    <col min="10244" max="10244" width="8.85546875" style="103" customWidth="1"/>
    <col min="10245" max="10245" width="38.5703125" style="103" customWidth="1"/>
    <col min="10246" max="10246" width="6.28515625" style="103" customWidth="1"/>
    <col min="10247" max="10247" width="8.42578125" style="103" customWidth="1"/>
    <col min="10248" max="10248" width="9.140625" style="103" customWidth="1"/>
    <col min="10249" max="10249" width="42" style="103" customWidth="1"/>
    <col min="10250" max="10250" width="1.28515625" style="103" customWidth="1"/>
    <col min="10251" max="10251" width="22.7109375" style="103" customWidth="1"/>
    <col min="10252" max="10496" width="9.140625" style="103"/>
    <col min="10497" max="10497" width="3.5703125" style="103" customWidth="1"/>
    <col min="10498" max="10498" width="6.28515625" style="103" customWidth="1"/>
    <col min="10499" max="10499" width="8.28515625" style="103" customWidth="1"/>
    <col min="10500" max="10500" width="8.85546875" style="103" customWidth="1"/>
    <col min="10501" max="10501" width="38.5703125" style="103" customWidth="1"/>
    <col min="10502" max="10502" width="6.28515625" style="103" customWidth="1"/>
    <col min="10503" max="10503" width="8.42578125" style="103" customWidth="1"/>
    <col min="10504" max="10504" width="9.140625" style="103" customWidth="1"/>
    <col min="10505" max="10505" width="42" style="103" customWidth="1"/>
    <col min="10506" max="10506" width="1.28515625" style="103" customWidth="1"/>
    <col min="10507" max="10507" width="22.7109375" style="103" customWidth="1"/>
    <col min="10508" max="10752" width="9.140625" style="103"/>
    <col min="10753" max="10753" width="3.5703125" style="103" customWidth="1"/>
    <col min="10754" max="10754" width="6.28515625" style="103" customWidth="1"/>
    <col min="10755" max="10755" width="8.28515625" style="103" customWidth="1"/>
    <col min="10756" max="10756" width="8.85546875" style="103" customWidth="1"/>
    <col min="10757" max="10757" width="38.5703125" style="103" customWidth="1"/>
    <col min="10758" max="10758" width="6.28515625" style="103" customWidth="1"/>
    <col min="10759" max="10759" width="8.42578125" style="103" customWidth="1"/>
    <col min="10760" max="10760" width="9.140625" style="103" customWidth="1"/>
    <col min="10761" max="10761" width="42" style="103" customWidth="1"/>
    <col min="10762" max="10762" width="1.28515625" style="103" customWidth="1"/>
    <col min="10763" max="10763" width="22.7109375" style="103" customWidth="1"/>
    <col min="10764" max="11008" width="9.140625" style="103"/>
    <col min="11009" max="11009" width="3.5703125" style="103" customWidth="1"/>
    <col min="11010" max="11010" width="6.28515625" style="103" customWidth="1"/>
    <col min="11011" max="11011" width="8.28515625" style="103" customWidth="1"/>
    <col min="11012" max="11012" width="8.85546875" style="103" customWidth="1"/>
    <col min="11013" max="11013" width="38.5703125" style="103" customWidth="1"/>
    <col min="11014" max="11014" width="6.28515625" style="103" customWidth="1"/>
    <col min="11015" max="11015" width="8.42578125" style="103" customWidth="1"/>
    <col min="11016" max="11016" width="9.140625" style="103" customWidth="1"/>
    <col min="11017" max="11017" width="42" style="103" customWidth="1"/>
    <col min="11018" max="11018" width="1.28515625" style="103" customWidth="1"/>
    <col min="11019" max="11019" width="22.7109375" style="103" customWidth="1"/>
    <col min="11020" max="11264" width="9.140625" style="103"/>
    <col min="11265" max="11265" width="3.5703125" style="103" customWidth="1"/>
    <col min="11266" max="11266" width="6.28515625" style="103" customWidth="1"/>
    <col min="11267" max="11267" width="8.28515625" style="103" customWidth="1"/>
    <col min="11268" max="11268" width="8.85546875" style="103" customWidth="1"/>
    <col min="11269" max="11269" width="38.5703125" style="103" customWidth="1"/>
    <col min="11270" max="11270" width="6.28515625" style="103" customWidth="1"/>
    <col min="11271" max="11271" width="8.42578125" style="103" customWidth="1"/>
    <col min="11272" max="11272" width="9.140625" style="103" customWidth="1"/>
    <col min="11273" max="11273" width="42" style="103" customWidth="1"/>
    <col min="11274" max="11274" width="1.28515625" style="103" customWidth="1"/>
    <col min="11275" max="11275" width="22.7109375" style="103" customWidth="1"/>
    <col min="11276" max="11520" width="9.140625" style="103"/>
    <col min="11521" max="11521" width="3.5703125" style="103" customWidth="1"/>
    <col min="11522" max="11522" width="6.28515625" style="103" customWidth="1"/>
    <col min="11523" max="11523" width="8.28515625" style="103" customWidth="1"/>
    <col min="11524" max="11524" width="8.85546875" style="103" customWidth="1"/>
    <col min="11525" max="11525" width="38.5703125" style="103" customWidth="1"/>
    <col min="11526" max="11526" width="6.28515625" style="103" customWidth="1"/>
    <col min="11527" max="11527" width="8.42578125" style="103" customWidth="1"/>
    <col min="11528" max="11528" width="9.140625" style="103" customWidth="1"/>
    <col min="11529" max="11529" width="42" style="103" customWidth="1"/>
    <col min="11530" max="11530" width="1.28515625" style="103" customWidth="1"/>
    <col min="11531" max="11531" width="22.7109375" style="103" customWidth="1"/>
    <col min="11532" max="11776" width="9.140625" style="103"/>
    <col min="11777" max="11777" width="3.5703125" style="103" customWidth="1"/>
    <col min="11778" max="11778" width="6.28515625" style="103" customWidth="1"/>
    <col min="11779" max="11779" width="8.28515625" style="103" customWidth="1"/>
    <col min="11780" max="11780" width="8.85546875" style="103" customWidth="1"/>
    <col min="11781" max="11781" width="38.5703125" style="103" customWidth="1"/>
    <col min="11782" max="11782" width="6.28515625" style="103" customWidth="1"/>
    <col min="11783" max="11783" width="8.42578125" style="103" customWidth="1"/>
    <col min="11784" max="11784" width="9.140625" style="103" customWidth="1"/>
    <col min="11785" max="11785" width="42" style="103" customWidth="1"/>
    <col min="11786" max="11786" width="1.28515625" style="103" customWidth="1"/>
    <col min="11787" max="11787" width="22.7109375" style="103" customWidth="1"/>
    <col min="11788" max="12032" width="9.140625" style="103"/>
    <col min="12033" max="12033" width="3.5703125" style="103" customWidth="1"/>
    <col min="12034" max="12034" width="6.28515625" style="103" customWidth="1"/>
    <col min="12035" max="12035" width="8.28515625" style="103" customWidth="1"/>
    <col min="12036" max="12036" width="8.85546875" style="103" customWidth="1"/>
    <col min="12037" max="12037" width="38.5703125" style="103" customWidth="1"/>
    <col min="12038" max="12038" width="6.28515625" style="103" customWidth="1"/>
    <col min="12039" max="12039" width="8.42578125" style="103" customWidth="1"/>
    <col min="12040" max="12040" width="9.140625" style="103" customWidth="1"/>
    <col min="12041" max="12041" width="42" style="103" customWidth="1"/>
    <col min="12042" max="12042" width="1.28515625" style="103" customWidth="1"/>
    <col min="12043" max="12043" width="22.7109375" style="103" customWidth="1"/>
    <col min="12044" max="12288" width="9.140625" style="103"/>
    <col min="12289" max="12289" width="3.5703125" style="103" customWidth="1"/>
    <col min="12290" max="12290" width="6.28515625" style="103" customWidth="1"/>
    <col min="12291" max="12291" width="8.28515625" style="103" customWidth="1"/>
    <col min="12292" max="12292" width="8.85546875" style="103" customWidth="1"/>
    <col min="12293" max="12293" width="38.5703125" style="103" customWidth="1"/>
    <col min="12294" max="12294" width="6.28515625" style="103" customWidth="1"/>
    <col min="12295" max="12295" width="8.42578125" style="103" customWidth="1"/>
    <col min="12296" max="12296" width="9.140625" style="103" customWidth="1"/>
    <col min="12297" max="12297" width="42" style="103" customWidth="1"/>
    <col min="12298" max="12298" width="1.28515625" style="103" customWidth="1"/>
    <col min="12299" max="12299" width="22.7109375" style="103" customWidth="1"/>
    <col min="12300" max="12544" width="9.140625" style="103"/>
    <col min="12545" max="12545" width="3.5703125" style="103" customWidth="1"/>
    <col min="12546" max="12546" width="6.28515625" style="103" customWidth="1"/>
    <col min="12547" max="12547" width="8.28515625" style="103" customWidth="1"/>
    <col min="12548" max="12548" width="8.85546875" style="103" customWidth="1"/>
    <col min="12549" max="12549" width="38.5703125" style="103" customWidth="1"/>
    <col min="12550" max="12550" width="6.28515625" style="103" customWidth="1"/>
    <col min="12551" max="12551" width="8.42578125" style="103" customWidth="1"/>
    <col min="12552" max="12552" width="9.140625" style="103" customWidth="1"/>
    <col min="12553" max="12553" width="42" style="103" customWidth="1"/>
    <col min="12554" max="12554" width="1.28515625" style="103" customWidth="1"/>
    <col min="12555" max="12555" width="22.7109375" style="103" customWidth="1"/>
    <col min="12556" max="12800" width="9.140625" style="103"/>
    <col min="12801" max="12801" width="3.5703125" style="103" customWidth="1"/>
    <col min="12802" max="12802" width="6.28515625" style="103" customWidth="1"/>
    <col min="12803" max="12803" width="8.28515625" style="103" customWidth="1"/>
    <col min="12804" max="12804" width="8.85546875" style="103" customWidth="1"/>
    <col min="12805" max="12805" width="38.5703125" style="103" customWidth="1"/>
    <col min="12806" max="12806" width="6.28515625" style="103" customWidth="1"/>
    <col min="12807" max="12807" width="8.42578125" style="103" customWidth="1"/>
    <col min="12808" max="12808" width="9.140625" style="103" customWidth="1"/>
    <col min="12809" max="12809" width="42" style="103" customWidth="1"/>
    <col min="12810" max="12810" width="1.28515625" style="103" customWidth="1"/>
    <col min="12811" max="12811" width="22.7109375" style="103" customWidth="1"/>
    <col min="12812" max="13056" width="9.140625" style="103"/>
    <col min="13057" max="13057" width="3.5703125" style="103" customWidth="1"/>
    <col min="13058" max="13058" width="6.28515625" style="103" customWidth="1"/>
    <col min="13059" max="13059" width="8.28515625" style="103" customWidth="1"/>
    <col min="13060" max="13060" width="8.85546875" style="103" customWidth="1"/>
    <col min="13061" max="13061" width="38.5703125" style="103" customWidth="1"/>
    <col min="13062" max="13062" width="6.28515625" style="103" customWidth="1"/>
    <col min="13063" max="13063" width="8.42578125" style="103" customWidth="1"/>
    <col min="13064" max="13064" width="9.140625" style="103" customWidth="1"/>
    <col min="13065" max="13065" width="42" style="103" customWidth="1"/>
    <col min="13066" max="13066" width="1.28515625" style="103" customWidth="1"/>
    <col min="13067" max="13067" width="22.7109375" style="103" customWidth="1"/>
    <col min="13068" max="13312" width="9.140625" style="103"/>
    <col min="13313" max="13313" width="3.5703125" style="103" customWidth="1"/>
    <col min="13314" max="13314" width="6.28515625" style="103" customWidth="1"/>
    <col min="13315" max="13315" width="8.28515625" style="103" customWidth="1"/>
    <col min="13316" max="13316" width="8.85546875" style="103" customWidth="1"/>
    <col min="13317" max="13317" width="38.5703125" style="103" customWidth="1"/>
    <col min="13318" max="13318" width="6.28515625" style="103" customWidth="1"/>
    <col min="13319" max="13319" width="8.42578125" style="103" customWidth="1"/>
    <col min="13320" max="13320" width="9.140625" style="103" customWidth="1"/>
    <col min="13321" max="13321" width="42" style="103" customWidth="1"/>
    <col min="13322" max="13322" width="1.28515625" style="103" customWidth="1"/>
    <col min="13323" max="13323" width="22.7109375" style="103" customWidth="1"/>
    <col min="13324" max="13568" width="9.140625" style="103"/>
    <col min="13569" max="13569" width="3.5703125" style="103" customWidth="1"/>
    <col min="13570" max="13570" width="6.28515625" style="103" customWidth="1"/>
    <col min="13571" max="13571" width="8.28515625" style="103" customWidth="1"/>
    <col min="13572" max="13572" width="8.85546875" style="103" customWidth="1"/>
    <col min="13573" max="13573" width="38.5703125" style="103" customWidth="1"/>
    <col min="13574" max="13574" width="6.28515625" style="103" customWidth="1"/>
    <col min="13575" max="13575" width="8.42578125" style="103" customWidth="1"/>
    <col min="13576" max="13576" width="9.140625" style="103" customWidth="1"/>
    <col min="13577" max="13577" width="42" style="103" customWidth="1"/>
    <col min="13578" max="13578" width="1.28515625" style="103" customWidth="1"/>
    <col min="13579" max="13579" width="22.7109375" style="103" customWidth="1"/>
    <col min="13580" max="13824" width="9.140625" style="103"/>
    <col min="13825" max="13825" width="3.5703125" style="103" customWidth="1"/>
    <col min="13826" max="13826" width="6.28515625" style="103" customWidth="1"/>
    <col min="13827" max="13827" width="8.28515625" style="103" customWidth="1"/>
    <col min="13828" max="13828" width="8.85546875" style="103" customWidth="1"/>
    <col min="13829" max="13829" width="38.5703125" style="103" customWidth="1"/>
    <col min="13830" max="13830" width="6.28515625" style="103" customWidth="1"/>
    <col min="13831" max="13831" width="8.42578125" style="103" customWidth="1"/>
    <col min="13832" max="13832" width="9.140625" style="103" customWidth="1"/>
    <col min="13833" max="13833" width="42" style="103" customWidth="1"/>
    <col min="13834" max="13834" width="1.28515625" style="103" customWidth="1"/>
    <col min="13835" max="13835" width="22.7109375" style="103" customWidth="1"/>
    <col min="13836" max="14080" width="9.140625" style="103"/>
    <col min="14081" max="14081" width="3.5703125" style="103" customWidth="1"/>
    <col min="14082" max="14082" width="6.28515625" style="103" customWidth="1"/>
    <col min="14083" max="14083" width="8.28515625" style="103" customWidth="1"/>
    <col min="14084" max="14084" width="8.85546875" style="103" customWidth="1"/>
    <col min="14085" max="14085" width="38.5703125" style="103" customWidth="1"/>
    <col min="14086" max="14086" width="6.28515625" style="103" customWidth="1"/>
    <col min="14087" max="14087" width="8.42578125" style="103" customWidth="1"/>
    <col min="14088" max="14088" width="9.140625" style="103" customWidth="1"/>
    <col min="14089" max="14089" width="42" style="103" customWidth="1"/>
    <col min="14090" max="14090" width="1.28515625" style="103" customWidth="1"/>
    <col min="14091" max="14091" width="22.7109375" style="103" customWidth="1"/>
    <col min="14092" max="14336" width="9.140625" style="103"/>
    <col min="14337" max="14337" width="3.5703125" style="103" customWidth="1"/>
    <col min="14338" max="14338" width="6.28515625" style="103" customWidth="1"/>
    <col min="14339" max="14339" width="8.28515625" style="103" customWidth="1"/>
    <col min="14340" max="14340" width="8.85546875" style="103" customWidth="1"/>
    <col min="14341" max="14341" width="38.5703125" style="103" customWidth="1"/>
    <col min="14342" max="14342" width="6.28515625" style="103" customWidth="1"/>
    <col min="14343" max="14343" width="8.42578125" style="103" customWidth="1"/>
    <col min="14344" max="14344" width="9.140625" style="103" customWidth="1"/>
    <col min="14345" max="14345" width="42" style="103" customWidth="1"/>
    <col min="14346" max="14346" width="1.28515625" style="103" customWidth="1"/>
    <col min="14347" max="14347" width="22.7109375" style="103" customWidth="1"/>
    <col min="14348" max="14592" width="9.140625" style="103"/>
    <col min="14593" max="14593" width="3.5703125" style="103" customWidth="1"/>
    <col min="14594" max="14594" width="6.28515625" style="103" customWidth="1"/>
    <col min="14595" max="14595" width="8.28515625" style="103" customWidth="1"/>
    <col min="14596" max="14596" width="8.85546875" style="103" customWidth="1"/>
    <col min="14597" max="14597" width="38.5703125" style="103" customWidth="1"/>
    <col min="14598" max="14598" width="6.28515625" style="103" customWidth="1"/>
    <col min="14599" max="14599" width="8.42578125" style="103" customWidth="1"/>
    <col min="14600" max="14600" width="9.140625" style="103" customWidth="1"/>
    <col min="14601" max="14601" width="42" style="103" customWidth="1"/>
    <col min="14602" max="14602" width="1.28515625" style="103" customWidth="1"/>
    <col min="14603" max="14603" width="22.7109375" style="103" customWidth="1"/>
    <col min="14604" max="14848" width="9.140625" style="103"/>
    <col min="14849" max="14849" width="3.5703125" style="103" customWidth="1"/>
    <col min="14850" max="14850" width="6.28515625" style="103" customWidth="1"/>
    <col min="14851" max="14851" width="8.28515625" style="103" customWidth="1"/>
    <col min="14852" max="14852" width="8.85546875" style="103" customWidth="1"/>
    <col min="14853" max="14853" width="38.5703125" style="103" customWidth="1"/>
    <col min="14854" max="14854" width="6.28515625" style="103" customWidth="1"/>
    <col min="14855" max="14855" width="8.42578125" style="103" customWidth="1"/>
    <col min="14856" max="14856" width="9.140625" style="103" customWidth="1"/>
    <col min="14857" max="14857" width="42" style="103" customWidth="1"/>
    <col min="14858" max="14858" width="1.28515625" style="103" customWidth="1"/>
    <col min="14859" max="14859" width="22.7109375" style="103" customWidth="1"/>
    <col min="14860" max="15104" width="9.140625" style="103"/>
    <col min="15105" max="15105" width="3.5703125" style="103" customWidth="1"/>
    <col min="15106" max="15106" width="6.28515625" style="103" customWidth="1"/>
    <col min="15107" max="15107" width="8.28515625" style="103" customWidth="1"/>
    <col min="15108" max="15108" width="8.85546875" style="103" customWidth="1"/>
    <col min="15109" max="15109" width="38.5703125" style="103" customWidth="1"/>
    <col min="15110" max="15110" width="6.28515625" style="103" customWidth="1"/>
    <col min="15111" max="15111" width="8.42578125" style="103" customWidth="1"/>
    <col min="15112" max="15112" width="9.140625" style="103" customWidth="1"/>
    <col min="15113" max="15113" width="42" style="103" customWidth="1"/>
    <col min="15114" max="15114" width="1.28515625" style="103" customWidth="1"/>
    <col min="15115" max="15115" width="22.7109375" style="103" customWidth="1"/>
    <col min="15116" max="15360" width="9.140625" style="103"/>
    <col min="15361" max="15361" width="3.5703125" style="103" customWidth="1"/>
    <col min="15362" max="15362" width="6.28515625" style="103" customWidth="1"/>
    <col min="15363" max="15363" width="8.28515625" style="103" customWidth="1"/>
    <col min="15364" max="15364" width="8.85546875" style="103" customWidth="1"/>
    <col min="15365" max="15365" width="38.5703125" style="103" customWidth="1"/>
    <col min="15366" max="15366" width="6.28515625" style="103" customWidth="1"/>
    <col min="15367" max="15367" width="8.42578125" style="103" customWidth="1"/>
    <col min="15368" max="15368" width="9.140625" style="103" customWidth="1"/>
    <col min="15369" max="15369" width="42" style="103" customWidth="1"/>
    <col min="15370" max="15370" width="1.28515625" style="103" customWidth="1"/>
    <col min="15371" max="15371" width="22.7109375" style="103" customWidth="1"/>
    <col min="15372" max="15616" width="9.140625" style="103"/>
    <col min="15617" max="15617" width="3.5703125" style="103" customWidth="1"/>
    <col min="15618" max="15618" width="6.28515625" style="103" customWidth="1"/>
    <col min="15619" max="15619" width="8.28515625" style="103" customWidth="1"/>
    <col min="15620" max="15620" width="8.85546875" style="103" customWidth="1"/>
    <col min="15621" max="15621" width="38.5703125" style="103" customWidth="1"/>
    <col min="15622" max="15622" width="6.28515625" style="103" customWidth="1"/>
    <col min="15623" max="15623" width="8.42578125" style="103" customWidth="1"/>
    <col min="15624" max="15624" width="9.140625" style="103" customWidth="1"/>
    <col min="15625" max="15625" width="42" style="103" customWidth="1"/>
    <col min="15626" max="15626" width="1.28515625" style="103" customWidth="1"/>
    <col min="15627" max="15627" width="22.7109375" style="103" customWidth="1"/>
    <col min="15628" max="15872" width="9.140625" style="103"/>
    <col min="15873" max="15873" width="3.5703125" style="103" customWidth="1"/>
    <col min="15874" max="15874" width="6.28515625" style="103" customWidth="1"/>
    <col min="15875" max="15875" width="8.28515625" style="103" customWidth="1"/>
    <col min="15876" max="15876" width="8.85546875" style="103" customWidth="1"/>
    <col min="15877" max="15877" width="38.5703125" style="103" customWidth="1"/>
    <col min="15878" max="15878" width="6.28515625" style="103" customWidth="1"/>
    <col min="15879" max="15879" width="8.42578125" style="103" customWidth="1"/>
    <col min="15880" max="15880" width="9.140625" style="103" customWidth="1"/>
    <col min="15881" max="15881" width="42" style="103" customWidth="1"/>
    <col min="15882" max="15882" width="1.28515625" style="103" customWidth="1"/>
    <col min="15883" max="15883" width="22.7109375" style="103" customWidth="1"/>
    <col min="15884" max="16128" width="9.140625" style="103"/>
    <col min="16129" max="16129" width="3.5703125" style="103" customWidth="1"/>
    <col min="16130" max="16130" width="6.28515625" style="103" customWidth="1"/>
    <col min="16131" max="16131" width="8.28515625" style="103" customWidth="1"/>
    <col min="16132" max="16132" width="8.85546875" style="103" customWidth="1"/>
    <col min="16133" max="16133" width="38.5703125" style="103" customWidth="1"/>
    <col min="16134" max="16134" width="6.28515625" style="103" customWidth="1"/>
    <col min="16135" max="16135" width="8.42578125" style="103" customWidth="1"/>
    <col min="16136" max="16136" width="9.140625" style="103" customWidth="1"/>
    <col min="16137" max="16137" width="42" style="103" customWidth="1"/>
    <col min="16138" max="16138" width="1.28515625" style="103" customWidth="1"/>
    <col min="16139" max="16139" width="22.7109375" style="103" customWidth="1"/>
    <col min="16140" max="16384" width="9.140625" style="103"/>
  </cols>
  <sheetData>
    <row r="1" spans="1:10">
      <c r="A1" s="818"/>
      <c r="B1" s="2059" t="s">
        <v>1919</v>
      </c>
      <c r="C1" s="2059"/>
      <c r="D1" s="2059"/>
      <c r="E1" s="2059"/>
      <c r="F1" s="819"/>
      <c r="G1" s="1649"/>
      <c r="H1" s="821" t="s">
        <v>1918</v>
      </c>
      <c r="I1" s="1650">
        <f ca="1">TODAY()</f>
        <v>42423</v>
      </c>
      <c r="J1" s="820"/>
    </row>
    <row r="2" spans="1:10">
      <c r="A2" s="818"/>
      <c r="B2" s="2059" t="s">
        <v>1917</v>
      </c>
      <c r="C2" s="2059"/>
      <c r="D2" s="2059"/>
      <c r="E2" s="2059"/>
      <c r="F2" s="819"/>
      <c r="G2" s="1649"/>
      <c r="J2" s="818"/>
    </row>
    <row r="3" spans="1:10">
      <c r="A3" s="818"/>
      <c r="B3" s="2059" t="s">
        <v>1920</v>
      </c>
      <c r="C3" s="2059"/>
      <c r="D3" s="2059"/>
      <c r="E3" s="2059"/>
      <c r="F3" s="2059"/>
      <c r="G3" s="1649"/>
      <c r="H3" s="2060" t="s">
        <v>3279</v>
      </c>
      <c r="I3" s="2060"/>
      <c r="J3" s="818"/>
    </row>
    <row r="4" spans="1:10">
      <c r="A4" s="818"/>
      <c r="B4" s="2059" t="s">
        <v>1921</v>
      </c>
      <c r="C4" s="2059"/>
      <c r="D4" s="2059"/>
      <c r="E4" s="2059"/>
      <c r="F4" s="819"/>
      <c r="G4" s="1649"/>
      <c r="H4" s="2089" t="s">
        <v>3435</v>
      </c>
      <c r="I4" s="2089"/>
      <c r="J4" s="818"/>
    </row>
    <row r="5" spans="1:10">
      <c r="A5" s="818"/>
      <c r="B5" s="824"/>
      <c r="C5" s="1649"/>
      <c r="D5" s="1649"/>
      <c r="E5" s="825"/>
      <c r="F5" s="819"/>
      <c r="G5" s="1649"/>
      <c r="H5" s="827"/>
      <c r="I5" s="1648"/>
      <c r="J5" s="818"/>
    </row>
    <row r="6" spans="1:10">
      <c r="A6" s="828"/>
      <c r="B6" s="853" t="s">
        <v>1884</v>
      </c>
      <c r="C6" s="854" t="s">
        <v>526</v>
      </c>
      <c r="D6" s="855" t="s">
        <v>1885</v>
      </c>
      <c r="E6" s="854" t="s">
        <v>1886</v>
      </c>
      <c r="F6" s="853" t="s">
        <v>1884</v>
      </c>
      <c r="G6" s="855" t="s">
        <v>526</v>
      </c>
      <c r="H6" s="856" t="s">
        <v>1885</v>
      </c>
      <c r="I6" s="854" t="s">
        <v>1886</v>
      </c>
      <c r="J6" s="828"/>
    </row>
    <row r="7" spans="1:10">
      <c r="A7" s="818"/>
      <c r="B7" s="1768"/>
      <c r="C7" s="1769"/>
      <c r="D7" s="1770"/>
      <c r="E7" s="1771" t="s">
        <v>2733</v>
      </c>
      <c r="F7" s="1771"/>
      <c r="G7" s="1773"/>
      <c r="H7" s="1774"/>
      <c r="I7" s="1651" t="s">
        <v>3464</v>
      </c>
    </row>
    <row r="8" spans="1:10" ht="47.25">
      <c r="A8" s="818"/>
      <c r="B8" s="435"/>
      <c r="C8" s="1651"/>
      <c r="D8" s="1651" t="s">
        <v>2609</v>
      </c>
      <c r="E8" s="1670" t="s">
        <v>3436</v>
      </c>
      <c r="F8" s="1651"/>
      <c r="G8" s="848"/>
      <c r="H8" s="843"/>
      <c r="I8" s="1651" t="s">
        <v>3465</v>
      </c>
    </row>
    <row r="9" spans="1:10">
      <c r="A9" s="818"/>
      <c r="B9" s="435">
        <v>1</v>
      </c>
      <c r="C9" s="1651">
        <v>38.6</v>
      </c>
      <c r="D9" s="1651"/>
      <c r="E9" s="1671" t="s">
        <v>3442</v>
      </c>
      <c r="F9" s="1651">
        <v>1</v>
      </c>
      <c r="G9" s="848">
        <v>3</v>
      </c>
      <c r="H9" s="843"/>
      <c r="I9" s="435"/>
    </row>
    <row r="10" spans="1:10">
      <c r="A10" s="818"/>
      <c r="B10" s="435"/>
      <c r="C10" s="1651">
        <v>0.5</v>
      </c>
      <c r="D10" s="1651"/>
      <c r="E10" s="442" t="s">
        <v>3440</v>
      </c>
      <c r="F10" s="1651"/>
      <c r="G10" s="848">
        <v>3</v>
      </c>
      <c r="H10" s="843"/>
      <c r="I10" s="435"/>
    </row>
    <row r="11" spans="1:10">
      <c r="A11" s="818"/>
      <c r="B11" s="435"/>
      <c r="C11" s="1651">
        <v>0.3</v>
      </c>
      <c r="D11" s="843">
        <f>C11*C10*C9*B9</f>
        <v>5.79</v>
      </c>
      <c r="E11" s="1651"/>
      <c r="F11" s="1651"/>
      <c r="G11" s="848">
        <v>0.16</v>
      </c>
      <c r="H11" s="843"/>
      <c r="I11" s="435"/>
    </row>
    <row r="12" spans="1:10">
      <c r="A12" s="818"/>
      <c r="B12" s="435"/>
      <c r="C12" s="1651"/>
      <c r="D12" s="1651"/>
      <c r="E12" s="1651"/>
      <c r="F12" s="839"/>
      <c r="G12" s="935"/>
      <c r="H12" s="838">
        <f>G11*G10*G9*F9</f>
        <v>1.44</v>
      </c>
      <c r="I12" s="839" t="s">
        <v>3466</v>
      </c>
    </row>
    <row r="13" spans="1:10">
      <c r="A13" s="818"/>
      <c r="B13" s="435">
        <v>1</v>
      </c>
      <c r="C13" s="1651">
        <v>33.799999999999997</v>
      </c>
      <c r="D13" s="1651"/>
      <c r="E13" s="442" t="s">
        <v>3438</v>
      </c>
      <c r="F13" s="1651"/>
      <c r="G13" s="848"/>
      <c r="H13" s="843"/>
      <c r="I13" s="435"/>
    </row>
    <row r="14" spans="1:10">
      <c r="A14" s="818"/>
      <c r="B14" s="435"/>
      <c r="C14" s="1651">
        <v>0.6</v>
      </c>
      <c r="D14" s="1651"/>
      <c r="E14" s="442" t="s">
        <v>3441</v>
      </c>
      <c r="F14" s="1651"/>
      <c r="G14" s="848"/>
      <c r="H14" s="843"/>
      <c r="I14" s="1651" t="s">
        <v>3468</v>
      </c>
    </row>
    <row r="15" spans="1:10">
      <c r="A15" s="818"/>
      <c r="B15" s="435"/>
      <c r="C15" s="1651">
        <v>0.3</v>
      </c>
      <c r="D15" s="843">
        <f>C15*C14*C13*B13</f>
        <v>6.0839999999999996</v>
      </c>
      <c r="E15" s="435"/>
      <c r="F15" s="1651">
        <v>4</v>
      </c>
      <c r="G15" s="848">
        <v>3</v>
      </c>
      <c r="H15" s="843"/>
      <c r="I15" s="435"/>
    </row>
    <row r="16" spans="1:10">
      <c r="A16" s="818"/>
      <c r="B16" s="435"/>
      <c r="C16" s="1651"/>
      <c r="D16" s="1651"/>
      <c r="E16" s="435"/>
      <c r="F16" s="1651"/>
      <c r="G16" s="848">
        <v>3</v>
      </c>
      <c r="H16" s="843"/>
      <c r="I16" s="435"/>
    </row>
    <row r="17" spans="1:9">
      <c r="A17" s="818"/>
      <c r="B17" s="435">
        <v>1</v>
      </c>
      <c r="C17" s="1651">
        <v>44.3</v>
      </c>
      <c r="D17" s="1651"/>
      <c r="E17" s="442" t="s">
        <v>3439</v>
      </c>
      <c r="F17" s="1651"/>
      <c r="G17" s="848">
        <v>0.3</v>
      </c>
      <c r="H17" s="843"/>
      <c r="I17" s="435"/>
    </row>
    <row r="18" spans="1:9">
      <c r="A18" s="818"/>
      <c r="B18" s="435"/>
      <c r="C18" s="1651">
        <v>0.4</v>
      </c>
      <c r="D18" s="1651"/>
      <c r="E18" s="442" t="s">
        <v>3437</v>
      </c>
      <c r="F18" s="839"/>
      <c r="G18" s="935"/>
      <c r="H18" s="838">
        <f>G17*G16*G15*F15</f>
        <v>10.799999999999999</v>
      </c>
      <c r="I18" s="839" t="s">
        <v>3467</v>
      </c>
    </row>
    <row r="19" spans="1:9">
      <c r="A19" s="818"/>
      <c r="B19" s="435"/>
      <c r="C19" s="1651">
        <v>0.3</v>
      </c>
      <c r="D19" s="843">
        <f>C19*C18*C17*B17</f>
        <v>5.3159999999999998</v>
      </c>
      <c r="E19" s="435"/>
      <c r="F19" s="1651"/>
      <c r="G19" s="848"/>
      <c r="H19" s="843"/>
      <c r="I19" s="435"/>
    </row>
    <row r="20" spans="1:9">
      <c r="A20" s="818"/>
      <c r="B20" s="831"/>
      <c r="C20" s="829"/>
      <c r="D20" s="832"/>
      <c r="E20" s="1651"/>
      <c r="F20" s="1651"/>
      <c r="G20" s="848"/>
      <c r="H20" s="843"/>
      <c r="I20" s="1651" t="s">
        <v>3469</v>
      </c>
    </row>
    <row r="21" spans="1:9">
      <c r="A21" s="818"/>
      <c r="B21" s="435">
        <v>1</v>
      </c>
      <c r="C21" s="1651">
        <v>22.7</v>
      </c>
      <c r="D21" s="1651"/>
      <c r="E21" s="1671" t="s">
        <v>3443</v>
      </c>
      <c r="F21" s="1651">
        <v>4</v>
      </c>
      <c r="G21" s="848">
        <v>1.2</v>
      </c>
      <c r="H21" s="843"/>
      <c r="I21" s="435"/>
    </row>
    <row r="22" spans="1:9">
      <c r="A22" s="818"/>
      <c r="B22" s="435"/>
      <c r="C22" s="1651">
        <v>0.5</v>
      </c>
      <c r="D22" s="1651"/>
      <c r="E22" s="442" t="s">
        <v>3440</v>
      </c>
      <c r="F22" s="1651"/>
      <c r="G22" s="848">
        <v>1.2</v>
      </c>
      <c r="H22" s="843"/>
      <c r="I22" s="435"/>
    </row>
    <row r="23" spans="1:9">
      <c r="A23" s="818"/>
      <c r="B23" s="435"/>
      <c r="C23" s="1651">
        <v>0.3</v>
      </c>
      <c r="D23" s="843">
        <f>C23*C22*C21*B21</f>
        <v>3.4049999999999998</v>
      </c>
      <c r="E23" s="1651"/>
      <c r="F23" s="1651"/>
      <c r="G23" s="848">
        <v>0.4</v>
      </c>
      <c r="H23" s="843"/>
      <c r="I23" s="435"/>
    </row>
    <row r="24" spans="1:9">
      <c r="A24" s="818"/>
      <c r="B24" s="831"/>
      <c r="C24" s="829"/>
      <c r="D24" s="832"/>
      <c r="E24" s="1651"/>
      <c r="F24" s="839"/>
      <c r="G24" s="935"/>
      <c r="H24" s="838">
        <f>G23*G22*G21*F21</f>
        <v>2.3039999999999998</v>
      </c>
      <c r="I24" s="839" t="s">
        <v>3470</v>
      </c>
    </row>
    <row r="25" spans="1:9">
      <c r="A25" s="818"/>
      <c r="B25" s="839"/>
      <c r="C25" s="935"/>
      <c r="D25" s="838">
        <f>SUM(D11:D24)</f>
        <v>20.594999999999999</v>
      </c>
      <c r="E25" s="839" t="s">
        <v>2754</v>
      </c>
      <c r="F25" s="1651"/>
      <c r="G25" s="848"/>
      <c r="H25" s="843"/>
      <c r="I25" s="435"/>
    </row>
    <row r="26" spans="1:9">
      <c r="A26" s="818"/>
      <c r="B26" s="831"/>
      <c r="C26" s="829"/>
      <c r="D26" s="832"/>
      <c r="E26" s="1651"/>
      <c r="F26" s="1651"/>
      <c r="G26" s="848"/>
      <c r="H26" s="843"/>
      <c r="I26" s="1651" t="s">
        <v>3476</v>
      </c>
    </row>
    <row r="27" spans="1:9">
      <c r="A27" s="818"/>
      <c r="B27" s="831"/>
      <c r="C27" s="829"/>
      <c r="D27" s="832"/>
      <c r="E27" s="1651" t="s">
        <v>3448</v>
      </c>
      <c r="F27" s="1651">
        <v>4</v>
      </c>
      <c r="G27" s="848">
        <v>1.2</v>
      </c>
      <c r="H27" s="843"/>
      <c r="I27" s="435"/>
    </row>
    <row r="28" spans="1:9">
      <c r="A28" s="818"/>
      <c r="B28" s="435"/>
      <c r="C28" s="1651"/>
      <c r="D28" s="1651"/>
      <c r="E28" s="1651" t="s">
        <v>3459</v>
      </c>
      <c r="F28" s="1651"/>
      <c r="G28" s="848">
        <v>1.2</v>
      </c>
      <c r="H28" s="843"/>
      <c r="I28" s="435"/>
    </row>
    <row r="29" spans="1:9">
      <c r="A29" s="818"/>
      <c r="B29" s="831"/>
      <c r="C29" s="829"/>
      <c r="D29" s="832"/>
      <c r="E29" s="1651" t="s">
        <v>3449</v>
      </c>
      <c r="F29" s="1651"/>
      <c r="G29" s="848">
        <v>0.25</v>
      </c>
      <c r="H29" s="843"/>
      <c r="I29" s="435"/>
    </row>
    <row r="30" spans="1:9">
      <c r="A30" s="818"/>
      <c r="B30" s="831">
        <v>1</v>
      </c>
      <c r="C30" s="829">
        <v>6.45</v>
      </c>
      <c r="D30" s="832"/>
      <c r="E30" s="1651"/>
      <c r="F30" s="839"/>
      <c r="G30" s="935"/>
      <c r="H30" s="838">
        <f>G29*G28*G27*F27</f>
        <v>1.44</v>
      </c>
      <c r="I30" s="839" t="s">
        <v>3471</v>
      </c>
    </row>
    <row r="31" spans="1:9">
      <c r="A31" s="818"/>
      <c r="B31" s="831"/>
      <c r="C31" s="829">
        <v>6.45</v>
      </c>
      <c r="D31" s="832"/>
      <c r="E31" s="1651"/>
      <c r="F31" s="831"/>
      <c r="G31" s="829"/>
      <c r="H31" s="832"/>
      <c r="I31" s="1651"/>
    </row>
    <row r="32" spans="1:9">
      <c r="A32" s="818"/>
      <c r="B32" s="839"/>
      <c r="C32" s="935"/>
      <c r="D32" s="838">
        <f>C31*C30*B30</f>
        <v>41.602499999999999</v>
      </c>
      <c r="E32" s="839" t="s">
        <v>3450</v>
      </c>
      <c r="F32" s="1651"/>
      <c r="G32" s="848"/>
      <c r="H32" s="843"/>
      <c r="I32" s="1651" t="s">
        <v>3477</v>
      </c>
    </row>
    <row r="33" spans="1:9">
      <c r="A33" s="818"/>
      <c r="B33" s="831"/>
      <c r="C33" s="829"/>
      <c r="D33" s="832"/>
      <c r="E33" s="1651"/>
      <c r="F33" s="1651">
        <v>12</v>
      </c>
      <c r="G33" s="848">
        <v>0.2</v>
      </c>
      <c r="H33" s="843"/>
      <c r="I33" s="435"/>
    </row>
    <row r="34" spans="1:9">
      <c r="A34" s="818"/>
      <c r="B34" s="831"/>
      <c r="C34" s="829"/>
      <c r="D34" s="832"/>
      <c r="E34" s="1651" t="s">
        <v>3451</v>
      </c>
      <c r="F34" s="1651"/>
      <c r="G34" s="848">
        <v>0.2</v>
      </c>
      <c r="H34" s="843"/>
      <c r="I34" s="435"/>
    </row>
    <row r="35" spans="1:9">
      <c r="A35" s="818"/>
      <c r="B35" s="831">
        <v>4</v>
      </c>
      <c r="C35" s="829">
        <v>1.7</v>
      </c>
      <c r="D35" s="832"/>
      <c r="E35" s="1651"/>
      <c r="F35" s="1651"/>
      <c r="G35" s="848">
        <v>4</v>
      </c>
      <c r="H35" s="843"/>
      <c r="I35" s="435"/>
    </row>
    <row r="36" spans="1:9">
      <c r="A36" s="818"/>
      <c r="B36" s="831"/>
      <c r="C36" s="829">
        <v>1.7</v>
      </c>
      <c r="D36" s="832"/>
      <c r="E36" s="1651"/>
      <c r="F36" s="839"/>
      <c r="G36" s="935"/>
      <c r="H36" s="838">
        <f>G35*G34*G33*F33</f>
        <v>1.9200000000000004</v>
      </c>
      <c r="I36" s="839" t="s">
        <v>3472</v>
      </c>
    </row>
    <row r="37" spans="1:9">
      <c r="A37" s="818"/>
      <c r="B37" s="831"/>
      <c r="C37" s="829">
        <v>2</v>
      </c>
      <c r="D37" s="832"/>
      <c r="E37" s="1651"/>
      <c r="F37" s="831"/>
      <c r="G37" s="829"/>
      <c r="H37" s="832"/>
      <c r="I37" s="1651"/>
    </row>
    <row r="38" spans="1:9">
      <c r="A38" s="818"/>
      <c r="B38" s="839"/>
      <c r="C38" s="935"/>
      <c r="D38" s="838">
        <f>C37*C36*C35*B35</f>
        <v>23.119999999999997</v>
      </c>
      <c r="E38" s="839" t="s">
        <v>3452</v>
      </c>
      <c r="F38" s="831"/>
      <c r="G38" s="829"/>
      <c r="H38" s="832"/>
      <c r="I38" s="1651" t="s">
        <v>3478</v>
      </c>
    </row>
    <row r="39" spans="1:9">
      <c r="A39" s="818"/>
      <c r="B39" s="831"/>
      <c r="C39" s="829"/>
      <c r="D39" s="832"/>
      <c r="E39" s="1651"/>
      <c r="F39" s="831">
        <v>2</v>
      </c>
      <c r="G39" s="829">
        <v>3.5</v>
      </c>
      <c r="H39" s="832"/>
      <c r="I39" s="1651"/>
    </row>
    <row r="40" spans="1:9">
      <c r="A40" s="818"/>
      <c r="B40" s="831"/>
      <c r="C40" s="829"/>
      <c r="D40" s="832"/>
      <c r="E40" s="1651" t="s">
        <v>3453</v>
      </c>
      <c r="F40" s="831"/>
      <c r="G40" s="829">
        <v>0.1</v>
      </c>
      <c r="H40" s="832"/>
      <c r="I40" s="1651"/>
    </row>
    <row r="41" spans="1:9">
      <c r="A41" s="818"/>
      <c r="B41" s="831">
        <v>4</v>
      </c>
      <c r="C41" s="829">
        <v>1.2</v>
      </c>
      <c r="D41" s="832"/>
      <c r="E41" s="1651"/>
      <c r="F41" s="831"/>
      <c r="G41" s="829">
        <v>0.4</v>
      </c>
      <c r="H41" s="832"/>
      <c r="I41" s="1651"/>
    </row>
    <row r="42" spans="1:9">
      <c r="A42" s="818"/>
      <c r="B42" s="831"/>
      <c r="C42" s="829">
        <v>1.2</v>
      </c>
      <c r="D42" s="832"/>
      <c r="E42" s="1651"/>
      <c r="F42" s="839"/>
      <c r="G42" s="935"/>
      <c r="H42" s="838">
        <f>G41*G40*G39*F39</f>
        <v>0.28000000000000003</v>
      </c>
      <c r="I42" s="839" t="s">
        <v>3473</v>
      </c>
    </row>
    <row r="43" spans="1:9">
      <c r="A43" s="818"/>
      <c r="B43" s="831"/>
      <c r="C43" s="829">
        <v>1.6</v>
      </c>
      <c r="D43" s="832"/>
      <c r="E43" s="1651"/>
      <c r="F43" s="831"/>
      <c r="G43" s="829"/>
      <c r="H43" s="832"/>
      <c r="I43" s="1651"/>
    </row>
    <row r="44" spans="1:9">
      <c r="A44" s="818"/>
      <c r="B44" s="839"/>
      <c r="C44" s="935"/>
      <c r="D44" s="838">
        <f>C43*C42*C41*B41</f>
        <v>9.2159999999999993</v>
      </c>
      <c r="E44" s="839" t="s">
        <v>3454</v>
      </c>
      <c r="F44" s="831"/>
      <c r="G44" s="829"/>
      <c r="H44" s="832"/>
      <c r="I44" s="1651" t="s">
        <v>2712</v>
      </c>
    </row>
    <row r="45" spans="1:9">
      <c r="A45" s="818"/>
      <c r="B45" s="831"/>
      <c r="C45" s="829"/>
      <c r="D45" s="832"/>
      <c r="E45" s="1651"/>
      <c r="F45" s="1651"/>
      <c r="G45" s="848"/>
      <c r="H45" s="843"/>
      <c r="I45" s="1651" t="s">
        <v>3479</v>
      </c>
    </row>
    <row r="46" spans="1:9">
      <c r="A46" s="818"/>
      <c r="B46" s="831"/>
      <c r="C46" s="829"/>
      <c r="D46" s="832"/>
      <c r="E46" s="1651" t="s">
        <v>3455</v>
      </c>
      <c r="F46" s="1651">
        <v>1</v>
      </c>
      <c r="G46" s="848">
        <v>3</v>
      </c>
      <c r="H46" s="843"/>
      <c r="I46" s="435"/>
    </row>
    <row r="47" spans="1:9">
      <c r="A47" s="818"/>
      <c r="B47" s="831">
        <v>1</v>
      </c>
      <c r="C47" s="829">
        <f>D32</f>
        <v>41.602499999999999</v>
      </c>
      <c r="D47" s="832"/>
      <c r="E47" s="442" t="s">
        <v>3457</v>
      </c>
      <c r="F47" s="1651"/>
      <c r="G47" s="848">
        <v>3</v>
      </c>
      <c r="H47" s="843"/>
      <c r="I47" s="435"/>
    </row>
    <row r="48" spans="1:9">
      <c r="A48" s="818"/>
      <c r="B48" s="831"/>
      <c r="C48" s="829">
        <v>0.3</v>
      </c>
      <c r="D48" s="832">
        <f>C48*C47*B47</f>
        <v>12.480749999999999</v>
      </c>
      <c r="E48" s="1651"/>
      <c r="F48" s="839"/>
      <c r="G48" s="935"/>
      <c r="H48" s="838">
        <f>G47*G46*F46</f>
        <v>9</v>
      </c>
      <c r="I48" s="839" t="s">
        <v>3474</v>
      </c>
    </row>
    <row r="49" spans="1:9">
      <c r="A49" s="818"/>
      <c r="B49" s="831"/>
      <c r="C49" s="829"/>
      <c r="D49" s="832"/>
      <c r="E49" s="1651"/>
      <c r="F49" s="1651"/>
      <c r="G49" s="848"/>
      <c r="H49" s="843"/>
      <c r="I49" s="435"/>
    </row>
    <row r="50" spans="1:9">
      <c r="A50" s="818"/>
      <c r="B50" s="435">
        <v>1</v>
      </c>
      <c r="C50" s="848">
        <f>D38</f>
        <v>23.119999999999997</v>
      </c>
      <c r="D50" s="1651"/>
      <c r="E50" s="442" t="s">
        <v>3458</v>
      </c>
      <c r="F50" s="1651"/>
      <c r="G50" s="848"/>
      <c r="H50" s="843"/>
      <c r="I50" s="1651" t="s">
        <v>3480</v>
      </c>
    </row>
    <row r="51" spans="1:9">
      <c r="A51" s="818"/>
      <c r="B51" s="831"/>
      <c r="C51" s="829"/>
      <c r="D51" s="832">
        <f>C50*B50</f>
        <v>23.119999999999997</v>
      </c>
      <c r="E51" s="1651"/>
      <c r="F51" s="1651">
        <v>2</v>
      </c>
      <c r="G51" s="848">
        <v>3</v>
      </c>
      <c r="H51" s="843"/>
      <c r="I51" s="435"/>
    </row>
    <row r="52" spans="1:9">
      <c r="A52" s="818"/>
      <c r="B52" s="831"/>
      <c r="C52" s="829"/>
      <c r="D52" s="832"/>
      <c r="E52" s="1651"/>
      <c r="F52" s="1651"/>
      <c r="G52" s="848">
        <v>0.4</v>
      </c>
      <c r="H52" s="843">
        <f>G52*G51*F51</f>
        <v>2.4000000000000004</v>
      </c>
      <c r="I52" s="435"/>
    </row>
    <row r="53" spans="1:9">
      <c r="A53" s="818"/>
      <c r="B53" s="839"/>
      <c r="C53" s="935"/>
      <c r="D53" s="838">
        <f>SUM(D48:D51)</f>
        <v>35.600749999999998</v>
      </c>
      <c r="E53" s="839" t="s">
        <v>3456</v>
      </c>
      <c r="F53" s="1651"/>
      <c r="G53" s="848"/>
      <c r="H53" s="843"/>
      <c r="I53" s="435"/>
    </row>
    <row r="54" spans="1:9">
      <c r="A54" s="818"/>
      <c r="B54" s="435"/>
      <c r="C54" s="1651"/>
      <c r="D54" s="1651"/>
      <c r="E54" s="435"/>
      <c r="F54" s="1651">
        <v>1</v>
      </c>
      <c r="G54" s="848">
        <v>3</v>
      </c>
      <c r="H54" s="843"/>
      <c r="I54" s="435"/>
    </row>
    <row r="55" spans="1:9">
      <c r="A55" s="818"/>
      <c r="B55" s="831"/>
      <c r="C55" s="829"/>
      <c r="D55" s="832"/>
      <c r="E55" s="1651" t="s">
        <v>1311</v>
      </c>
      <c r="F55" s="1651"/>
      <c r="G55" s="848">
        <v>0.25</v>
      </c>
      <c r="H55" s="843">
        <f>G55*G54*F54</f>
        <v>0.75</v>
      </c>
      <c r="I55" s="1651"/>
    </row>
    <row r="56" spans="1:9">
      <c r="A56" s="818"/>
      <c r="B56" s="831"/>
      <c r="C56" s="829"/>
      <c r="D56" s="832"/>
      <c r="E56" s="1651" t="s">
        <v>3460</v>
      </c>
      <c r="F56" s="1651"/>
      <c r="G56" s="848"/>
      <c r="H56" s="843"/>
      <c r="I56" s="1651"/>
    </row>
    <row r="57" spans="1:9">
      <c r="A57" s="818"/>
      <c r="B57" s="831">
        <v>4</v>
      </c>
      <c r="C57" s="829">
        <v>1.3</v>
      </c>
      <c r="D57" s="832"/>
      <c r="E57" s="442" t="s">
        <v>3461</v>
      </c>
      <c r="F57" s="1651">
        <v>20</v>
      </c>
      <c r="G57" s="848">
        <v>3</v>
      </c>
      <c r="H57" s="843"/>
      <c r="I57" s="435"/>
    </row>
    <row r="58" spans="1:9">
      <c r="A58" s="818"/>
      <c r="B58" s="831"/>
      <c r="C58" s="829">
        <v>1.3</v>
      </c>
      <c r="D58" s="832">
        <f>C58*C57*B57</f>
        <v>6.7600000000000007</v>
      </c>
      <c r="E58" s="1651"/>
      <c r="F58" s="1651"/>
      <c r="G58" s="848">
        <v>0.3</v>
      </c>
      <c r="H58" s="843">
        <f>G58*G57*F57</f>
        <v>18</v>
      </c>
      <c r="I58" s="1651"/>
    </row>
    <row r="59" spans="1:9">
      <c r="A59" s="818"/>
      <c r="B59" s="831"/>
      <c r="C59" s="829"/>
      <c r="D59" s="832"/>
      <c r="E59" s="1651"/>
      <c r="F59" s="831"/>
      <c r="G59" s="829"/>
      <c r="H59" s="832"/>
      <c r="I59" s="1651"/>
    </row>
    <row r="60" spans="1:9">
      <c r="A60" s="818"/>
      <c r="B60" s="831">
        <v>4</v>
      </c>
      <c r="C60" s="829">
        <v>3</v>
      </c>
      <c r="D60" s="832"/>
      <c r="E60" s="442" t="s">
        <v>3462</v>
      </c>
      <c r="F60" s="831">
        <v>4</v>
      </c>
      <c r="G60" s="829">
        <v>3</v>
      </c>
      <c r="H60" s="832"/>
      <c r="I60" s="1651"/>
    </row>
    <row r="61" spans="1:9">
      <c r="A61" s="818"/>
      <c r="B61" s="831"/>
      <c r="C61" s="829">
        <v>0.25</v>
      </c>
      <c r="D61" s="832">
        <f>C61*C60*B60</f>
        <v>3</v>
      </c>
      <c r="E61" s="1651"/>
      <c r="F61" s="831"/>
      <c r="G61" s="829">
        <v>0.14000000000000001</v>
      </c>
      <c r="H61" s="843">
        <f>G61*G60*F60</f>
        <v>1.6800000000000002</v>
      </c>
      <c r="I61" s="1651"/>
    </row>
    <row r="62" spans="1:9">
      <c r="A62" s="818"/>
      <c r="B62" s="831"/>
      <c r="C62" s="829"/>
      <c r="D62" s="832"/>
      <c r="E62" s="1651"/>
      <c r="F62" s="831"/>
      <c r="G62" s="829"/>
      <c r="H62" s="832"/>
      <c r="I62" s="1651"/>
    </row>
    <row r="63" spans="1:9">
      <c r="A63" s="818"/>
      <c r="B63" s="839"/>
      <c r="C63" s="935"/>
      <c r="D63" s="838">
        <f>SUM(D58:D62)</f>
        <v>9.7600000000000016</v>
      </c>
      <c r="E63" s="839" t="s">
        <v>3463</v>
      </c>
      <c r="F63" s="831"/>
      <c r="G63" s="829"/>
      <c r="H63" s="832"/>
      <c r="I63" s="833"/>
    </row>
    <row r="64" spans="1:9">
      <c r="A64" s="818"/>
      <c r="B64" s="849"/>
      <c r="C64" s="850"/>
      <c r="D64" s="851"/>
      <c r="E64" s="852"/>
      <c r="F64" s="1651"/>
      <c r="G64" s="848"/>
      <c r="H64" s="843"/>
      <c r="I64" s="435"/>
    </row>
    <row r="65" spans="1:10">
      <c r="A65" s="828"/>
      <c r="B65" s="853" t="s">
        <v>1884</v>
      </c>
      <c r="C65" s="855" t="s">
        <v>526</v>
      </c>
      <c r="D65" s="856" t="s">
        <v>1885</v>
      </c>
      <c r="E65" s="854" t="s">
        <v>1886</v>
      </c>
      <c r="F65" s="853" t="s">
        <v>1884</v>
      </c>
      <c r="G65" s="855" t="s">
        <v>526</v>
      </c>
      <c r="H65" s="856" t="s">
        <v>1885</v>
      </c>
      <c r="I65" s="854" t="s">
        <v>1886</v>
      </c>
      <c r="J65" s="828"/>
    </row>
    <row r="66" spans="1:10">
      <c r="A66" s="818"/>
      <c r="B66" s="435">
        <v>10</v>
      </c>
      <c r="C66" s="1651">
        <v>3</v>
      </c>
      <c r="D66" s="1651"/>
      <c r="E66" s="435"/>
      <c r="F66" s="831"/>
      <c r="G66" s="829"/>
      <c r="H66" s="832"/>
      <c r="I66" s="1651" t="s">
        <v>2742</v>
      </c>
    </row>
    <row r="67" spans="1:10">
      <c r="A67" s="818"/>
      <c r="B67" s="435"/>
      <c r="C67" s="1651">
        <v>0.25</v>
      </c>
      <c r="D67" s="843">
        <f>C67*C66*B66</f>
        <v>7.5</v>
      </c>
      <c r="E67" s="435"/>
      <c r="F67" s="435"/>
      <c r="G67" s="829"/>
      <c r="H67" s="832"/>
      <c r="I67" s="435" t="s">
        <v>2743</v>
      </c>
    </row>
    <row r="68" spans="1:10">
      <c r="A68" s="818"/>
      <c r="B68" s="435"/>
      <c r="C68" s="1651"/>
      <c r="D68" s="1651"/>
      <c r="E68" s="435"/>
      <c r="F68" s="831">
        <v>2</v>
      </c>
      <c r="G68" s="829">
        <v>31.8</v>
      </c>
      <c r="H68" s="1651"/>
      <c r="I68" s="435"/>
    </row>
    <row r="69" spans="1:10">
      <c r="A69" s="818"/>
      <c r="B69" s="839"/>
      <c r="C69" s="935"/>
      <c r="D69" s="838">
        <f>SUM(H52:H61)+D67</f>
        <v>30.33</v>
      </c>
      <c r="E69" s="839" t="s">
        <v>3475</v>
      </c>
      <c r="F69" s="435"/>
      <c r="G69" s="1651"/>
      <c r="H69" s="832">
        <f>G68*F68</f>
        <v>63.6</v>
      </c>
      <c r="I69" s="435"/>
    </row>
    <row r="70" spans="1:10">
      <c r="A70" s="818"/>
      <c r="B70" s="435"/>
      <c r="C70" s="1651"/>
      <c r="D70" s="1651"/>
      <c r="E70" s="435"/>
      <c r="F70" s="435"/>
      <c r="G70" s="829"/>
      <c r="H70" s="1651"/>
      <c r="I70" s="435" t="s">
        <v>3425</v>
      </c>
    </row>
    <row r="71" spans="1:10">
      <c r="A71" s="818"/>
      <c r="B71" s="1651"/>
      <c r="C71" s="848"/>
      <c r="D71" s="843"/>
      <c r="E71" s="1651" t="s">
        <v>3482</v>
      </c>
      <c r="F71" s="831">
        <v>1</v>
      </c>
      <c r="G71" s="829">
        <v>211</v>
      </c>
      <c r="H71" s="832"/>
      <c r="I71" s="435"/>
    </row>
    <row r="72" spans="1:10">
      <c r="A72" s="818"/>
      <c r="B72" s="1651">
        <v>16</v>
      </c>
      <c r="C72" s="848">
        <v>12</v>
      </c>
      <c r="D72" s="843"/>
      <c r="E72" s="435"/>
      <c r="F72" s="435"/>
      <c r="G72" s="1651"/>
      <c r="H72" s="832">
        <f>G71*F71</f>
        <v>211</v>
      </c>
      <c r="I72" s="435"/>
    </row>
    <row r="73" spans="1:10">
      <c r="A73" s="818"/>
      <c r="B73" s="1651"/>
      <c r="C73" s="848">
        <v>0.4</v>
      </c>
      <c r="D73" s="843"/>
      <c r="E73" s="435"/>
      <c r="F73" s="435"/>
      <c r="G73" s="829"/>
      <c r="H73" s="1651"/>
      <c r="I73" s="435" t="s">
        <v>3426</v>
      </c>
    </row>
    <row r="74" spans="1:10">
      <c r="A74" s="818"/>
      <c r="B74" s="839"/>
      <c r="C74" s="935"/>
      <c r="D74" s="838">
        <f>C73*C72*B72</f>
        <v>76.800000000000011</v>
      </c>
      <c r="E74" s="839" t="s">
        <v>3481</v>
      </c>
      <c r="F74" s="831">
        <v>1</v>
      </c>
      <c r="G74" s="829">
        <v>91</v>
      </c>
      <c r="H74" s="832"/>
      <c r="I74" s="435"/>
    </row>
    <row r="75" spans="1:10">
      <c r="A75" s="818"/>
      <c r="B75" s="435"/>
      <c r="C75" s="1651"/>
      <c r="D75" s="1651"/>
      <c r="E75" s="435"/>
      <c r="F75" s="435"/>
      <c r="G75" s="1651"/>
      <c r="H75" s="832">
        <f>G74*F74</f>
        <v>91</v>
      </c>
      <c r="I75" s="435"/>
    </row>
    <row r="76" spans="1:10">
      <c r="A76" s="818"/>
      <c r="B76" s="1651"/>
      <c r="C76" s="848"/>
      <c r="D76" s="843"/>
      <c r="E76" s="1651" t="s">
        <v>3483</v>
      </c>
      <c r="F76" s="435"/>
      <c r="G76" s="1651"/>
      <c r="H76" s="1651"/>
      <c r="I76" s="435"/>
    </row>
    <row r="77" spans="1:10">
      <c r="A77" s="818"/>
      <c r="B77" s="1651">
        <v>16</v>
      </c>
      <c r="C77" s="848">
        <v>1.2</v>
      </c>
      <c r="D77" s="843"/>
      <c r="E77" s="435"/>
      <c r="F77" s="839"/>
      <c r="G77" s="935"/>
      <c r="H77" s="838">
        <f>SUM(H69:H75)</f>
        <v>365.6</v>
      </c>
      <c r="I77" s="839" t="s">
        <v>3376</v>
      </c>
    </row>
    <row r="78" spans="1:10">
      <c r="A78" s="818"/>
      <c r="B78" s="1651"/>
      <c r="C78" s="848">
        <v>0.25</v>
      </c>
      <c r="D78" s="843"/>
      <c r="E78" s="435"/>
      <c r="F78" s="831"/>
      <c r="G78" s="829"/>
      <c r="H78" s="832"/>
      <c r="I78" s="435"/>
    </row>
    <row r="79" spans="1:10">
      <c r="A79" s="818"/>
      <c r="B79" s="839"/>
      <c r="C79" s="935"/>
      <c r="D79" s="838">
        <f>C78*C77*B77</f>
        <v>4.8</v>
      </c>
      <c r="E79" s="839" t="s">
        <v>3484</v>
      </c>
      <c r="F79" s="831"/>
      <c r="G79" s="829"/>
      <c r="H79" s="832"/>
      <c r="I79" s="435"/>
    </row>
    <row r="80" spans="1:10">
      <c r="A80" s="818"/>
      <c r="B80" s="831"/>
      <c r="C80" s="829"/>
      <c r="D80" s="832"/>
      <c r="E80" s="1651"/>
      <c r="F80" s="831"/>
      <c r="G80" s="829"/>
      <c r="H80" s="832"/>
      <c r="I80" s="435"/>
    </row>
    <row r="81" spans="1:9">
      <c r="A81" s="818"/>
      <c r="B81" s="1651"/>
      <c r="C81" s="848"/>
      <c r="D81" s="843"/>
      <c r="E81" s="1651" t="s">
        <v>3526</v>
      </c>
      <c r="F81" s="831"/>
      <c r="G81" s="829"/>
      <c r="H81" s="832"/>
      <c r="I81" s="435"/>
    </row>
    <row r="82" spans="1:9">
      <c r="A82" s="818"/>
      <c r="B82" s="1651">
        <v>12</v>
      </c>
      <c r="C82" s="848">
        <v>4</v>
      </c>
      <c r="D82" s="843"/>
      <c r="E82" s="435"/>
      <c r="F82" s="831"/>
      <c r="G82" s="829"/>
      <c r="H82" s="832"/>
      <c r="I82" s="435"/>
    </row>
    <row r="83" spans="1:9">
      <c r="A83" s="818"/>
      <c r="B83" s="1651"/>
      <c r="C83" s="848">
        <v>0.25</v>
      </c>
      <c r="D83" s="843"/>
      <c r="E83" s="435"/>
      <c r="F83" s="831"/>
      <c r="G83" s="829"/>
      <c r="H83" s="832"/>
      <c r="I83" s="435"/>
    </row>
    <row r="84" spans="1:9">
      <c r="A84" s="818"/>
      <c r="B84" s="839"/>
      <c r="C84" s="935"/>
      <c r="D84" s="838">
        <f>C83*C82*B82</f>
        <v>12</v>
      </c>
      <c r="E84" s="839" t="s">
        <v>3523</v>
      </c>
      <c r="F84" s="831"/>
      <c r="G84" s="829"/>
      <c r="H84" s="832"/>
      <c r="I84" s="435"/>
    </row>
    <row r="85" spans="1:9">
      <c r="A85" s="818"/>
      <c r="B85" s="831"/>
      <c r="C85" s="829"/>
      <c r="D85" s="832"/>
      <c r="E85" s="435"/>
      <c r="F85" s="831"/>
      <c r="G85" s="829"/>
      <c r="H85" s="832"/>
      <c r="I85" s="435"/>
    </row>
    <row r="86" spans="1:9">
      <c r="A86" s="818"/>
      <c r="B86" s="831"/>
      <c r="C86" s="829"/>
      <c r="D86" s="832"/>
      <c r="E86" s="1651" t="s">
        <v>3524</v>
      </c>
      <c r="F86" s="831"/>
      <c r="G86" s="829"/>
      <c r="H86" s="832"/>
      <c r="I86" s="435"/>
    </row>
    <row r="87" spans="1:9">
      <c r="A87" s="818"/>
      <c r="B87" s="1651">
        <v>4</v>
      </c>
      <c r="C87" s="848">
        <v>3.5</v>
      </c>
      <c r="D87" s="843"/>
      <c r="E87" s="435"/>
      <c r="F87" s="831"/>
      <c r="G87" s="829"/>
      <c r="H87" s="832"/>
      <c r="I87" s="435"/>
    </row>
    <row r="88" spans="1:9">
      <c r="A88" s="818"/>
      <c r="B88" s="1651"/>
      <c r="C88" s="848">
        <v>0.4</v>
      </c>
      <c r="D88" s="843"/>
      <c r="E88" s="435"/>
      <c r="F88" s="831"/>
      <c r="G88" s="829"/>
      <c r="H88" s="832"/>
      <c r="I88" s="435"/>
    </row>
    <row r="89" spans="1:9">
      <c r="A89" s="818"/>
      <c r="B89" s="839"/>
      <c r="C89" s="935"/>
      <c r="D89" s="838">
        <f>C88*C87*B87</f>
        <v>5.6000000000000005</v>
      </c>
      <c r="E89" s="839" t="s">
        <v>3525</v>
      </c>
      <c r="F89" s="831"/>
      <c r="G89" s="829"/>
      <c r="H89" s="832"/>
      <c r="I89" s="435"/>
    </row>
    <row r="90" spans="1:9">
      <c r="A90" s="818"/>
      <c r="B90" s="831"/>
      <c r="C90" s="829"/>
      <c r="D90" s="832"/>
      <c r="E90" s="435"/>
      <c r="F90" s="831"/>
      <c r="G90" s="829"/>
      <c r="H90" s="832"/>
      <c r="I90" s="435"/>
    </row>
    <row r="91" spans="1:9">
      <c r="A91" s="818"/>
      <c r="B91" s="831"/>
      <c r="C91" s="829"/>
      <c r="D91" s="832"/>
      <c r="E91" s="435"/>
      <c r="F91" s="831"/>
      <c r="G91" s="829"/>
      <c r="H91" s="832"/>
      <c r="I91" s="435"/>
    </row>
    <row r="92" spans="1:9">
      <c r="A92" s="818"/>
      <c r="B92" s="831"/>
      <c r="C92" s="829"/>
      <c r="D92" s="832"/>
      <c r="E92" s="435"/>
      <c r="F92" s="831"/>
      <c r="G92" s="829"/>
      <c r="H92" s="832"/>
      <c r="I92" s="435"/>
    </row>
    <row r="93" spans="1:9">
      <c r="A93" s="818"/>
      <c r="B93" s="831"/>
      <c r="C93" s="829"/>
      <c r="D93" s="832"/>
      <c r="E93" s="435"/>
      <c r="F93" s="831"/>
      <c r="G93" s="829"/>
      <c r="H93" s="832"/>
      <c r="I93" s="435"/>
    </row>
    <row r="94" spans="1:9">
      <c r="A94" s="818"/>
      <c r="B94" s="831"/>
      <c r="C94" s="829"/>
      <c r="D94" s="832"/>
      <c r="E94" s="435"/>
      <c r="F94" s="831"/>
      <c r="G94" s="829"/>
      <c r="H94" s="832"/>
      <c r="I94" s="435"/>
    </row>
    <row r="95" spans="1:9">
      <c r="A95" s="818"/>
      <c r="B95" s="831"/>
      <c r="C95" s="829"/>
      <c r="D95" s="832"/>
      <c r="E95" s="435"/>
      <c r="F95" s="831"/>
      <c r="G95" s="829"/>
      <c r="H95" s="832"/>
      <c r="I95" s="435"/>
    </row>
    <row r="96" spans="1:9">
      <c r="A96" s="818"/>
      <c r="B96" s="831"/>
      <c r="C96" s="829"/>
      <c r="D96" s="832"/>
      <c r="E96" s="435"/>
      <c r="F96" s="831"/>
      <c r="G96" s="829"/>
      <c r="H96" s="832"/>
      <c r="I96" s="435"/>
    </row>
    <row r="97" spans="1:9">
      <c r="A97" s="818"/>
      <c r="B97" s="831"/>
      <c r="C97" s="829"/>
      <c r="D97" s="832"/>
      <c r="E97" s="435"/>
      <c r="F97" s="831"/>
      <c r="G97" s="829"/>
      <c r="H97" s="832"/>
      <c r="I97" s="435"/>
    </row>
    <row r="98" spans="1:9">
      <c r="A98" s="818"/>
      <c r="B98" s="831"/>
      <c r="C98" s="829"/>
      <c r="D98" s="832"/>
      <c r="E98" s="435"/>
      <c r="F98" s="831"/>
      <c r="G98" s="829"/>
      <c r="H98" s="832"/>
      <c r="I98" s="435"/>
    </row>
    <row r="99" spans="1:9">
      <c r="A99" s="818"/>
      <c r="B99" s="831"/>
      <c r="C99" s="829"/>
      <c r="D99" s="832"/>
      <c r="E99" s="435"/>
      <c r="F99" s="831"/>
      <c r="G99" s="829"/>
      <c r="H99" s="832"/>
      <c r="I99" s="435"/>
    </row>
    <row r="100" spans="1:9">
      <c r="A100" s="818"/>
      <c r="B100" s="831"/>
      <c r="C100" s="829"/>
      <c r="D100" s="832"/>
      <c r="E100" s="435"/>
      <c r="F100" s="831"/>
      <c r="G100" s="829"/>
      <c r="H100" s="832"/>
      <c r="I100" s="435"/>
    </row>
    <row r="101" spans="1:9">
      <c r="A101" s="818"/>
      <c r="B101" s="831"/>
      <c r="C101" s="829"/>
      <c r="D101" s="832"/>
      <c r="E101" s="435"/>
      <c r="F101" s="831"/>
      <c r="G101" s="829"/>
      <c r="H101" s="832"/>
      <c r="I101" s="435"/>
    </row>
    <row r="102" spans="1:9">
      <c r="A102" s="818"/>
      <c r="B102" s="831"/>
      <c r="C102" s="829"/>
      <c r="D102" s="832"/>
      <c r="E102" s="435"/>
      <c r="F102" s="831"/>
      <c r="G102" s="829"/>
      <c r="H102" s="832"/>
      <c r="I102" s="435"/>
    </row>
    <row r="103" spans="1:9">
      <c r="B103" s="831"/>
      <c r="C103" s="829"/>
      <c r="D103" s="832"/>
      <c r="E103" s="435"/>
      <c r="F103" s="831"/>
      <c r="G103" s="829"/>
      <c r="H103" s="832"/>
      <c r="I103" s="435"/>
    </row>
    <row r="104" spans="1:9" s="966" customFormat="1">
      <c r="A104" s="965"/>
      <c r="B104" s="831"/>
      <c r="C104" s="829"/>
      <c r="D104" s="832"/>
      <c r="E104" s="435"/>
      <c r="F104" s="831"/>
      <c r="G104" s="829"/>
      <c r="H104" s="832"/>
      <c r="I104" s="435"/>
    </row>
    <row r="105" spans="1:9">
      <c r="A105" s="818"/>
      <c r="B105" s="831"/>
      <c r="C105" s="829"/>
      <c r="D105" s="832"/>
      <c r="E105" s="435"/>
      <c r="F105" s="831"/>
      <c r="G105" s="829"/>
      <c r="H105" s="832"/>
      <c r="I105" s="435"/>
    </row>
    <row r="106" spans="1:9">
      <c r="A106" s="818"/>
      <c r="B106" s="831"/>
      <c r="C106" s="829"/>
      <c r="D106" s="832"/>
      <c r="E106" s="435"/>
      <c r="F106" s="831"/>
      <c r="G106" s="829"/>
      <c r="H106" s="832"/>
      <c r="I106" s="435"/>
    </row>
    <row r="107" spans="1:9">
      <c r="A107" s="818"/>
      <c r="B107" s="831"/>
      <c r="C107" s="829"/>
      <c r="D107" s="832"/>
      <c r="E107" s="435"/>
      <c r="F107" s="831"/>
      <c r="G107" s="829"/>
      <c r="H107" s="832"/>
      <c r="I107" s="435"/>
    </row>
    <row r="108" spans="1:9">
      <c r="A108" s="818"/>
      <c r="B108" s="831"/>
      <c r="C108" s="829"/>
      <c r="D108" s="832"/>
      <c r="E108" s="435"/>
      <c r="F108" s="831"/>
      <c r="G108" s="829"/>
      <c r="H108" s="832"/>
      <c r="I108" s="435"/>
    </row>
    <row r="109" spans="1:9">
      <c r="A109" s="818"/>
      <c r="B109" s="831"/>
      <c r="C109" s="829"/>
      <c r="D109" s="832"/>
      <c r="E109" s="435"/>
      <c r="F109" s="435"/>
      <c r="G109" s="435"/>
      <c r="H109" s="435"/>
      <c r="I109" s="435"/>
    </row>
    <row r="110" spans="1:9">
      <c r="A110" s="818"/>
      <c r="B110" s="831"/>
      <c r="C110" s="829"/>
      <c r="D110" s="832"/>
      <c r="E110" s="435"/>
      <c r="F110" s="831"/>
      <c r="G110" s="829"/>
      <c r="H110" s="832"/>
      <c r="I110" s="435"/>
    </row>
    <row r="111" spans="1:9">
      <c r="A111" s="818"/>
      <c r="B111" s="831"/>
      <c r="C111" s="829"/>
      <c r="D111" s="832"/>
      <c r="E111" s="1651"/>
      <c r="F111" s="435"/>
      <c r="G111" s="829"/>
      <c r="H111" s="832"/>
      <c r="I111" s="435"/>
    </row>
    <row r="112" spans="1:9">
      <c r="A112" s="818"/>
      <c r="B112" s="831"/>
      <c r="C112" s="829"/>
      <c r="D112" s="832"/>
      <c r="E112" s="435"/>
      <c r="F112" s="831"/>
      <c r="G112" s="829"/>
      <c r="H112" s="832"/>
      <c r="I112" s="435"/>
    </row>
    <row r="113" spans="1:9">
      <c r="A113" s="818"/>
      <c r="B113" s="831"/>
      <c r="C113" s="829"/>
      <c r="D113" s="832"/>
      <c r="E113" s="435"/>
      <c r="F113" s="831"/>
      <c r="G113" s="829"/>
      <c r="H113" s="832"/>
      <c r="I113" s="435"/>
    </row>
    <row r="114" spans="1:9">
      <c r="A114" s="818"/>
      <c r="B114" s="831"/>
      <c r="C114" s="829"/>
      <c r="D114" s="832"/>
      <c r="E114" s="435"/>
      <c r="F114" s="831"/>
      <c r="G114" s="829"/>
      <c r="H114" s="832"/>
      <c r="I114" s="435"/>
    </row>
    <row r="115" spans="1:9">
      <c r="A115" s="818"/>
      <c r="B115" s="831"/>
      <c r="C115" s="829"/>
      <c r="D115" s="832"/>
      <c r="E115" s="435"/>
      <c r="F115" s="831"/>
      <c r="G115" s="829"/>
      <c r="H115" s="832"/>
      <c r="I115" s="435"/>
    </row>
    <row r="116" spans="1:9">
      <c r="A116" s="818"/>
      <c r="B116" s="831"/>
      <c r="C116" s="829"/>
      <c r="D116" s="832"/>
      <c r="E116" s="435"/>
      <c r="F116" s="831"/>
      <c r="G116" s="829"/>
      <c r="H116" s="832"/>
      <c r="I116" s="435"/>
    </row>
    <row r="117" spans="1:9">
      <c r="A117" s="818"/>
      <c r="B117" s="831"/>
      <c r="C117" s="829"/>
      <c r="D117" s="832"/>
      <c r="E117" s="435"/>
      <c r="F117" s="831"/>
      <c r="G117" s="829"/>
      <c r="H117" s="832"/>
      <c r="I117" s="435"/>
    </row>
    <row r="118" spans="1:9">
      <c r="A118" s="818"/>
      <c r="B118" s="831"/>
      <c r="C118" s="829"/>
      <c r="D118" s="832"/>
      <c r="E118" s="435"/>
      <c r="F118" s="831"/>
      <c r="G118" s="829"/>
      <c r="H118" s="832"/>
      <c r="I118" s="435"/>
    </row>
    <row r="119" spans="1:9">
      <c r="A119" s="818"/>
      <c r="B119" s="831"/>
      <c r="C119" s="829"/>
      <c r="D119" s="832"/>
      <c r="E119" s="435"/>
      <c r="F119" s="831"/>
      <c r="G119" s="829"/>
      <c r="H119" s="832"/>
      <c r="I119" s="435"/>
    </row>
    <row r="120" spans="1:9">
      <c r="A120" s="818"/>
      <c r="B120" s="831"/>
      <c r="C120" s="829"/>
      <c r="D120" s="832"/>
      <c r="E120" s="435"/>
      <c r="F120" s="831"/>
      <c r="G120" s="829"/>
      <c r="H120" s="832"/>
      <c r="I120" s="435"/>
    </row>
    <row r="121" spans="1:9">
      <c r="A121" s="818"/>
      <c r="B121" s="831"/>
      <c r="C121" s="829"/>
      <c r="D121" s="832"/>
      <c r="E121" s="435"/>
      <c r="F121" s="435"/>
      <c r="G121" s="435"/>
      <c r="H121" s="435"/>
      <c r="I121" s="435"/>
    </row>
    <row r="122" spans="1:9">
      <c r="A122" s="818"/>
      <c r="B122" s="109"/>
      <c r="C122" s="860"/>
      <c r="D122" s="860"/>
      <c r="E122" s="109"/>
      <c r="F122" s="849"/>
      <c r="G122" s="850"/>
      <c r="H122" s="851"/>
      <c r="I122" s="109"/>
    </row>
  </sheetData>
  <mergeCells count="6">
    <mergeCell ref="B1:E1"/>
    <mergeCell ref="B2:E2"/>
    <mergeCell ref="B3:F3"/>
    <mergeCell ref="H3:I3"/>
    <mergeCell ref="B4:E4"/>
    <mergeCell ref="H4:I4"/>
  </mergeCells>
  <pageMargins left="0.45" right="0.2" top="0.25" bottom="0.25" header="0.3" footer="0.3"/>
  <pageSetup scale="72" orientation="portrait" r:id="rId1"/>
  <headerFooter>
    <oddHeader>&amp;CPage &amp;P of &amp;N</oddHeader>
    <oddFooter xml:space="preserve">&amp;L&amp;14Contructor: - &amp;USelam D.
Office Engineer&amp;C&amp;14Consultant: - &amp;UDawit T.
Resident Engineer&amp;R&amp;14Client: -_____________&amp;U    </oddFooter>
  </headerFooter>
  <rowBreaks count="1" manualBreakCount="1">
    <brk id="64" max="9" man="1"/>
  </rowBreak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view="pageBreakPreview" zoomScale="60" zoomScalePageLayoutView="85" workbookViewId="0">
      <selection activeCell="P23" sqref="P23"/>
    </sheetView>
  </sheetViews>
  <sheetFormatPr defaultRowHeight="15"/>
  <cols>
    <col min="1" max="1" width="9" style="388" customWidth="1"/>
    <col min="2" max="2" width="28.28515625" style="388" customWidth="1"/>
    <col min="3" max="3" width="15.42578125" style="388" customWidth="1"/>
    <col min="4" max="4" width="16.7109375" style="388" customWidth="1"/>
    <col min="5" max="5" width="13.42578125" style="388" customWidth="1"/>
    <col min="6" max="6" width="14.85546875" style="388" customWidth="1"/>
    <col min="7" max="7" width="17.5703125" style="388" customWidth="1"/>
    <col min="8" max="8" width="20" style="388" customWidth="1"/>
    <col min="9" max="9" width="14.5703125" style="388" customWidth="1"/>
    <col min="10" max="10" width="15.140625" style="388" customWidth="1"/>
    <col min="11" max="11" width="15.5703125" style="388" customWidth="1"/>
    <col min="12" max="12" width="8" style="388" customWidth="1"/>
    <col min="13" max="16384" width="9.140625" style="388"/>
  </cols>
  <sheetData>
    <row r="1" spans="1:12" s="1088" customFormat="1" ht="21">
      <c r="B1" s="2426" t="s">
        <v>2731</v>
      </c>
      <c r="C1" s="2426"/>
      <c r="D1" s="2426"/>
      <c r="E1" s="2426"/>
      <c r="F1" s="1087"/>
      <c r="G1" s="1654"/>
      <c r="H1" s="1090"/>
      <c r="I1" s="1090"/>
    </row>
    <row r="2" spans="1:12" s="1088" customFormat="1" ht="21">
      <c r="B2" s="2426" t="s">
        <v>1822</v>
      </c>
      <c r="C2" s="2426"/>
      <c r="D2" s="2426"/>
      <c r="E2" s="2426"/>
      <c r="F2" s="1087"/>
      <c r="G2" s="1090"/>
      <c r="H2" s="1090"/>
      <c r="I2" s="1090"/>
    </row>
    <row r="3" spans="1:12" s="1088" customFormat="1" ht="21">
      <c r="B3" s="2427" t="s">
        <v>1823</v>
      </c>
      <c r="C3" s="2427"/>
      <c r="D3" s="2427"/>
      <c r="E3" s="2427"/>
      <c r="F3" s="1087"/>
    </row>
    <row r="4" spans="1:12" s="1088" customFormat="1" ht="21">
      <c r="B4" s="2428" t="s">
        <v>1870</v>
      </c>
      <c r="C4" s="2428"/>
      <c r="D4" s="2428"/>
      <c r="E4" s="2428"/>
      <c r="F4" s="1087"/>
    </row>
    <row r="5" spans="1:12" s="1088" customFormat="1" ht="21.75" thickBot="1">
      <c r="B5" s="1653"/>
      <c r="C5" s="1653"/>
      <c r="D5" s="1653"/>
      <c r="F5" s="1087"/>
      <c r="G5" s="2429" t="s">
        <v>2732</v>
      </c>
      <c r="H5" s="2429"/>
      <c r="I5" s="1091" t="s">
        <v>3485</v>
      </c>
    </row>
    <row r="6" spans="1:12" ht="21.75" thickTop="1">
      <c r="A6" s="536"/>
      <c r="B6" s="2418" t="s">
        <v>293</v>
      </c>
      <c r="C6" s="2420" t="s">
        <v>2777</v>
      </c>
      <c r="D6" s="2420" t="s">
        <v>3492</v>
      </c>
      <c r="E6" s="2422" t="s">
        <v>2779</v>
      </c>
      <c r="F6" s="2424" t="s">
        <v>2780</v>
      </c>
      <c r="G6" s="2415" t="s">
        <v>2781</v>
      </c>
      <c r="H6" s="2416"/>
      <c r="I6" s="2416"/>
      <c r="J6" s="2416"/>
      <c r="K6" s="2417"/>
      <c r="L6" s="536"/>
    </row>
    <row r="7" spans="1:12" ht="21.75" thickBot="1">
      <c r="A7" s="536"/>
      <c r="B7" s="2419"/>
      <c r="C7" s="2421"/>
      <c r="D7" s="2421"/>
      <c r="E7" s="2423"/>
      <c r="F7" s="2425"/>
      <c r="G7" s="1652">
        <v>6</v>
      </c>
      <c r="H7" s="1652">
        <v>8</v>
      </c>
      <c r="I7" s="1652">
        <v>10</v>
      </c>
      <c r="J7" s="1094">
        <v>12</v>
      </c>
      <c r="K7" s="1095">
        <v>14</v>
      </c>
      <c r="L7" s="536"/>
    </row>
    <row r="8" spans="1:12" s="635" customFormat="1" ht="21.75" thickTop="1">
      <c r="A8" s="536"/>
      <c r="B8" s="1081" t="s">
        <v>3486</v>
      </c>
      <c r="C8" s="1102">
        <v>12</v>
      </c>
      <c r="D8" s="1139">
        <v>1.3</v>
      </c>
      <c r="E8" s="1140">
        <v>6</v>
      </c>
      <c r="F8" s="1139">
        <v>4</v>
      </c>
      <c r="G8" s="1099" t="str">
        <f>IF(C8=10,F8*D8*E8,"""")</f>
        <v>"</v>
      </c>
      <c r="H8" s="1099" t="str">
        <f>IF(C8=8,F8*D8*E8,"""")</f>
        <v>"</v>
      </c>
      <c r="I8" s="1099" t="str">
        <f>IF(C8=10,C8*D8*E8,"""")</f>
        <v>"</v>
      </c>
      <c r="J8" s="1099">
        <f>IF(C8=12,D8*E8*F8,"""")</f>
        <v>31.200000000000003</v>
      </c>
      <c r="K8" s="1100" t="str">
        <f>IF(C8=14,E8*F8*D8,"""")</f>
        <v>"</v>
      </c>
      <c r="L8" s="536"/>
    </row>
    <row r="9" spans="1:12" ht="21">
      <c r="A9" s="536"/>
      <c r="B9" s="1101"/>
      <c r="C9" s="1102">
        <v>12</v>
      </c>
      <c r="D9" s="1102">
        <v>1.3</v>
      </c>
      <c r="E9" s="1103">
        <v>6</v>
      </c>
      <c r="F9" s="1102">
        <v>4</v>
      </c>
      <c r="G9" s="1099" t="str">
        <f t="shared" ref="G9:G26" si="0">IF(C9=10,F9*D9*E9,"""")</f>
        <v>"</v>
      </c>
      <c r="H9" s="1099" t="str">
        <f t="shared" ref="H9:H26" si="1">IF(C9=8,F9*D9*E9,"""")</f>
        <v>"</v>
      </c>
      <c r="I9" s="1099" t="str">
        <f t="shared" ref="I9:I26" si="2">IF(C9=10,C9*D9*E9,"""")</f>
        <v>"</v>
      </c>
      <c r="J9" s="1099">
        <f t="shared" ref="J9:J26" si="3">IF(C9=12,D9*E9*F9,"""")</f>
        <v>31.200000000000003</v>
      </c>
      <c r="K9" s="1100" t="str">
        <f t="shared" ref="K9:K26" si="4">IF(C9=14,E9*F9*D9,"""")</f>
        <v>"</v>
      </c>
      <c r="L9" s="536"/>
    </row>
    <row r="10" spans="1:12" ht="21">
      <c r="A10" s="536"/>
      <c r="B10" s="1104" t="s">
        <v>3487</v>
      </c>
      <c r="C10" s="1102">
        <v>14</v>
      </c>
      <c r="D10" s="1102">
        <v>3</v>
      </c>
      <c r="E10" s="1103">
        <v>4</v>
      </c>
      <c r="F10" s="1102">
        <v>4</v>
      </c>
      <c r="G10" s="1099" t="str">
        <f t="shared" si="0"/>
        <v>"</v>
      </c>
      <c r="H10" s="1099" t="str">
        <f t="shared" si="1"/>
        <v>"</v>
      </c>
      <c r="I10" s="1099" t="str">
        <f>IF(C10=10,C10*D10*E10,"""")</f>
        <v>"</v>
      </c>
      <c r="J10" s="1099" t="str">
        <f t="shared" si="3"/>
        <v>"</v>
      </c>
      <c r="K10" s="1100">
        <f t="shared" si="4"/>
        <v>48</v>
      </c>
      <c r="L10" s="536"/>
    </row>
    <row r="11" spans="1:12" ht="21">
      <c r="A11" s="536"/>
      <c r="B11" s="1104" t="s">
        <v>3488</v>
      </c>
      <c r="C11" s="1102">
        <v>8</v>
      </c>
      <c r="D11" s="1099">
        <v>1</v>
      </c>
      <c r="E11" s="1103">
        <v>12</v>
      </c>
      <c r="F11" s="1102">
        <v>4</v>
      </c>
      <c r="G11" s="1099" t="str">
        <f t="shared" si="0"/>
        <v>"</v>
      </c>
      <c r="H11" s="1099">
        <f t="shared" si="1"/>
        <v>48</v>
      </c>
      <c r="I11" s="1099" t="str">
        <f t="shared" si="2"/>
        <v>"</v>
      </c>
      <c r="J11" s="1099" t="str">
        <f t="shared" si="3"/>
        <v>"</v>
      </c>
      <c r="K11" s="1100" t="str">
        <f t="shared" si="4"/>
        <v>"</v>
      </c>
      <c r="L11" s="536"/>
    </row>
    <row r="12" spans="1:12" ht="21">
      <c r="A12" s="536"/>
      <c r="B12" s="1104" t="s">
        <v>3489</v>
      </c>
      <c r="C12" s="1102">
        <v>12</v>
      </c>
      <c r="D12" s="1102">
        <v>4</v>
      </c>
      <c r="E12" s="1103">
        <v>6</v>
      </c>
      <c r="F12" s="1102">
        <v>4</v>
      </c>
      <c r="G12" s="1099" t="str">
        <f t="shared" si="0"/>
        <v>"</v>
      </c>
      <c r="H12" s="1099" t="str">
        <f t="shared" si="1"/>
        <v>"</v>
      </c>
      <c r="I12" s="1099" t="str">
        <f t="shared" si="2"/>
        <v>"</v>
      </c>
      <c r="J12" s="1099">
        <f t="shared" si="3"/>
        <v>96</v>
      </c>
      <c r="K12" s="1100" t="str">
        <f t="shared" si="4"/>
        <v>"</v>
      </c>
      <c r="L12" s="536"/>
    </row>
    <row r="13" spans="1:12" ht="21">
      <c r="A13" s="536"/>
      <c r="B13" s="1104"/>
      <c r="C13" s="1102">
        <v>12</v>
      </c>
      <c r="D13" s="1102">
        <v>3.85</v>
      </c>
      <c r="E13" s="1103">
        <v>6</v>
      </c>
      <c r="F13" s="1102">
        <v>8</v>
      </c>
      <c r="G13" s="1099" t="str">
        <f t="shared" si="0"/>
        <v>"</v>
      </c>
      <c r="H13" s="1099" t="str">
        <f t="shared" si="1"/>
        <v>"</v>
      </c>
      <c r="I13" s="1099" t="str">
        <f t="shared" si="2"/>
        <v>"</v>
      </c>
      <c r="J13" s="1099">
        <f t="shared" si="3"/>
        <v>184.8</v>
      </c>
      <c r="K13" s="1100" t="str">
        <f t="shared" si="4"/>
        <v>"</v>
      </c>
      <c r="L13" s="536"/>
    </row>
    <row r="14" spans="1:12" ht="21">
      <c r="A14" s="536"/>
      <c r="B14" s="1104"/>
      <c r="C14" s="1102">
        <v>14</v>
      </c>
      <c r="D14" s="1102">
        <v>3.85</v>
      </c>
      <c r="E14" s="1103">
        <v>6</v>
      </c>
      <c r="F14" s="1102">
        <v>4</v>
      </c>
      <c r="G14" s="1099" t="str">
        <f t="shared" ref="G14:G16" si="5">IF(C14=10,F14*D14*E14,"""")</f>
        <v>"</v>
      </c>
      <c r="H14" s="1099" t="str">
        <f t="shared" ref="H14:H16" si="6">IF(C14=8,F14*D14*E14,"""")</f>
        <v>"</v>
      </c>
      <c r="I14" s="1099" t="str">
        <f t="shared" ref="I14:I16" si="7">IF(C14=10,C14*D14*E14,"""")</f>
        <v>"</v>
      </c>
      <c r="J14" s="1099" t="str">
        <f t="shared" ref="J14:J16" si="8">IF(C14=12,D14*E14*F14,"""")</f>
        <v>"</v>
      </c>
      <c r="K14" s="1100">
        <f t="shared" ref="K14:K16" si="9">IF(C14=14,E14*F14*D14,"""")</f>
        <v>92.4</v>
      </c>
      <c r="L14" s="536"/>
    </row>
    <row r="15" spans="1:12" ht="21">
      <c r="A15" s="536"/>
      <c r="B15" s="1104" t="s">
        <v>3488</v>
      </c>
      <c r="C15" s="1102">
        <v>8</v>
      </c>
      <c r="D15" s="1102">
        <v>1.5</v>
      </c>
      <c r="E15" s="1103">
        <v>16</v>
      </c>
      <c r="F15" s="1102">
        <v>16</v>
      </c>
      <c r="G15" s="1099" t="str">
        <f t="shared" si="5"/>
        <v>"</v>
      </c>
      <c r="H15" s="1099">
        <f t="shared" si="6"/>
        <v>384</v>
      </c>
      <c r="I15" s="1099" t="str">
        <f t="shared" si="7"/>
        <v>"</v>
      </c>
      <c r="J15" s="1099" t="str">
        <f t="shared" si="8"/>
        <v>"</v>
      </c>
      <c r="K15" s="1100" t="str">
        <f t="shared" si="9"/>
        <v>"</v>
      </c>
      <c r="L15" s="536"/>
    </row>
    <row r="16" spans="1:12" ht="21">
      <c r="A16" s="536"/>
      <c r="B16" s="1104" t="s">
        <v>3490</v>
      </c>
      <c r="C16" s="1102">
        <v>14</v>
      </c>
      <c r="D16" s="1102">
        <v>4</v>
      </c>
      <c r="E16" s="1103">
        <v>4</v>
      </c>
      <c r="F16" s="1102">
        <v>3</v>
      </c>
      <c r="G16" s="1099" t="str">
        <f t="shared" si="5"/>
        <v>"</v>
      </c>
      <c r="H16" s="1099" t="str">
        <f t="shared" si="6"/>
        <v>"</v>
      </c>
      <c r="I16" s="1099" t="str">
        <f t="shared" si="7"/>
        <v>"</v>
      </c>
      <c r="J16" s="1099" t="str">
        <f t="shared" si="8"/>
        <v>"</v>
      </c>
      <c r="K16" s="1100">
        <f t="shared" si="9"/>
        <v>48</v>
      </c>
      <c r="L16" s="536"/>
    </row>
    <row r="17" spans="1:12" ht="21">
      <c r="A17" s="536"/>
      <c r="B17" s="1104"/>
      <c r="C17" s="1102">
        <v>14</v>
      </c>
      <c r="D17" s="1102">
        <v>3.6</v>
      </c>
      <c r="E17" s="1103">
        <v>4</v>
      </c>
      <c r="F17" s="1102">
        <v>1</v>
      </c>
      <c r="G17" s="1099" t="str">
        <f t="shared" si="0"/>
        <v>"</v>
      </c>
      <c r="H17" s="1099" t="str">
        <f t="shared" si="1"/>
        <v>"</v>
      </c>
      <c r="I17" s="1099" t="str">
        <f t="shared" si="2"/>
        <v>"</v>
      </c>
      <c r="J17" s="1099" t="str">
        <f t="shared" si="3"/>
        <v>"</v>
      </c>
      <c r="K17" s="1100">
        <f t="shared" si="4"/>
        <v>14.4</v>
      </c>
      <c r="L17" s="536"/>
    </row>
    <row r="18" spans="1:12" ht="21">
      <c r="A18" s="536"/>
      <c r="B18" s="1104" t="s">
        <v>3488</v>
      </c>
      <c r="C18" s="1102">
        <v>8</v>
      </c>
      <c r="D18" s="1102">
        <v>1</v>
      </c>
      <c r="E18" s="1103">
        <v>19</v>
      </c>
      <c r="F18" s="1102">
        <v>4</v>
      </c>
      <c r="G18" s="1099" t="str">
        <f t="shared" si="0"/>
        <v>"</v>
      </c>
      <c r="H18" s="1099">
        <f t="shared" si="1"/>
        <v>76</v>
      </c>
      <c r="I18" s="1099" t="str">
        <f t="shared" si="2"/>
        <v>"</v>
      </c>
      <c r="J18" s="1099" t="str">
        <f t="shared" si="3"/>
        <v>"</v>
      </c>
      <c r="K18" s="1100" t="str">
        <f t="shared" si="4"/>
        <v>"</v>
      </c>
      <c r="L18" s="536"/>
    </row>
    <row r="19" spans="1:12" ht="21">
      <c r="A19" s="536"/>
      <c r="B19" s="1104" t="s">
        <v>3491</v>
      </c>
      <c r="C19" s="1102">
        <v>12</v>
      </c>
      <c r="D19" s="1102">
        <v>5.49</v>
      </c>
      <c r="E19" s="1103">
        <v>21.43</v>
      </c>
      <c r="F19" s="1102">
        <v>1</v>
      </c>
      <c r="G19" s="1099" t="str">
        <f t="shared" si="0"/>
        <v>"</v>
      </c>
      <c r="H19" s="1099" t="str">
        <f t="shared" si="1"/>
        <v>"</v>
      </c>
      <c r="I19" s="1099" t="str">
        <f t="shared" si="2"/>
        <v>"</v>
      </c>
      <c r="J19" s="1099">
        <f t="shared" si="3"/>
        <v>117.6507</v>
      </c>
      <c r="K19" s="1100" t="str">
        <f t="shared" si="4"/>
        <v>"</v>
      </c>
      <c r="L19" s="536"/>
    </row>
    <row r="20" spans="1:12" ht="21">
      <c r="A20" s="536"/>
      <c r="B20" s="1104"/>
      <c r="C20" s="1102">
        <v>12</v>
      </c>
      <c r="D20" s="1102">
        <v>5.49</v>
      </c>
      <c r="E20" s="1103">
        <v>21.43</v>
      </c>
      <c r="F20" s="1102">
        <v>1</v>
      </c>
      <c r="G20" s="1099" t="str">
        <f t="shared" si="0"/>
        <v>"</v>
      </c>
      <c r="H20" s="1099" t="str">
        <f t="shared" si="1"/>
        <v>"</v>
      </c>
      <c r="I20" s="1099" t="str">
        <f t="shared" si="2"/>
        <v>"</v>
      </c>
      <c r="J20" s="1099">
        <f t="shared" si="3"/>
        <v>117.6507</v>
      </c>
      <c r="K20" s="1100" t="str">
        <f t="shared" si="4"/>
        <v>"</v>
      </c>
      <c r="L20" s="536"/>
    </row>
    <row r="21" spans="1:12" ht="21">
      <c r="A21" s="536"/>
      <c r="B21" s="1104"/>
      <c r="C21" s="1102">
        <v>12</v>
      </c>
      <c r="D21" s="1102">
        <v>3</v>
      </c>
      <c r="E21" s="1103">
        <v>2</v>
      </c>
      <c r="F21" s="1102">
        <v>2</v>
      </c>
      <c r="G21" s="1099" t="str">
        <f t="shared" si="0"/>
        <v>"</v>
      </c>
      <c r="H21" s="1099" t="str">
        <f t="shared" si="1"/>
        <v>"</v>
      </c>
      <c r="I21" s="1099" t="str">
        <f t="shared" si="2"/>
        <v>"</v>
      </c>
      <c r="J21" s="1099">
        <f t="shared" si="3"/>
        <v>12</v>
      </c>
      <c r="K21" s="1100" t="str">
        <f t="shared" si="4"/>
        <v>"</v>
      </c>
      <c r="L21" s="536"/>
    </row>
    <row r="22" spans="1:12" ht="21">
      <c r="A22" s="536"/>
      <c r="B22" s="1105"/>
      <c r="C22" s="1102"/>
      <c r="D22" s="1102"/>
      <c r="E22" s="1103"/>
      <c r="F22" s="1102"/>
      <c r="G22" s="1099" t="str">
        <f t="shared" si="0"/>
        <v>"</v>
      </c>
      <c r="H22" s="1099" t="str">
        <f t="shared" si="1"/>
        <v>"</v>
      </c>
      <c r="I22" s="1099" t="str">
        <f t="shared" si="2"/>
        <v>"</v>
      </c>
      <c r="J22" s="1099" t="str">
        <f t="shared" si="3"/>
        <v>"</v>
      </c>
      <c r="K22" s="1100" t="str">
        <f t="shared" si="4"/>
        <v>"</v>
      </c>
      <c r="L22" s="536"/>
    </row>
    <row r="23" spans="1:12" ht="21">
      <c r="A23" s="536"/>
      <c r="B23" s="1106"/>
      <c r="C23" s="1107"/>
      <c r="D23" s="1107"/>
      <c r="E23" s="1108"/>
      <c r="F23" s="1107"/>
      <c r="G23" s="1099" t="str">
        <f t="shared" si="0"/>
        <v>"</v>
      </c>
      <c r="H23" s="1099" t="str">
        <f t="shared" si="1"/>
        <v>"</v>
      </c>
      <c r="I23" s="1099" t="str">
        <f t="shared" si="2"/>
        <v>"</v>
      </c>
      <c r="J23" s="1099" t="str">
        <f t="shared" si="3"/>
        <v>"</v>
      </c>
      <c r="K23" s="1100" t="str">
        <f t="shared" si="4"/>
        <v>"</v>
      </c>
      <c r="L23" s="536"/>
    </row>
    <row r="24" spans="1:12" ht="21">
      <c r="A24" s="1109"/>
      <c r="B24" s="1110"/>
      <c r="C24" s="1107"/>
      <c r="D24" s="1107"/>
      <c r="E24" s="1108"/>
      <c r="F24" s="1107"/>
      <c r="G24" s="1099" t="str">
        <f t="shared" si="0"/>
        <v>"</v>
      </c>
      <c r="H24" s="1099" t="str">
        <f t="shared" si="1"/>
        <v>"</v>
      </c>
      <c r="I24" s="1099" t="str">
        <f t="shared" si="2"/>
        <v>"</v>
      </c>
      <c r="J24" s="1099" t="str">
        <f t="shared" si="3"/>
        <v>"</v>
      </c>
      <c r="K24" s="1100" t="str">
        <f t="shared" si="4"/>
        <v>"</v>
      </c>
      <c r="L24" s="536"/>
    </row>
    <row r="25" spans="1:12" ht="21">
      <c r="A25" s="1111"/>
      <c r="B25" s="1112"/>
      <c r="C25" s="1099"/>
      <c r="D25" s="1099"/>
      <c r="E25" s="1113"/>
      <c r="F25" s="1099"/>
      <c r="G25" s="1099" t="str">
        <f t="shared" si="0"/>
        <v>"</v>
      </c>
      <c r="H25" s="1099" t="str">
        <f t="shared" si="1"/>
        <v>"</v>
      </c>
      <c r="I25" s="1099" t="str">
        <f t="shared" si="2"/>
        <v>"</v>
      </c>
      <c r="J25" s="1099" t="str">
        <f t="shared" si="3"/>
        <v>"</v>
      </c>
      <c r="K25" s="1100" t="str">
        <f t="shared" si="4"/>
        <v>"</v>
      </c>
      <c r="L25" s="1084"/>
    </row>
    <row r="26" spans="1:12" ht="21">
      <c r="A26" s="1111"/>
      <c r="B26" s="1105"/>
      <c r="C26" s="1099"/>
      <c r="D26" s="1099"/>
      <c r="E26" s="1113"/>
      <c r="F26" s="1099"/>
      <c r="G26" s="1099" t="str">
        <f t="shared" si="0"/>
        <v>"</v>
      </c>
      <c r="H26" s="1099" t="str">
        <f t="shared" si="1"/>
        <v>"</v>
      </c>
      <c r="I26" s="1099" t="str">
        <f t="shared" si="2"/>
        <v>"</v>
      </c>
      <c r="J26" s="1099" t="str">
        <f t="shared" si="3"/>
        <v>"</v>
      </c>
      <c r="K26" s="1100" t="str">
        <f t="shared" si="4"/>
        <v>"</v>
      </c>
      <c r="L26" s="1084"/>
    </row>
    <row r="27" spans="1:12" ht="21.75" thickBot="1">
      <c r="A27" s="1084"/>
      <c r="B27" s="1114"/>
      <c r="C27" s="1115"/>
      <c r="D27" s="1115"/>
      <c r="E27" s="1116"/>
      <c r="F27" s="1115"/>
      <c r="G27" s="1099"/>
      <c r="H27" s="1099"/>
      <c r="I27" s="1099"/>
      <c r="J27" s="1099"/>
      <c r="K27" s="1100"/>
      <c r="L27" s="1084"/>
    </row>
    <row r="28" spans="1:12" ht="21.75" thickTop="1">
      <c r="A28" s="1084"/>
      <c r="B28" s="1117"/>
      <c r="C28" s="1117"/>
      <c r="D28" s="2409" t="s">
        <v>2786</v>
      </c>
      <c r="E28" s="2410"/>
      <c r="F28" s="2410"/>
      <c r="G28" s="1118">
        <f>SUM(G8:G27)</f>
        <v>0</v>
      </c>
      <c r="H28" s="1118">
        <f>SUM(H8:H27)</f>
        <v>508</v>
      </c>
      <c r="I28" s="1118">
        <f>SUM(I8:I27)</f>
        <v>0</v>
      </c>
      <c r="J28" s="1119">
        <f>SUM(J8:J27)</f>
        <v>590.5014000000001</v>
      </c>
      <c r="K28" s="1120">
        <f>SUM(K8:K27)</f>
        <v>202.8</v>
      </c>
      <c r="L28" s="1084"/>
    </row>
    <row r="29" spans="1:12" s="1126" customFormat="1" ht="21">
      <c r="A29" s="1121"/>
      <c r="B29" s="1122"/>
      <c r="C29" s="1122"/>
      <c r="D29" s="2411" t="s">
        <v>2787</v>
      </c>
      <c r="E29" s="2412"/>
      <c r="F29" s="2412"/>
      <c r="G29" s="1123">
        <v>0.22</v>
      </c>
      <c r="H29" s="1123">
        <v>0.39500000000000002</v>
      </c>
      <c r="I29" s="1123">
        <v>0.61699999999999999</v>
      </c>
      <c r="J29" s="1124">
        <v>0.88800000000000001</v>
      </c>
      <c r="K29" s="1125">
        <v>1.208</v>
      </c>
      <c r="L29" s="1121"/>
    </row>
    <row r="30" spans="1:12" ht="21.75" thickBot="1">
      <c r="A30" s="1084"/>
      <c r="B30" s="1127"/>
      <c r="C30" s="1127"/>
      <c r="D30" s="2413" t="s">
        <v>2788</v>
      </c>
      <c r="E30" s="2414"/>
      <c r="F30" s="2414"/>
      <c r="G30" s="1128">
        <f>G28*G29</f>
        <v>0</v>
      </c>
      <c r="H30" s="1128">
        <f>H29*H28</f>
        <v>200.66</v>
      </c>
      <c r="I30" s="1128">
        <f>I28*I29</f>
        <v>0</v>
      </c>
      <c r="J30" s="1128">
        <f t="shared" ref="J30:K30" si="10">J28*J29</f>
        <v>524.36524320000012</v>
      </c>
      <c r="K30" s="1129">
        <f t="shared" si="10"/>
        <v>244.98240000000001</v>
      </c>
      <c r="L30" s="1084"/>
    </row>
    <row r="31" spans="1:12" ht="15.75" thickTop="1"/>
  </sheetData>
  <mergeCells count="14">
    <mergeCell ref="G6:K6"/>
    <mergeCell ref="D28:F28"/>
    <mergeCell ref="D29:F29"/>
    <mergeCell ref="D30:F30"/>
    <mergeCell ref="B1:E1"/>
    <mergeCell ref="B2:E2"/>
    <mergeCell ref="B3:E3"/>
    <mergeCell ref="B4:E4"/>
    <mergeCell ref="G5:H5"/>
    <mergeCell ref="B6:B7"/>
    <mergeCell ref="C6:C7"/>
    <mergeCell ref="D6:D7"/>
    <mergeCell ref="E6:E7"/>
    <mergeCell ref="F6:F7"/>
  </mergeCells>
  <pageMargins left="0.3" right="0.3" top="1" bottom="0.5" header="0.3" footer="0.3"/>
  <pageSetup paperSize="9" scale="71" orientation="landscape" r:id="rId1"/>
  <headerFooter>
    <oddFooter>&amp;L&amp;16Contractor: - _______&amp;CConsultant: - ______________&amp;R&amp;16Client: - ___________</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117</vt:i4>
      </vt:variant>
    </vt:vector>
  </HeadingPairs>
  <TitlesOfParts>
    <vt:vector size="184" baseType="lpstr">
      <vt:lpstr>Grand summary</vt:lpstr>
      <vt:lpstr>IPD Sum</vt:lpstr>
      <vt:lpstr>IPD Meas.</vt:lpstr>
      <vt:lpstr>IPD Sub TOS</vt:lpstr>
      <vt:lpstr>IPD Super TOS</vt:lpstr>
      <vt:lpstr>IPD Bar</vt:lpstr>
      <vt:lpstr>OPD Sum</vt:lpstr>
      <vt:lpstr>OPD Meas.</vt:lpstr>
      <vt:lpstr>OPD TOS</vt:lpstr>
      <vt:lpstr>OPD Bar</vt:lpstr>
      <vt:lpstr>Staff + SQ  Sum</vt:lpstr>
      <vt:lpstr>Staff + SQ Measu.</vt:lpstr>
      <vt:lpstr>Staff TOS</vt:lpstr>
      <vt:lpstr>SQ TOS </vt:lpstr>
      <vt:lpstr>Staff &amp; SQ Reinf</vt:lpstr>
      <vt:lpstr>OR &amp; Delivery Sum</vt:lpstr>
      <vt:lpstr>OR and Delivery</vt:lpstr>
      <vt:lpstr>OR Sub TOS</vt:lpstr>
      <vt:lpstr>OR Super TOS </vt:lpstr>
      <vt:lpstr>OR-Reinf</vt:lpstr>
      <vt:lpstr>Emer. Sum</vt:lpstr>
      <vt:lpstr>Emer. &amp; Wait. Meas.</vt:lpstr>
      <vt:lpstr>Emer. Sub TOS</vt:lpstr>
      <vt:lpstr>Wait. Sub TOS</vt:lpstr>
      <vt:lpstr>Emer. Super TOS</vt:lpstr>
      <vt:lpstr>Wait Super TOS</vt:lpstr>
      <vt:lpstr>EMG &amp;Waitng Reinf</vt:lpstr>
      <vt:lpstr>Admin. Sum</vt:lpstr>
      <vt:lpstr>Admin. Meas.</vt:lpstr>
      <vt:lpstr>Admin. Sub TOS</vt:lpstr>
      <vt:lpstr>Admin Super TOS </vt:lpstr>
      <vt:lpstr>Admin. Reinf</vt:lpstr>
      <vt:lpstr>Diagno. Sum</vt:lpstr>
      <vt:lpstr>Diagno. Meas</vt:lpstr>
      <vt:lpstr>Diagno. Sub TOS</vt:lpstr>
      <vt:lpstr>Diagno Super TOS</vt:lpstr>
      <vt:lpstr>Daigon Reinf</vt:lpstr>
      <vt:lpstr>Gen + Pump Summary</vt:lpstr>
      <vt:lpstr>Generator+Pump house</vt:lpstr>
      <vt:lpstr>Gen. Sub TOS</vt:lpstr>
      <vt:lpstr>Genera Super TOS</vt:lpstr>
      <vt:lpstr>Tran. Sub TOS</vt:lpstr>
      <vt:lpstr>Trans Super TOS</vt:lpstr>
      <vt:lpstr>Gen Reinf</vt:lpstr>
      <vt:lpstr>Re-bar pump house</vt:lpstr>
      <vt:lpstr>Kitchen Summary  </vt:lpstr>
      <vt:lpstr>Kit. Meas</vt:lpstr>
      <vt:lpstr>Kit. Sub TOS</vt:lpstr>
      <vt:lpstr>Kit Super TOS</vt:lpstr>
      <vt:lpstr>Kit. Rein.</vt:lpstr>
      <vt:lpstr>Gua. Sum.</vt:lpstr>
      <vt:lpstr>Gua. Meas.</vt:lpstr>
      <vt:lpstr>Meas Guard edted </vt:lpstr>
      <vt:lpstr>Gua. Sub TOS</vt:lpstr>
      <vt:lpstr>Gua. Super TOS</vt:lpstr>
      <vt:lpstr>Gua. Reinf</vt:lpstr>
      <vt:lpstr>Mor. Sum.</vt:lpstr>
      <vt:lpstr>mor. Mea.</vt:lpstr>
      <vt:lpstr>Mor. Sub TOS</vt:lpstr>
      <vt:lpstr>Mor. Super TOS</vt:lpstr>
      <vt:lpstr>Mor. Reinf</vt:lpstr>
      <vt:lpstr>G Su Site</vt:lpstr>
      <vt:lpstr>Site Meas </vt:lpstr>
      <vt:lpstr>Site TOS</vt:lpstr>
      <vt:lpstr>Ramp &amp; Covered Way Rein.</vt:lpstr>
      <vt:lpstr>Variation</vt:lpstr>
      <vt:lpstr>Elev. Water Tank Rein.</vt:lpstr>
      <vt:lpstr>'Admin Super TOS '!Print_Area</vt:lpstr>
      <vt:lpstr>'Admin. Meas.'!Print_Area</vt:lpstr>
      <vt:lpstr>'Admin. Reinf'!Print_Area</vt:lpstr>
      <vt:lpstr>'Admin. Sub TOS'!Print_Area</vt:lpstr>
      <vt:lpstr>'Admin. Sum'!Print_Area</vt:lpstr>
      <vt:lpstr>'Daigon Reinf'!Print_Area</vt:lpstr>
      <vt:lpstr>'Diagno Super TOS'!Print_Area</vt:lpstr>
      <vt:lpstr>'Diagno. Meas'!Print_Area</vt:lpstr>
      <vt:lpstr>'Diagno. Sub TOS'!Print_Area</vt:lpstr>
      <vt:lpstr>'Diagno. Sum'!Print_Area</vt:lpstr>
      <vt:lpstr>'Elev. Water Tank Rein.'!Print_Area</vt:lpstr>
      <vt:lpstr>'Emer. &amp; Wait. Meas.'!Print_Area</vt:lpstr>
      <vt:lpstr>'Emer. Sub TOS'!Print_Area</vt:lpstr>
      <vt:lpstr>'Emer. Sum'!Print_Area</vt:lpstr>
      <vt:lpstr>'Emer. Super TOS'!Print_Area</vt:lpstr>
      <vt:lpstr>'EMG &amp;Waitng Reinf'!Print_Area</vt:lpstr>
      <vt:lpstr>'G Su Site'!Print_Area</vt:lpstr>
      <vt:lpstr>'Gen + Pump Summary'!Print_Area</vt:lpstr>
      <vt:lpstr>'Gen Reinf'!Print_Area</vt:lpstr>
      <vt:lpstr>'Gen. Sub TOS'!Print_Area</vt:lpstr>
      <vt:lpstr>'Genera Super TOS'!Print_Area</vt:lpstr>
      <vt:lpstr>'Generator+Pump house'!Print_Area</vt:lpstr>
      <vt:lpstr>'Grand summary'!Print_Area</vt:lpstr>
      <vt:lpstr>'Gua. Meas.'!Print_Area</vt:lpstr>
      <vt:lpstr>'Gua. Reinf'!Print_Area</vt:lpstr>
      <vt:lpstr>'Gua. Sub TOS'!Print_Area</vt:lpstr>
      <vt:lpstr>'Gua. Sum.'!Print_Area</vt:lpstr>
      <vt:lpstr>'Gua. Super TOS'!Print_Area</vt:lpstr>
      <vt:lpstr>'IPD Bar'!Print_Area</vt:lpstr>
      <vt:lpstr>'IPD Meas.'!Print_Area</vt:lpstr>
      <vt:lpstr>'IPD Sub TOS'!Print_Area</vt:lpstr>
      <vt:lpstr>'IPD Sum'!Print_Area</vt:lpstr>
      <vt:lpstr>'IPD Super TOS'!Print_Area</vt:lpstr>
      <vt:lpstr>'Kit Super TOS'!Print_Area</vt:lpstr>
      <vt:lpstr>'Kit. Meas'!Print_Area</vt:lpstr>
      <vt:lpstr>'Kit. Rein.'!Print_Area</vt:lpstr>
      <vt:lpstr>'Kit. Sub TOS'!Print_Area</vt:lpstr>
      <vt:lpstr>'Kitchen Summary  '!Print_Area</vt:lpstr>
      <vt:lpstr>'Meas Guard edted '!Print_Area</vt:lpstr>
      <vt:lpstr>'mor. Mea.'!Print_Area</vt:lpstr>
      <vt:lpstr>'Mor. Reinf'!Print_Area</vt:lpstr>
      <vt:lpstr>'Mor. Sub TOS'!Print_Area</vt:lpstr>
      <vt:lpstr>'Mor. Super TOS'!Print_Area</vt:lpstr>
      <vt:lpstr>'OPD Bar'!Print_Area</vt:lpstr>
      <vt:lpstr>'OPD Meas.'!Print_Area</vt:lpstr>
      <vt:lpstr>'OPD Sum'!Print_Area</vt:lpstr>
      <vt:lpstr>'OPD TOS'!Print_Area</vt:lpstr>
      <vt:lpstr>'OR &amp; Delivery Sum'!Print_Area</vt:lpstr>
      <vt:lpstr>'OR and Delivery'!Print_Area</vt:lpstr>
      <vt:lpstr>'OR Sub TOS'!Print_Area</vt:lpstr>
      <vt:lpstr>'OR Super TOS '!Print_Area</vt:lpstr>
      <vt:lpstr>'OR-Reinf'!Print_Area</vt:lpstr>
      <vt:lpstr>'Ramp &amp; Covered Way Rein.'!Print_Area</vt:lpstr>
      <vt:lpstr>'Re-bar pump house'!Print_Area</vt:lpstr>
      <vt:lpstr>'Site Meas '!Print_Area</vt:lpstr>
      <vt:lpstr>'Site TOS'!Print_Area</vt:lpstr>
      <vt:lpstr>'SQ TOS '!Print_Area</vt:lpstr>
      <vt:lpstr>'Staff &amp; SQ Reinf'!Print_Area</vt:lpstr>
      <vt:lpstr>'Staff + SQ  Sum'!Print_Area</vt:lpstr>
      <vt:lpstr>'Staff + SQ Measu.'!Print_Area</vt:lpstr>
      <vt:lpstr>'Staff TOS'!Print_Area</vt:lpstr>
      <vt:lpstr>'Tran. Sub TOS'!Print_Area</vt:lpstr>
      <vt:lpstr>'Trans Super TOS'!Print_Area</vt:lpstr>
      <vt:lpstr>Variation!Print_Area</vt:lpstr>
      <vt:lpstr>'Wait Super TOS'!Print_Area</vt:lpstr>
      <vt:lpstr>'Wait. Sub TOS'!Print_Area</vt:lpstr>
      <vt:lpstr>'Admin Super TOS '!Print_Titles</vt:lpstr>
      <vt:lpstr>'Admin. Meas.'!Print_Titles</vt:lpstr>
      <vt:lpstr>'Admin. Reinf'!Print_Titles</vt:lpstr>
      <vt:lpstr>'Admin. Sub TOS'!Print_Titles</vt:lpstr>
      <vt:lpstr>'Daigon Reinf'!Print_Titles</vt:lpstr>
      <vt:lpstr>'Diagno Super TOS'!Print_Titles</vt:lpstr>
      <vt:lpstr>'Diagno. Meas'!Print_Titles</vt:lpstr>
      <vt:lpstr>'Diagno. Sub TOS'!Print_Titles</vt:lpstr>
      <vt:lpstr>'Elev. Water Tank Rein.'!Print_Titles</vt:lpstr>
      <vt:lpstr>'Emer. &amp; Wait. Meas.'!Print_Titles</vt:lpstr>
      <vt:lpstr>'Emer. Sub TOS'!Print_Titles</vt:lpstr>
      <vt:lpstr>'Emer. Super TOS'!Print_Titles</vt:lpstr>
      <vt:lpstr>'Gen Reinf'!Print_Titles</vt:lpstr>
      <vt:lpstr>'Gen. Sub TOS'!Print_Titles</vt:lpstr>
      <vt:lpstr>'Genera Super TOS'!Print_Titles</vt:lpstr>
      <vt:lpstr>'Generator+Pump house'!Print_Titles</vt:lpstr>
      <vt:lpstr>'Gua. Meas.'!Print_Titles</vt:lpstr>
      <vt:lpstr>'Gua. Reinf'!Print_Titles</vt:lpstr>
      <vt:lpstr>'Gua. Sub TOS'!Print_Titles</vt:lpstr>
      <vt:lpstr>'Gua. Super TOS'!Print_Titles</vt:lpstr>
      <vt:lpstr>'IPD Bar'!Print_Titles</vt:lpstr>
      <vt:lpstr>'IPD Meas.'!Print_Titles</vt:lpstr>
      <vt:lpstr>'IPD Sub TOS'!Print_Titles</vt:lpstr>
      <vt:lpstr>'IPD Super TOS'!Print_Titles</vt:lpstr>
      <vt:lpstr>'Kit Super TOS'!Print_Titles</vt:lpstr>
      <vt:lpstr>'Kit. Meas'!Print_Titles</vt:lpstr>
      <vt:lpstr>'Kit. Rein.'!Print_Titles</vt:lpstr>
      <vt:lpstr>'Kit. Sub TOS'!Print_Titles</vt:lpstr>
      <vt:lpstr>'mor. Mea.'!Print_Titles</vt:lpstr>
      <vt:lpstr>'Mor. Reinf'!Print_Titles</vt:lpstr>
      <vt:lpstr>'Mor. Sub TOS'!Print_Titles</vt:lpstr>
      <vt:lpstr>'Mor. Super TOS'!Print_Titles</vt:lpstr>
      <vt:lpstr>'OPD Bar'!Print_Titles</vt:lpstr>
      <vt:lpstr>'OPD Meas.'!Print_Titles</vt:lpstr>
      <vt:lpstr>'OPD TOS'!Print_Titles</vt:lpstr>
      <vt:lpstr>'OR and Delivery'!Print_Titles</vt:lpstr>
      <vt:lpstr>'OR Sub TOS'!Print_Titles</vt:lpstr>
      <vt:lpstr>'OR Super TOS '!Print_Titles</vt:lpstr>
      <vt:lpstr>'OR-Reinf'!Print_Titles</vt:lpstr>
      <vt:lpstr>'Ramp &amp; Covered Way Rein.'!Print_Titles</vt:lpstr>
      <vt:lpstr>'Re-bar pump house'!Print_Titles</vt:lpstr>
      <vt:lpstr>'Site Meas '!Print_Titles</vt:lpstr>
      <vt:lpstr>'Site TOS'!Print_Titles</vt:lpstr>
      <vt:lpstr>'SQ TOS '!Print_Titles</vt:lpstr>
      <vt:lpstr>'Staff + SQ Measu.'!Print_Titles</vt:lpstr>
      <vt:lpstr>'Staff TOS'!Print_Titles</vt:lpstr>
      <vt:lpstr>'Tran. Sub TOS'!Print_Titles</vt:lpstr>
      <vt:lpstr>'Trans Super TOS'!Print_Titles</vt:lpstr>
      <vt:lpstr>Variation!Print_Titles</vt:lpstr>
      <vt:lpstr>'Wait Super TOS'!Print_Titles</vt:lpstr>
      <vt:lpstr>'Wait. Sub TOS'!Print_Titles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Shimeles</dc:creator>
  <cp:lastModifiedBy>New User</cp:lastModifiedBy>
  <cp:lastPrinted>2016-02-22T12:13:25Z</cp:lastPrinted>
  <dcterms:created xsi:type="dcterms:W3CDTF">2013-06-18T04:58:29Z</dcterms:created>
  <dcterms:modified xsi:type="dcterms:W3CDTF">2016-02-23T12:51:15Z</dcterms:modified>
</cp:coreProperties>
</file>