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kats\Documents\MATLAB\TERAN_v.1.0\"/>
    </mc:Choice>
  </mc:AlternateContent>
  <bookViews>
    <workbookView xWindow="1290" yWindow="7425" windowWidth="24240" windowHeight="7275" activeTab="1"/>
  </bookViews>
  <sheets>
    <sheet name="Usage" sheetId="5" r:id="rId1"/>
    <sheet name="Revenues FI" sheetId="6" r:id="rId2"/>
    <sheet name="demand determinants" sheetId="7" r:id="rId3"/>
    <sheet name="mobile data traffic" sheetId="4" r:id="rId4"/>
  </sheets>
  <externalReferences>
    <externalReference r:id="rId5"/>
    <externalReference r:id="rId6"/>
    <externalReference r:id="rId7"/>
    <externalReference r:id="rId8"/>
  </externalReferences>
  <definedNames>
    <definedName name="depreciation_factor" localSheetId="0">[1]parameters!$B$18</definedName>
    <definedName name="depreciation_factor">[2]parameters!$B$18</definedName>
    <definedName name="discount_rate" localSheetId="0">[1]parameters!$B$20</definedName>
    <definedName name="discount_rate">[2]parameters!$B$20</definedName>
    <definedName name="frequencies" localSheetId="0">[3]DemographNET!$U$4:$AA$4</definedName>
    <definedName name="frequencies">[4]DemographNET!$U$4:$AA$4</definedName>
    <definedName name="MO1_market_share" localSheetId="0">#REF!</definedName>
    <definedName name="MO1_market_share">#REF!</definedName>
    <definedName name="MO2_market_share" localSheetId="0">#REF!</definedName>
    <definedName name="MO2_market_share">#REF!</definedName>
    <definedName name="MO3_market_share" localSheetId="0">#REF!</definedName>
    <definedName name="MO3_market_share">#REF!</definedName>
    <definedName name="rural_MBBsubs_penetration_weight" localSheetId="0">#REF!</definedName>
    <definedName name="rural_MBBsubs_penetration_weight">#REF!</definedName>
    <definedName name="semiurban_MBBsubs_penetration_weight" localSheetId="0">#REF!</definedName>
    <definedName name="semiurban_MBBsubs_penetration_weight">#REF!</definedName>
    <definedName name="urban_MBBsubs_penetration_weight" localSheetId="0">#REF!</definedName>
    <definedName name="urban_MBBsubs_penetration_weight">#REF!</definedName>
  </definedNames>
  <calcPr calcId="171027"/>
</workbook>
</file>

<file path=xl/calcChain.xml><?xml version="1.0" encoding="utf-8"?>
<calcChain xmlns="http://schemas.openxmlformats.org/spreadsheetml/2006/main">
  <c r="C34" i="5" l="1"/>
  <c r="C47" i="5"/>
  <c r="D35" i="5"/>
  <c r="C35" i="5"/>
  <c r="I77" i="6"/>
  <c r="I78" i="6"/>
  <c r="I79" i="6"/>
  <c r="I80" i="6"/>
  <c r="I81" i="6"/>
  <c r="I82" i="6"/>
  <c r="I83" i="6"/>
  <c r="I84" i="6"/>
  <c r="I85" i="6"/>
  <c r="I76" i="6"/>
  <c r="H77" i="6"/>
  <c r="H78" i="6"/>
  <c r="H79" i="6"/>
  <c r="H80" i="6"/>
  <c r="H81" i="6"/>
  <c r="H82" i="6"/>
  <c r="H83" i="6"/>
  <c r="H84" i="6"/>
  <c r="H85" i="6"/>
  <c r="H76" i="6"/>
  <c r="D76" i="6"/>
  <c r="C76" i="6"/>
  <c r="B76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D77" i="6"/>
  <c r="C77" i="6"/>
  <c r="B78" i="6"/>
  <c r="B79" i="6"/>
  <c r="B80" i="6"/>
  <c r="B81" i="6"/>
  <c r="B82" i="6"/>
  <c r="B83" i="6"/>
  <c r="B84" i="6"/>
  <c r="B85" i="6"/>
  <c r="B77" i="6"/>
  <c r="P43" i="6"/>
  <c r="B37" i="6"/>
  <c r="C37" i="6"/>
  <c r="C22" i="6"/>
  <c r="P46" i="6"/>
  <c r="K50" i="6"/>
  <c r="K51" i="6"/>
  <c r="F52" i="4" l="1"/>
  <c r="G53" i="4"/>
  <c r="G54" i="4"/>
  <c r="G55" i="4"/>
  <c r="G56" i="4"/>
  <c r="G52" i="4"/>
  <c r="F56" i="4"/>
  <c r="F53" i="4"/>
  <c r="F54" i="4"/>
  <c r="F55" i="4"/>
  <c r="E46" i="4"/>
  <c r="E47" i="4"/>
  <c r="E48" i="4"/>
  <c r="E49" i="4"/>
  <c r="E45" i="4"/>
  <c r="C18" i="5" l="1"/>
  <c r="C17" i="5"/>
  <c r="J16" i="5"/>
  <c r="I16" i="5"/>
  <c r="H16" i="5"/>
  <c r="D47" i="5" l="1"/>
  <c r="V27" i="4" l="1"/>
  <c r="X27" i="4"/>
  <c r="W27" i="4"/>
  <c r="X23" i="4"/>
  <c r="R32" i="4" l="1"/>
  <c r="X32" i="4"/>
  <c r="U32" i="4"/>
  <c r="U27" i="4"/>
  <c r="R27" i="4"/>
  <c r="O32" i="4"/>
  <c r="O27" i="4"/>
  <c r="L27" i="4"/>
  <c r="L32" i="4"/>
  <c r="W32" i="4"/>
  <c r="T32" i="4"/>
  <c r="Q32" i="4"/>
  <c r="N32" i="4"/>
  <c r="K32" i="4"/>
  <c r="K27" i="4"/>
  <c r="N27" i="4"/>
  <c r="Q27" i="4"/>
  <c r="T27" i="4"/>
  <c r="A15" i="4" l="1"/>
  <c r="A16" i="4"/>
  <c r="A17" i="4"/>
  <c r="A18" i="4"/>
  <c r="A19" i="4" s="1"/>
  <c r="A20" i="4" s="1"/>
  <c r="A21" i="4" s="1"/>
  <c r="A22" i="4" s="1"/>
  <c r="A14" i="4"/>
  <c r="A5" i="4"/>
  <c r="A4" i="4"/>
  <c r="F5" i="4"/>
  <c r="H6" i="4"/>
  <c r="G6" i="4"/>
  <c r="F6" i="4"/>
  <c r="H5" i="4"/>
  <c r="G5" i="4"/>
  <c r="D1" i="4"/>
  <c r="D5" i="4"/>
  <c r="E16" i="4"/>
  <c r="E17" i="4"/>
  <c r="E18" i="4"/>
  <c r="E19" i="4"/>
  <c r="E20" i="4"/>
  <c r="E21" i="4"/>
  <c r="E22" i="4"/>
  <c r="E15" i="4"/>
  <c r="F15" i="4"/>
  <c r="D13" i="4"/>
  <c r="L23" i="4"/>
  <c r="J24" i="4"/>
  <c r="J25" i="4"/>
  <c r="J26" i="4"/>
  <c r="J27" i="4"/>
  <c r="J28" i="4"/>
  <c r="J29" i="4"/>
  <c r="J30" i="4"/>
  <c r="J31" i="4"/>
  <c r="J32" i="4"/>
  <c r="J15" i="4"/>
  <c r="J16" i="4"/>
  <c r="J17" i="4"/>
  <c r="J18" i="4"/>
  <c r="J19" i="4"/>
  <c r="J20" i="4"/>
  <c r="J21" i="4"/>
  <c r="J22" i="4"/>
  <c r="J23" i="4"/>
  <c r="J14" i="4"/>
  <c r="H22" i="4"/>
  <c r="H16" i="4"/>
  <c r="H17" i="4"/>
  <c r="H18" i="4"/>
  <c r="H19" i="4"/>
  <c r="H20" i="4"/>
  <c r="H21" i="4"/>
  <c r="H15" i="4"/>
  <c r="G15" i="4"/>
  <c r="G18" i="4"/>
  <c r="G19" i="4"/>
  <c r="G20" i="4"/>
  <c r="G21" i="4"/>
  <c r="G22" i="4"/>
  <c r="F18" i="4"/>
  <c r="F19" i="4"/>
  <c r="F20" i="4"/>
  <c r="F21" i="4"/>
  <c r="F22" i="4"/>
  <c r="G17" i="4"/>
  <c r="G16" i="4"/>
  <c r="F16" i="4"/>
  <c r="F17" i="4"/>
  <c r="A6" i="4" l="1"/>
  <c r="A7" i="4" s="1"/>
  <c r="A8" i="4" s="1"/>
  <c r="A9" i="4" s="1"/>
  <c r="A10" i="4" s="1"/>
  <c r="A11" i="4" s="1"/>
  <c r="A12" i="4" s="1"/>
  <c r="A13" i="4" s="1"/>
  <c r="G14" i="4"/>
  <c r="F14" i="4"/>
  <c r="H14" i="4"/>
  <c r="E14" i="4"/>
  <c r="U23" i="4"/>
  <c r="R23" i="4"/>
  <c r="O23" i="4"/>
  <c r="V15" i="4"/>
  <c r="V16" i="4"/>
  <c r="V17" i="4"/>
  <c r="V18" i="4"/>
  <c r="V19" i="4"/>
  <c r="V20" i="4"/>
  <c r="V21" i="4"/>
  <c r="V22" i="4"/>
  <c r="V23" i="4"/>
  <c r="V24" i="4"/>
  <c r="V25" i="4"/>
  <c r="V26" i="4"/>
  <c r="V28" i="4"/>
  <c r="V29" i="4"/>
  <c r="V30" i="4"/>
  <c r="V31" i="4"/>
  <c r="V32" i="4"/>
  <c r="V14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14" i="4"/>
  <c r="S15" i="4"/>
  <c r="D6" i="4"/>
  <c r="D7" i="4"/>
  <c r="E7" i="4" s="1"/>
  <c r="D8" i="4"/>
  <c r="E8" i="4" s="1"/>
  <c r="D9" i="4"/>
  <c r="E9" i="4" s="1"/>
  <c r="D10" i="4"/>
  <c r="D11" i="4"/>
  <c r="E11" i="4" s="1"/>
  <c r="D12" i="4"/>
  <c r="D4" i="4"/>
  <c r="P14" i="4"/>
  <c r="M30" i="4"/>
  <c r="P30" i="4"/>
  <c r="M31" i="4"/>
  <c r="P31" i="4"/>
  <c r="M32" i="4"/>
  <c r="P32" i="4"/>
  <c r="I32" i="4"/>
  <c r="I30" i="4"/>
  <c r="I31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14" i="4"/>
  <c r="E5" i="4" l="1"/>
  <c r="H9" i="4"/>
  <c r="H10" i="4"/>
  <c r="G10" i="4"/>
  <c r="G9" i="4"/>
  <c r="E12" i="4"/>
  <c r="E13" i="4"/>
  <c r="E10" i="4"/>
  <c r="E6" i="4"/>
  <c r="F9" i="4"/>
  <c r="F10" i="4"/>
  <c r="F78" i="5"/>
  <c r="F71" i="5"/>
  <c r="F72" i="5"/>
  <c r="F73" i="5"/>
  <c r="F74" i="5"/>
  <c r="F75" i="5"/>
  <c r="F76" i="5"/>
  <c r="F77" i="5"/>
  <c r="F70" i="5"/>
  <c r="C28" i="5"/>
  <c r="C29" i="5"/>
  <c r="K44" i="6"/>
  <c r="D2" i="4" l="1"/>
  <c r="B28" i="5"/>
  <c r="C44" i="6" l="1"/>
  <c r="C43" i="6" l="1"/>
  <c r="P45" i="6" l="1"/>
  <c r="D28" i="5" s="1"/>
  <c r="D29" i="5"/>
  <c r="P47" i="6"/>
  <c r="C30" i="5" s="1"/>
  <c r="D30" i="5" s="1"/>
  <c r="D42" i="5" s="1"/>
  <c r="P48" i="6"/>
  <c r="C31" i="5" s="1"/>
  <c r="D31" i="5" s="1"/>
  <c r="P49" i="6"/>
  <c r="C32" i="5" s="1"/>
  <c r="D32" i="5" s="1"/>
  <c r="P50" i="6"/>
  <c r="C33" i="5" s="1"/>
  <c r="D33" i="5" s="1"/>
  <c r="P51" i="6"/>
  <c r="D34" i="5" s="1"/>
  <c r="P44" i="6"/>
  <c r="C27" i="5" s="1"/>
  <c r="D27" i="5" s="1"/>
  <c r="D39" i="5" s="1"/>
  <c r="K45" i="6"/>
  <c r="K46" i="6"/>
  <c r="K47" i="6"/>
  <c r="K48" i="6"/>
  <c r="K49" i="6"/>
  <c r="K43" i="6"/>
  <c r="C26" i="5" s="1"/>
  <c r="D26" i="5" s="1"/>
  <c r="I44" i="6"/>
  <c r="H44" i="6"/>
  <c r="D43" i="5" l="1"/>
  <c r="E31" i="5"/>
  <c r="D46" i="5"/>
  <c r="E34" i="5"/>
  <c r="D45" i="5"/>
  <c r="E33" i="5"/>
  <c r="D44" i="5"/>
  <c r="E32" i="5"/>
  <c r="D40" i="5"/>
  <c r="E28" i="5"/>
  <c r="D38" i="5"/>
  <c r="E27" i="5"/>
  <c r="D41" i="5"/>
  <c r="E30" i="5"/>
  <c r="E29" i="5"/>
  <c r="U33" i="6"/>
  <c r="U34" i="6"/>
  <c r="U35" i="6"/>
  <c r="U36" i="6"/>
  <c r="U32" i="6"/>
  <c r="I7" i="5"/>
  <c r="I8" i="5"/>
  <c r="I9" i="5"/>
  <c r="I6" i="5"/>
  <c r="E49" i="6" l="1"/>
  <c r="F51" i="6"/>
  <c r="F50" i="6"/>
  <c r="F48" i="6"/>
  <c r="D51" i="6"/>
  <c r="D50" i="6"/>
  <c r="G47" i="6"/>
  <c r="E47" i="6"/>
  <c r="D47" i="6"/>
  <c r="D48" i="6"/>
  <c r="D49" i="6" s="1"/>
  <c r="B26" i="5"/>
  <c r="H47" i="6" l="1"/>
  <c r="I47" i="6"/>
  <c r="I48" i="6"/>
  <c r="H48" i="6"/>
  <c r="H51" i="6"/>
  <c r="I51" i="6"/>
  <c r="H50" i="6"/>
  <c r="I50" i="6"/>
  <c r="N31" i="6"/>
  <c r="M31" i="6" s="1"/>
  <c r="B52" i="6"/>
  <c r="B44" i="6"/>
  <c r="B43" i="6"/>
  <c r="B13" i="6"/>
  <c r="B46" i="6"/>
  <c r="B47" i="6"/>
  <c r="B48" i="6"/>
  <c r="B49" i="6"/>
  <c r="B50" i="6"/>
  <c r="B51" i="6"/>
  <c r="B45" i="6"/>
  <c r="E13" i="6"/>
  <c r="N7" i="5"/>
  <c r="N8" i="5"/>
  <c r="N9" i="5"/>
  <c r="N10" i="5"/>
  <c r="N11" i="5"/>
  <c r="N12" i="5"/>
  <c r="N13" i="5"/>
  <c r="N14" i="5"/>
  <c r="N15" i="5"/>
  <c r="N6" i="5"/>
  <c r="R19" i="6"/>
  <c r="R24" i="6" s="1"/>
  <c r="S19" i="6"/>
  <c r="S21" i="6" s="1"/>
  <c r="T19" i="6"/>
  <c r="T22" i="6" s="1"/>
  <c r="Q19" i="6"/>
  <c r="Q24" i="6" s="1"/>
  <c r="P31" i="6" l="1"/>
  <c r="C28" i="6"/>
  <c r="B28" i="6" s="1"/>
  <c r="Q18" i="6"/>
  <c r="T18" i="6"/>
  <c r="S18" i="6"/>
  <c r="R18" i="6"/>
  <c r="S24" i="6"/>
  <c r="Q23" i="6"/>
  <c r="S22" i="6"/>
  <c r="T21" i="6"/>
  <c r="T24" i="6"/>
  <c r="R22" i="6"/>
  <c r="R21" i="6"/>
  <c r="Q22" i="6"/>
  <c r="Q21" i="6"/>
  <c r="M19" i="6"/>
  <c r="M18" i="6" s="1"/>
  <c r="S25" i="6" l="1"/>
  <c r="Q25" i="6"/>
  <c r="R25" i="6"/>
  <c r="T25" i="6"/>
  <c r="P19" i="6"/>
  <c r="P18" i="6" s="1"/>
  <c r="O19" i="6"/>
  <c r="N19" i="6"/>
  <c r="M22" i="6"/>
  <c r="N22" i="6" l="1"/>
  <c r="N18" i="6"/>
  <c r="O24" i="6"/>
  <c r="O18" i="6"/>
  <c r="N21" i="6"/>
  <c r="P22" i="6"/>
  <c r="P24" i="6"/>
  <c r="O23" i="6"/>
  <c r="O22" i="6"/>
  <c r="P21" i="6"/>
  <c r="O21" i="6"/>
  <c r="P23" i="6"/>
  <c r="N23" i="6"/>
  <c r="N24" i="6"/>
  <c r="M24" i="6"/>
  <c r="M21" i="6"/>
  <c r="M25" i="6" s="1"/>
  <c r="M23" i="6"/>
  <c r="O25" i="6" l="1"/>
  <c r="P25" i="6"/>
  <c r="N25" i="6"/>
  <c r="C15" i="6"/>
  <c r="N33" i="6" s="1"/>
  <c r="C16" i="6"/>
  <c r="N34" i="6" s="1"/>
  <c r="C17" i="6"/>
  <c r="N35" i="6" s="1"/>
  <c r="C18" i="6"/>
  <c r="C19" i="6"/>
  <c r="C20" i="6"/>
  <c r="C21" i="6"/>
  <c r="C14" i="6"/>
  <c r="G6" i="5"/>
  <c r="L6" i="5"/>
  <c r="M6" i="5"/>
  <c r="L7" i="5"/>
  <c r="L8" i="5"/>
  <c r="L9" i="5"/>
  <c r="L10" i="5"/>
  <c r="L11" i="5"/>
  <c r="L12" i="5"/>
  <c r="L13" i="5"/>
  <c r="L14" i="5"/>
  <c r="L15" i="5"/>
  <c r="G7" i="5"/>
  <c r="G8" i="5"/>
  <c r="G9" i="5"/>
  <c r="G10" i="5"/>
  <c r="G11" i="5"/>
  <c r="G12" i="5"/>
  <c r="G13" i="5"/>
  <c r="G14" i="5"/>
  <c r="G15" i="5"/>
  <c r="B27" i="5"/>
  <c r="B29" i="5"/>
  <c r="B30" i="5"/>
  <c r="B31" i="5"/>
  <c r="B32" i="5"/>
  <c r="B33" i="5"/>
  <c r="B34" i="5"/>
  <c r="B35" i="5"/>
  <c r="M7" i="5"/>
  <c r="M8" i="5"/>
  <c r="M9" i="5"/>
  <c r="M10" i="5"/>
  <c r="M11" i="5"/>
  <c r="M12" i="5"/>
  <c r="M13" i="5"/>
  <c r="M14" i="5"/>
  <c r="M15" i="5"/>
  <c r="N32" i="6" l="1"/>
  <c r="P32" i="6" s="1"/>
  <c r="C29" i="6"/>
  <c r="B29" i="6" s="1"/>
  <c r="E18" i="6"/>
  <c r="N36" i="6"/>
  <c r="P33" i="6"/>
  <c r="O33" i="6"/>
  <c r="C36" i="6"/>
  <c r="N39" i="6"/>
  <c r="O35" i="6"/>
  <c r="P35" i="6"/>
  <c r="E19" i="6"/>
  <c r="N37" i="6"/>
  <c r="E20" i="6"/>
  <c r="N38" i="6"/>
  <c r="O34" i="6"/>
  <c r="P34" i="6"/>
  <c r="E14" i="6"/>
  <c r="C30" i="6"/>
  <c r="E15" i="6"/>
  <c r="C32" i="6"/>
  <c r="E17" i="6"/>
  <c r="C31" i="6"/>
  <c r="E16" i="6"/>
  <c r="C34" i="6"/>
  <c r="C33" i="6"/>
  <c r="C35" i="6"/>
  <c r="O32" i="6" l="1"/>
  <c r="B34" i="6"/>
  <c r="B36" i="6"/>
  <c r="B31" i="6"/>
  <c r="B30" i="6"/>
  <c r="B32" i="6"/>
  <c r="B35" i="6"/>
  <c r="B33" i="6"/>
  <c r="P37" i="6"/>
  <c r="O37" i="6"/>
  <c r="P36" i="6"/>
  <c r="O36" i="6"/>
  <c r="O38" i="6"/>
  <c r="P38" i="6"/>
  <c r="O39" i="6"/>
  <c r="P39" i="6"/>
  <c r="M15" i="4" l="1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14" i="4"/>
  <c r="P16" i="4" l="1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15" i="4"/>
</calcChain>
</file>

<file path=xl/comments1.xml><?xml version="1.0" encoding="utf-8"?>
<comments xmlns="http://schemas.openxmlformats.org/spreadsheetml/2006/main">
  <authors>
    <author>Michael Katsigiannis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  <charset val="161"/>
          </rPr>
          <t>Michael Katsigiannis:</t>
        </r>
        <r>
          <rPr>
            <sz val="9"/>
            <color indexed="81"/>
            <rFont val="Tahoma"/>
            <family val="2"/>
            <charset val="161"/>
          </rPr>
          <t xml:space="preserve">
pp 25 market review 2009 3
1.5billion * 0.61 = retail household revenues for 2008
then compare to the value for 2008 i make a coorrection for about 0.16% (=(rev2008actual-rev2008)/rev2008actual) for 2007:
rev2008/1.05 = rev2007
rev2007correction = rev2007*1.16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  <charset val="161"/>
          </rPr>
          <t>Michael Katsigiannis:</t>
        </r>
        <r>
          <rPr>
            <sz val="9"/>
            <color indexed="81"/>
            <rFont val="Tahoma"/>
            <family val="2"/>
            <charset val="161"/>
          </rPr>
          <t xml:space="preserve">
average of the next years
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  <charset val="161"/>
          </rPr>
          <t>Michael Katsigiannis:</t>
        </r>
        <r>
          <rPr>
            <sz val="9"/>
            <color indexed="81"/>
            <rFont val="Tahoma"/>
            <family val="2"/>
            <charset val="161"/>
          </rPr>
          <t xml:space="preserve">
The price indexes calculated for the review reflect the development of prices actually paid by consumers rather than those appearing on telecoms operators' price lists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  <charset val="161"/>
          </rPr>
          <t>Michael Katsigiannis:</t>
        </r>
        <r>
          <rPr>
            <sz val="9"/>
            <color indexed="81"/>
            <rFont val="Tahoma"/>
            <family val="2"/>
            <charset val="161"/>
          </rPr>
          <t xml:space="preserve">
http://www.stat.fi/til/tvie/2007/tvie_2007_2008-06-05_tau_012_en.html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161"/>
          </rPr>
          <t>Michael Katsigiannis:</t>
        </r>
        <r>
          <rPr>
            <sz val="9"/>
            <color indexed="81"/>
            <rFont val="Tahoma"/>
            <family val="2"/>
            <charset val="161"/>
          </rPr>
          <t xml:space="preserve">
http://www.stat.fi/til/tvie/2008/tvie_2008_2009-06-09_tau_011_en.html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  <charset val="161"/>
          </rPr>
          <t>Michael Katsigiannis:</t>
        </r>
        <r>
          <rPr>
            <sz val="9"/>
            <color indexed="81"/>
            <rFont val="Tahoma"/>
            <family val="2"/>
            <charset val="161"/>
          </rPr>
          <t xml:space="preserve">
http://www.stat.fi/til/tvie/2008/tvie_2008_2009-06-09_tau_011_en.html</t>
        </r>
      </text>
    </comment>
  </commentList>
</comments>
</file>

<file path=xl/comments2.xml><?xml version="1.0" encoding="utf-8"?>
<comments xmlns="http://schemas.openxmlformats.org/spreadsheetml/2006/main">
  <authors>
    <author>Michael Katsigiannis</author>
  </authors>
  <commentList>
    <comment ref="K12" authorId="0" shapeId="0">
      <text>
        <r>
          <rPr>
            <b/>
            <sz val="9"/>
            <color indexed="81"/>
            <rFont val="Tahoma"/>
            <family val="2"/>
            <charset val="161"/>
          </rPr>
          <t>Michael Katsigiannis:</t>
        </r>
        <r>
          <rPr>
            <sz val="9"/>
            <color indexed="81"/>
            <rFont val="Tahoma"/>
            <family val="2"/>
            <charset val="161"/>
          </rPr>
          <t xml:space="preserve">
definition: Possibility to install native applications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Michael Katsigiannis:</t>
        </r>
        <r>
          <rPr>
            <sz val="9"/>
            <color indexed="81"/>
            <rFont val="Tahoma"/>
            <charset val="1"/>
          </rPr>
          <t xml:space="preserve">
50 Telia
65 DNA
75 Elisa
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Katsigiannis:</t>
        </r>
        <r>
          <rPr>
            <sz val="9"/>
            <color indexed="81"/>
            <rFont val="Tahoma"/>
            <charset val="1"/>
          </rPr>
          <t xml:space="preserve">
77 DNA
80 Elisa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Michael Katsigiannis:</t>
        </r>
        <r>
          <rPr>
            <sz val="9"/>
            <color indexed="81"/>
            <rFont val="Tahoma"/>
            <charset val="1"/>
          </rPr>
          <t xml:space="preserve">
85 DNA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Michael Katsigiannis:</t>
        </r>
        <r>
          <rPr>
            <sz val="9"/>
            <color indexed="81"/>
            <rFont val="Tahoma"/>
            <charset val="1"/>
          </rPr>
          <t xml:space="preserve">
97 DNA</t>
        </r>
      </text>
    </comment>
    <comment ref="C19" authorId="0" shapeId="0">
      <text>
        <r>
          <rPr>
            <b/>
            <sz val="9"/>
            <color indexed="81"/>
            <rFont val="Tahoma"/>
            <charset val="1"/>
          </rPr>
          <t>Michael Katsigiannis:</t>
        </r>
        <r>
          <rPr>
            <sz val="9"/>
            <color indexed="81"/>
            <rFont val="Tahoma"/>
            <charset val="1"/>
          </rPr>
          <t xml:space="preserve">
40 Telia</t>
        </r>
      </text>
    </comment>
    <comment ref="B20" authorId="0" shapeId="0">
      <text>
        <r>
          <rPr>
            <b/>
            <sz val="9"/>
            <color indexed="81"/>
            <rFont val="Tahoma"/>
            <charset val="1"/>
          </rPr>
          <t>Michael Katsigiannis:</t>
        </r>
        <r>
          <rPr>
            <sz val="9"/>
            <color indexed="81"/>
            <rFont val="Tahoma"/>
            <charset val="1"/>
          </rPr>
          <t xml:space="preserve">
99 DNA
</t>
        </r>
      </text>
    </comment>
    <comment ref="C20" authorId="0" shapeId="0">
      <text>
        <r>
          <rPr>
            <b/>
            <sz val="9"/>
            <color indexed="81"/>
            <rFont val="Tahoma"/>
            <charset val="1"/>
          </rPr>
          <t>Michael Katsigiannis:</t>
        </r>
        <r>
          <rPr>
            <sz val="9"/>
            <color indexed="81"/>
            <rFont val="Tahoma"/>
            <charset val="1"/>
          </rPr>
          <t xml:space="preserve">
73 DNA
99.9 UKKO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Michael Katsigiannis:</t>
        </r>
        <r>
          <rPr>
            <sz val="9"/>
            <color indexed="81"/>
            <rFont val="Tahoma"/>
            <charset val="1"/>
          </rPr>
          <t xml:space="preserve">
99 Elisa, DNA
</t>
        </r>
      </text>
    </comment>
  </commentList>
</comments>
</file>

<file path=xl/comments3.xml><?xml version="1.0" encoding="utf-8"?>
<comments xmlns="http://schemas.openxmlformats.org/spreadsheetml/2006/main">
  <authors>
    <author>mikekats</author>
  </authors>
  <commentList>
    <comment ref="P3" authorId="0" shapeId="0">
      <text>
        <r>
          <rPr>
            <b/>
            <sz val="9"/>
            <color indexed="81"/>
            <rFont val="Tahoma"/>
            <family val="2"/>
            <charset val="161"/>
          </rPr>
          <t>mikekats:</t>
        </r>
        <r>
          <rPr>
            <sz val="9"/>
            <color indexed="81"/>
            <rFont val="Tahoma"/>
            <family val="2"/>
            <charset val="161"/>
          </rPr>
          <t xml:space="preserve">
similar to modified power
Y=a*b^x</t>
        </r>
      </text>
    </comment>
  </commentList>
</comments>
</file>

<file path=xl/sharedStrings.xml><?xml version="1.0" encoding="utf-8"?>
<sst xmlns="http://schemas.openxmlformats.org/spreadsheetml/2006/main" count="207" uniqueCount="166">
  <si>
    <t>Q</t>
  </si>
  <si>
    <t xml:space="preserve">Average monthly costs paid by consumers for a mobile broadband subscription </t>
  </si>
  <si>
    <t>Time</t>
  </si>
  <si>
    <t>Average price for GB/mon</t>
  </si>
  <si>
    <t>P</t>
  </si>
  <si>
    <t>Year</t>
  </si>
  <si>
    <t>Polynomial</t>
  </si>
  <si>
    <t>a</t>
  </si>
  <si>
    <t>b</t>
  </si>
  <si>
    <t>c</t>
  </si>
  <si>
    <t>R^2</t>
  </si>
  <si>
    <t>Power</t>
  </si>
  <si>
    <t>Y = a*x^b</t>
  </si>
  <si>
    <t>Exponential</t>
  </si>
  <si>
    <t>Y = a*exp(b*x)</t>
  </si>
  <si>
    <t>d</t>
  </si>
  <si>
    <t>R</t>
  </si>
  <si>
    <t>Mobile data traffic volume tranferred (TB/year)</t>
  </si>
  <si>
    <t>Mobile data subscriptions</t>
  </si>
  <si>
    <t>Mobile data traffic volume tranferred (PB/year)</t>
  </si>
  <si>
    <t>Finnish population</t>
  </si>
  <si>
    <t>Mobile data subscriptions penetration</t>
  </si>
  <si>
    <t>Mobile data traffic volume (GB/mon)</t>
  </si>
  <si>
    <t>Revenues from mobile data subscriptions</t>
  </si>
  <si>
    <t>Mobile data traffic volume per mobile data subscription (GB/mon/sub)</t>
  </si>
  <si>
    <t>ARPU from mobile network services</t>
  </si>
  <si>
    <t>Mobile subscriptions</t>
  </si>
  <si>
    <t>Mobile household subscriptions</t>
  </si>
  <si>
    <t>Mobile business subscriptions</t>
  </si>
  <si>
    <t>https://www.viestintavirasto.fi/en/statisticsandreports/statistics/2016/averagemonthlyconsumerpricesoftelecommunicationsservices.html</t>
  </si>
  <si>
    <t>VAT percent</t>
  </si>
  <si>
    <t>ARPU from mobile network services + VAT</t>
  </si>
  <si>
    <t>monthly ARPU (incl. VAT)</t>
  </si>
  <si>
    <t>HOUSEHOLD CUSTOMERS</t>
  </si>
  <si>
    <t>BUSINESS CUSTOMERS</t>
  </si>
  <si>
    <t>ALL CUSTOMERS</t>
  </si>
  <si>
    <t>In the mobile network, a fast broadband connection of 100 Mbps may be delivered using the LTE technology (800, 1800 and 2600 MHz).</t>
  </si>
  <si>
    <t>https://www.viestintavirasto.fi/en/statisticsandreports/reviewsandarticles/2017/supplyoffastbroadbandinfinland.html</t>
  </si>
  <si>
    <t>-</t>
  </si>
  <si>
    <t>https://www.viestintavirasto.fi/en/statisticsandreports/reviewsandarticles/2016/wholesalerevenuesfromtelecommunicationsoperationsfellsignificantlymorethanretailrevenuesin2015.html</t>
  </si>
  <si>
    <t>https://www.viestintavirasto.fi/attachments/toimialatieto/Market_review_2013.pdf</t>
  </si>
  <si>
    <t>https://www.viestintavirasto.fi/en/statisticsandreports.html</t>
  </si>
  <si>
    <t>spectrum</t>
  </si>
  <si>
    <t>https://www.viestintavirasto.fi/en/statisticsandreports/reviewsandarticles/2015/useofradiofrequencies2014.html</t>
  </si>
  <si>
    <t>see now</t>
  </si>
  <si>
    <t>https://www.viestintavirasto.fi/en/statisticsandreports/reviewsandarticles/2015/pricedevelopmentofelectroniccommunicationsservices.html</t>
  </si>
  <si>
    <t>voice</t>
  </si>
  <si>
    <t>sms</t>
  </si>
  <si>
    <t>mms</t>
  </si>
  <si>
    <t>data</t>
  </si>
  <si>
    <t>pp13 market review 2012 1</t>
  </si>
  <si>
    <t>15-16 euro</t>
  </si>
  <si>
    <t>18.3-17.8</t>
  </si>
  <si>
    <t>market review 2012 9</t>
  </si>
  <si>
    <t>fixed</t>
  </si>
  <si>
    <t>market review 2015 3</t>
  </si>
  <si>
    <t>real price level of mobile data transmission services</t>
  </si>
  <si>
    <t>Average monthly household consumer prices of mobile services (voice, messages, data) + VAT</t>
  </si>
  <si>
    <t>2011_2 market review</t>
  </si>
  <si>
    <t>Mobile data traffic volume per mobile subscription (GB/mon/sub)</t>
  </si>
  <si>
    <t>Retail revenues (household+business)</t>
  </si>
  <si>
    <t>Retail revenues (household)</t>
  </si>
  <si>
    <t>Retail revenues (business)</t>
  </si>
  <si>
    <t>Retail household revenue share of mobile data transmission service</t>
  </si>
  <si>
    <t>Revenues from mobile data transmission services (retail household)</t>
  </si>
  <si>
    <t>Revenues shares per services (retail household)</t>
  </si>
  <si>
    <t>ARPU - Average monthly household consumer prices of mobile services (voice, messages, data) + VAT</t>
  </si>
  <si>
    <t>ARPU - Average monthly business consumer prices of mobile services (voice, messages, data) + VAT</t>
  </si>
  <si>
    <t>ARPU - Average monthly consumer prices of mobile services (voice, messages, data) + VAT</t>
  </si>
  <si>
    <t>Revenues from voice and messaging services (household+business)</t>
  </si>
  <si>
    <t>Revenues from mobile data transmission services (household+business)</t>
  </si>
  <si>
    <t>mobile</t>
  </si>
  <si>
    <t>Revenues shares per services (mobile retail household)</t>
  </si>
  <si>
    <t>Revenues from monthly-charged mobile data transmission services (household+business)</t>
  </si>
  <si>
    <t>the services provided  to  residential  customers  constitute approximately 60%  of the turnover from  retail  services.  In the mobile network, residential customers accounted for 71% of the turnover from retail services in 2013-2015</t>
  </si>
  <si>
    <t>market review 2012 4</t>
  </si>
  <si>
    <t>Other retail revenues</t>
  </si>
  <si>
    <t>?</t>
  </si>
  <si>
    <t>Average monthly price paid by consumers mobile broadband</t>
  </si>
  <si>
    <t>large cities-elsewhere</t>
  </si>
  <si>
    <t>Unlimited data transfer with monthly plan</t>
  </si>
  <si>
    <t>Limited data transfer with monthly plan</t>
  </si>
  <si>
    <t>Other types of data transfer plans</t>
  </si>
  <si>
    <t>Revenues from household MBB ????</t>
  </si>
  <si>
    <t>Real price level of mobile data transmission services for 2007</t>
  </si>
  <si>
    <t>Real price level of mobile data transmission services 2008-2014</t>
  </si>
  <si>
    <t>price of mobile data transmission service (€/month per mobile data subscription)</t>
  </si>
  <si>
    <t>using the same share from household</t>
  </si>
  <si>
    <t>assuming 5% the other retail as from 2011</t>
  </si>
  <si>
    <t xml:space="preserve">3G Devices </t>
  </si>
  <si>
    <t>Fixed Broadband Connections</t>
  </si>
  <si>
    <t>Available Spectrum (MHz)</t>
  </si>
  <si>
    <r>
      <t xml:space="preserve">Year </t>
    </r>
    <r>
      <rPr>
        <i/>
        <sz val="11"/>
        <rFont val="Calibri"/>
        <family val="2"/>
        <charset val="161"/>
        <scheme val="minor"/>
      </rPr>
      <t>t</t>
    </r>
  </si>
  <si>
    <r>
      <t xml:space="preserve">LTE Population Coverage </t>
    </r>
    <r>
      <rPr>
        <i/>
        <sz val="11"/>
        <rFont val="Calibri"/>
        <family val="2"/>
        <charset val="161"/>
        <scheme val="minor"/>
      </rPr>
      <t>A</t>
    </r>
    <r>
      <rPr>
        <i/>
        <vertAlign val="subscript"/>
        <sz val="11"/>
        <rFont val="Calibri"/>
        <family val="2"/>
        <charset val="161"/>
        <scheme val="minor"/>
      </rPr>
      <t>t</t>
    </r>
    <r>
      <rPr>
        <sz val="11"/>
        <rFont val="Calibri"/>
        <family val="2"/>
        <charset val="161"/>
        <scheme val="minor"/>
      </rPr>
      <t xml:space="preserve"> (%)</t>
    </r>
  </si>
  <si>
    <t>smartphones</t>
  </si>
  <si>
    <t>EDGE</t>
  </si>
  <si>
    <t>WCDMA</t>
  </si>
  <si>
    <t>HSPA</t>
  </si>
  <si>
    <t xml:space="preserve">LTE </t>
  </si>
  <si>
    <t>WLAN</t>
  </si>
  <si>
    <t>GPRS/EDGE</t>
  </si>
  <si>
    <t>non-handset</t>
  </si>
  <si>
    <t>WCDMA900</t>
  </si>
  <si>
    <t>LTE territory Coverage</t>
  </si>
  <si>
    <t>check relationship among  independent variables -- there should be no correlation</t>
  </si>
  <si>
    <t>check relationship (scatter plots) between independent variable to dependent variable - there should be some correlation</t>
  </si>
  <si>
    <t>lttepop 2015</t>
  </si>
  <si>
    <t>3G pop cove</t>
  </si>
  <si>
    <t>usage</t>
  </si>
  <si>
    <t>LTE 800</t>
  </si>
  <si>
    <t>DC 42mbps</t>
  </si>
  <si>
    <t>first LTE devices</t>
  </si>
  <si>
    <t>21mbps 3G + very small LTE2600 deployment but no devices</t>
  </si>
  <si>
    <t>UMTS900</t>
  </si>
  <si>
    <t>HSDPA</t>
  </si>
  <si>
    <t>21mbps 3G</t>
  </si>
  <si>
    <t>LTE1800 development</t>
  </si>
  <si>
    <t>LTE CA 300</t>
  </si>
  <si>
    <t>5G</t>
  </si>
  <si>
    <t xml:space="preserve">start of LTE1800 but no devices to support LTE </t>
  </si>
  <si>
    <t>Share of all handsets (%)</t>
  </si>
  <si>
    <t>3G</t>
  </si>
  <si>
    <t>5G 2</t>
  </si>
  <si>
    <t>5G 1</t>
  </si>
  <si>
    <t xml:space="preserve">ref: METIS Deliverable D1.1. “Scenarios, requirements and KPIs for 5G mobile and wireless 
system,” EU
-FP7 Project METIS (ICT
-317669) Deliverable 1.1, April 2013. </t>
  </si>
  <si>
    <t>http://www.samsung.com/global/business-images/insights/2015/Samsung-5G-Vision-2.pdf</t>
  </si>
  <si>
    <t>LTE-5G dual connectivity</t>
  </si>
  <si>
    <t>x2000</t>
  </si>
  <si>
    <t>Mbps</t>
  </si>
  <si>
    <t>http://www.5gamericas.org/files/6814/8718/2308/3GPP_Rel_13_15_Final_to_Upload_2.14.17_AB.pdf</t>
  </si>
  <si>
    <t>1 phase 5G   (R15)</t>
  </si>
  <si>
    <t>4G Pro (R13-14) Gigabit LTE</t>
  </si>
  <si>
    <t>4G R8-R12</t>
  </si>
  <si>
    <t>LTE-a pro (4.5G) as pre-phase for 5G deployment</t>
  </si>
  <si>
    <t>http://ieeexplore.ieee.org/document/7843933/</t>
  </si>
  <si>
    <t>R5-R8</t>
  </si>
  <si>
    <t>R8-R12</t>
  </si>
  <si>
    <t>R1-R14</t>
  </si>
  <si>
    <t>MR</t>
  </si>
  <si>
    <t>x</t>
  </si>
  <si>
    <t>Mobile data traffic (GB/mon)</t>
  </si>
  <si>
    <t>e</t>
  </si>
  <si>
    <t xml:space="preserve">fourth Order </t>
  </si>
  <si>
    <t>Y = a*x^4+b*x^3+c*x^2+d*x+e</t>
  </si>
  <si>
    <t>Y = a*x^(b*x)</t>
  </si>
  <si>
    <t>Geometric progression</t>
  </si>
  <si>
    <t>scale factor</t>
  </si>
  <si>
    <t>constant exponent</t>
  </si>
  <si>
    <t>exponent is the variable</t>
  </si>
  <si>
    <t>2007-2016</t>
  </si>
  <si>
    <t>CAGR</t>
  </si>
  <si>
    <t>AAGR</t>
  </si>
  <si>
    <t>growth rate</t>
  </si>
  <si>
    <t>Y = a*b^(1/x)*x^c</t>
  </si>
  <si>
    <t>2016-2020</t>
  </si>
  <si>
    <t>2016-2025</t>
  </si>
  <si>
    <t>https://www.viestintavirasto.fi/en/statisticsandreports/reviewsandarticles/2017/upwardturnintelecomservicepricesin2016.html</t>
  </si>
  <si>
    <t>Label</t>
  </si>
  <si>
    <t>Data transfer services in mobile network</t>
  </si>
  <si>
    <t>SMS and MMS</t>
  </si>
  <si>
    <t>Mobile calls</t>
  </si>
  <si>
    <t>Fixed-line calls</t>
  </si>
  <si>
    <t>Data transfer services in fixed network</t>
  </si>
  <si>
    <t>REVENUES</t>
  </si>
  <si>
    <t>Assuming that these shares are he same in business customers</t>
  </si>
  <si>
    <t>Upward turn in telecom service prices in 2016 (in households?)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</si>
</sst>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Arial"/>
      <family val="2"/>
      <charset val="161"/>
    </font>
    <font>
      <sz val="11"/>
      <color theme="1"/>
      <name val="Arial"/>
      <family val="2"/>
      <charset val="161"/>
    </font>
    <font>
      <sz val="11"/>
      <name val="Arial"/>
      <family val="2"/>
      <charset val="161"/>
    </font>
    <font>
      <sz val="11"/>
      <color rgb="FFFF0000"/>
      <name val="Arial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rgb="FFFF0000"/>
      <name val="Arial"/>
      <family val="2"/>
      <charset val="161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i/>
      <vertAlign val="subscript"/>
      <sz val="11"/>
      <name val="Calibri"/>
      <family val="2"/>
      <charset val="16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 style="dashed">
        <color theme="3" tint="0.39994506668294322"/>
      </left>
      <right style="dashed">
        <color theme="3" tint="0.39994506668294322"/>
      </right>
      <top style="dashed">
        <color theme="3" tint="0.39994506668294322"/>
      </top>
      <bottom style="dashed">
        <color theme="3" tint="0.399945066682943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" fontId="1" fillId="0" borderId="1">
      <alignment horizontal="center" vertical="center"/>
    </xf>
    <xf numFmtId="1" fontId="1" fillId="0" borderId="2">
      <alignment horizontal="center" vertical="center"/>
    </xf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6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0" fontId="9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6" fillId="0" borderId="0" xfId="0" applyFont="1" applyFill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0" borderId="0" xfId="3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0" xfId="0" applyFont="1" applyFill="1" applyBorder="1" applyAlignment="1" applyProtection="1">
      <alignment horizontal="center"/>
      <protection locked="0"/>
    </xf>
    <xf numFmtId="1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10" fontId="12" fillId="0" borderId="0" xfId="0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10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8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0" fontId="4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1" fillId="0" borderId="8" xfId="3" applyBorder="1"/>
    <xf numFmtId="0" fontId="0" fillId="0" borderId="9" xfId="0" applyFill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4" fillId="0" borderId="9" xfId="0" applyNumberFormat="1" applyFont="1" applyBorder="1" applyAlignment="1">
      <alignment horizontal="center"/>
    </xf>
    <xf numFmtId="10" fontId="0" fillId="0" borderId="10" xfId="0" applyNumberFormat="1" applyBorder="1"/>
    <xf numFmtId="10" fontId="0" fillId="0" borderId="6" xfId="0" applyNumberFormat="1" applyBorder="1"/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14" fillId="0" borderId="9" xfId="0" applyNumberFormat="1" applyFont="1" applyBorder="1" applyAlignment="1">
      <alignment horizontal="center" vertical="center"/>
    </xf>
    <xf numFmtId="10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1" fillId="2" borderId="0" xfId="3" applyFill="1"/>
    <xf numFmtId="0" fontId="0" fillId="3" borderId="0" xfId="0" applyFill="1" applyAlignment="1">
      <alignment horizontal="center"/>
    </xf>
    <xf numFmtId="0" fontId="15" fillId="3" borderId="0" xfId="3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8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21" fillId="0" borderId="0" xfId="0" applyFont="1"/>
    <xf numFmtId="0" fontId="16" fillId="5" borderId="0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Fill="1" applyBorder="1" applyAlignment="1">
      <alignment horizontal="center" wrapText="1"/>
    </xf>
    <xf numFmtId="0" fontId="14" fillId="0" borderId="0" xfId="0" applyFont="1" applyFill="1" applyBorder="1"/>
    <xf numFmtId="166" fontId="6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/>
    <xf numFmtId="10" fontId="0" fillId="0" borderId="0" xfId="4" applyNumberFormat="1" applyFont="1"/>
    <xf numFmtId="10" fontId="9" fillId="0" borderId="0" xfId="0" applyNumberFormat="1" applyFont="1"/>
    <xf numFmtId="1" fontId="0" fillId="0" borderId="0" xfId="0" applyNumberFormat="1"/>
    <xf numFmtId="0" fontId="9" fillId="0" borderId="11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5">
    <cellStyle name="Hyperlink" xfId="3" builtinId="8"/>
    <cellStyle name="input data" xfId="1"/>
    <cellStyle name="input estimate" xfId="2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Usage!$C$25</c:f>
              <c:strCache>
                <c:ptCount val="1"/>
                <c:pt idx="0">
                  <c:v>P</c:v>
                </c:pt>
              </c:strCache>
            </c:strRef>
          </c:tx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2007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F4-41EB-82A7-A973276A776D}"/>
                </c:ext>
              </c:extLst>
            </c:dLbl>
            <c:dLbl>
              <c:idx val="1"/>
              <c:layout>
                <c:manualLayout>
                  <c:x val="-1.6395888013998251E-2"/>
                  <c:y val="-6.06598133566637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2008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F4-41EB-82A7-A973276A77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2009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F4-41EB-82A7-A973276A77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2010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F4-41EB-82A7-A973276A77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F4-41EB-82A7-A973276A776D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Usage!$B$26:$B$34</c:f>
              <c:numCache>
                <c:formatCode>0.00</c:formatCode>
                <c:ptCount val="9"/>
                <c:pt idx="0">
                  <c:v>44629.333333333336</c:v>
                </c:pt>
                <c:pt idx="1">
                  <c:v>414464</c:v>
                </c:pt>
                <c:pt idx="2">
                  <c:v>1376853.3333333333</c:v>
                </c:pt>
                <c:pt idx="3">
                  <c:v>2873002.6666666665</c:v>
                </c:pt>
                <c:pt idx="4">
                  <c:v>5250133.333333333</c:v>
                </c:pt>
                <c:pt idx="5">
                  <c:v>8751616</c:v>
                </c:pt>
                <c:pt idx="6">
                  <c:v>15253333.333333334</c:v>
                </c:pt>
                <c:pt idx="7">
                  <c:v>27700736</c:v>
                </c:pt>
                <c:pt idx="8">
                  <c:v>53534378.666666664</c:v>
                </c:pt>
              </c:numCache>
            </c:numRef>
          </c:xVal>
          <c:yVal>
            <c:numRef>
              <c:f>Usage!$C$26:$C$34</c:f>
              <c:numCache>
                <c:formatCode>0.00</c:formatCode>
                <c:ptCount val="9"/>
                <c:pt idx="0">
                  <c:v>134.59620665531386</c:v>
                </c:pt>
                <c:pt idx="1">
                  <c:v>28.550931645048387</c:v>
                </c:pt>
                <c:pt idx="2">
                  <c:v>10.154555314533624</c:v>
                </c:pt>
                <c:pt idx="3">
                  <c:v>6.6586141429639198</c:v>
                </c:pt>
                <c:pt idx="4">
                  <c:v>4.8340749353277479</c:v>
                </c:pt>
                <c:pt idx="5">
                  <c:v>3.7917600335501209</c:v>
                </c:pt>
                <c:pt idx="6">
                  <c:v>2.9000946969696968</c:v>
                </c:pt>
                <c:pt idx="7">
                  <c:v>1.8777755856655132</c:v>
                </c:pt>
                <c:pt idx="8">
                  <c:v>1.1302362148114002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F4-41EB-82A7-A973276A77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163648"/>
        <c:axId val="151617536"/>
      </c:scatterChart>
      <c:valAx>
        <c:axId val="15116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GB/mon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617536"/>
        <c:crosses val="autoZero"/>
        <c:crossBetween val="midCat"/>
      </c:valAx>
      <c:valAx>
        <c:axId val="15161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€/GB/mon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16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 data traffic'!$M$2:$N$2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'mobile data traffic'!$I$14:$I$32</c:f>
              <c:numCache>
                <c:formatCode>General</c:formatCod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numCache>
            </c:numRef>
          </c:cat>
          <c:val>
            <c:numRef>
              <c:f>'mobile data traffic'!$M$14:$M$32</c:f>
              <c:numCache>
                <c:formatCode>0.00</c:formatCode>
                <c:ptCount val="19"/>
                <c:pt idx="0">
                  <c:v>960.661642513998</c:v>
                </c:pt>
                <c:pt idx="1">
                  <c:v>30156.165225796602</c:v>
                </c:pt>
                <c:pt idx="2">
                  <c:v>226439.03649366583</c:v>
                </c:pt>
                <c:pt idx="3">
                  <c:v>946633.30030093645</c:v>
                </c:pt>
                <c:pt idx="4">
                  <c:v>2871081.8490294819</c:v>
                </c:pt>
                <c:pt idx="5">
                  <c:v>7108156.1872328743</c:v>
                </c:pt>
                <c:pt idx="6">
                  <c:v>15298019.063985802</c:v>
                </c:pt>
                <c:pt idx="7">
                  <c:v>29715801.015444625</c:v>
                </c:pt>
                <c:pt idx="8">
                  <c:v>53374294.318649866</c:v>
                </c:pt>
                <c:pt idx="9">
                  <c:v>90126236.735695705</c:v>
                </c:pt>
                <c:pt idx="10">
                  <c:v>144766238.58014065</c:v>
                </c:pt>
                <c:pt idx="11">
                  <c:v>223132394.3277351</c:v>
                </c:pt>
                <c:pt idx="12">
                  <c:v>332207611.50002837</c:v>
                </c:pt>
                <c:pt idx="13">
                  <c:v>480220683.4382059</c:v>
                </c:pt>
                <c:pt idx="14">
                  <c:v>676747128.03911579</c:v>
                </c:pt>
                <c:pt idx="15">
                  <c:v>932809811.05226696</c:v>
                </c:pt>
                <c:pt idx="16">
                  <c:v>1260979369.8227077</c:v>
                </c:pt>
                <c:pt idx="17">
                  <c:v>1675474451.2036109</c:v>
                </c:pt>
                <c:pt idx="18">
                  <c:v>2192261775.6136193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F-43C7-AC2E-AECA8A44A6DC}"/>
            </c:ext>
          </c:extLst>
        </c:ser>
        <c:ser>
          <c:idx val="2"/>
          <c:order val="1"/>
          <c:tx>
            <c:strRef>
              <c:f>'mobile data traffic'!$P$2:$Q$2</c:f>
              <c:strCache>
                <c:ptCount val="1"/>
                <c:pt idx="0">
                  <c:v>Exponential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'mobile data traffic'!$I$14:$I$32</c:f>
              <c:numCache>
                <c:formatCode>General</c:formatCod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numCache>
            </c:numRef>
          </c:cat>
          <c:val>
            <c:numRef>
              <c:f>'mobile data traffic'!$P$14:$P$32</c:f>
              <c:numCache>
                <c:formatCode>0.00</c:formatCode>
                <c:ptCount val="19"/>
                <c:pt idx="0">
                  <c:v>505017.78613128053</c:v>
                </c:pt>
                <c:pt idx="1">
                  <c:v>899656.55894279538</c:v>
                </c:pt>
                <c:pt idx="2">
                  <c:v>1602680.0367747659</c:v>
                </c:pt>
                <c:pt idx="3">
                  <c:v>2855070.9431772041</c:v>
                </c:pt>
                <c:pt idx="4">
                  <c:v>5086124.4312861804</c:v>
                </c:pt>
                <c:pt idx="5">
                  <c:v>9060602.0814806055</c:v>
                </c:pt>
                <c:pt idx="6">
                  <c:v>16140877.241214203</c:v>
                </c:pt>
                <c:pt idx="7">
                  <c:v>28753930.011831358</c:v>
                </c:pt>
                <c:pt idx="8">
                  <c:v>51223268.647020616</c:v>
                </c:pt>
                <c:pt idx="9">
                  <c:v>91250943.777258277</c:v>
                </c:pt>
                <c:pt idx="10">
                  <c:v>162557661.00402251</c:v>
                </c:pt>
                <c:pt idx="11">
                  <c:v>289585970.91994578</c:v>
                </c:pt>
                <c:pt idx="12">
                  <c:v>515878698.27662295</c:v>
                </c:pt>
                <c:pt idx="13">
                  <c:v>919004572.25240624</c:v>
                </c:pt>
                <c:pt idx="14">
                  <c:v>1637147272.4930329</c:v>
                </c:pt>
                <c:pt idx="15">
                  <c:v>2916472096.8278723</c:v>
                </c:pt>
                <c:pt idx="16">
                  <c:v>5195506619.6476002</c:v>
                </c:pt>
                <c:pt idx="17">
                  <c:v>9255459383.3287601</c:v>
                </c:pt>
                <c:pt idx="18">
                  <c:v>16488002935.555609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2F-43C7-AC2E-AECA8A44A6DC}"/>
            </c:ext>
          </c:extLst>
        </c:ser>
        <c:ser>
          <c:idx val="1"/>
          <c:order val="2"/>
          <c:tx>
            <c:strRef>
              <c:f>'mobile data traffic'!$U$2</c:f>
              <c:strCache>
                <c:ptCount val="1"/>
                <c:pt idx="0">
                  <c:v>Geometric progression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'mobile data traffic'!$V$14:$V$32</c:f>
              <c:numCache>
                <c:formatCode>0.00</c:formatCode>
                <c:ptCount val="19"/>
                <c:pt idx="0">
                  <c:v>1301928.8407500901</c:v>
                </c:pt>
                <c:pt idx="1">
                  <c:v>1682077.6234895883</c:v>
                </c:pt>
                <c:pt idx="2">
                  <c:v>2393860.0257055284</c:v>
                </c:pt>
                <c:pt idx="3">
                  <c:v>3627625.037607397</c:v>
                </c:pt>
                <c:pt idx="4">
                  <c:v>5760026.7295143977</c:v>
                </c:pt>
                <c:pt idx="5">
                  <c:v>9492631.3409211319</c:v>
                </c:pt>
                <c:pt idx="6">
                  <c:v>16135684.625988329</c:v>
                </c:pt>
                <c:pt idx="7">
                  <c:v>28163892.413466725</c:v>
                </c:pt>
                <c:pt idx="8">
                  <c:v>50310227.041090891</c:v>
                </c:pt>
                <c:pt idx="9">
                  <c:v>91739354.187596411</c:v>
                </c:pt>
                <c:pt idx="10">
                  <c:v>170409630.43029454</c:v>
                </c:pt>
                <c:pt idx="11">
                  <c:v>321913134.07949823</c:v>
                </c:pt>
                <c:pt idx="12">
                  <c:v>617559833.02887738</c:v>
                </c:pt>
                <c:pt idx="13">
                  <c:v>1201708260.0504978</c:v>
                </c:pt>
                <c:pt idx="14">
                  <c:v>2369498976.4401646</c:v>
                </c:pt>
                <c:pt idx="15">
                  <c:v>4730078970.0092306</c:v>
                </c:pt>
                <c:pt idx="16">
                  <c:v>9552115031.7946587</c:v>
                </c:pt>
                <c:pt idx="17">
                  <c:v>19500887567.478489</c:v>
                </c:pt>
                <c:pt idx="18">
                  <c:v>40222604608.664108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4-415F-9DC7-47FE6395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725136"/>
        <c:axId val="667728744"/>
      </c:lineChart>
      <c:catAx>
        <c:axId val="6677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28744"/>
        <c:crosses val="autoZero"/>
        <c:auto val="1"/>
        <c:lblAlgn val="ctr"/>
        <c:lblOffset val="100"/>
        <c:noMultiLvlLbl val="0"/>
      </c:catAx>
      <c:valAx>
        <c:axId val="66772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'mobile data traffic'!$D$3</c:f>
              <c:strCache>
                <c:ptCount val="1"/>
                <c:pt idx="0">
                  <c:v>Mobile data traffic (GB/mon)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'mobile data traffic'!$D$4:$D$10</c:f>
              <c:numCache>
                <c:formatCode>0.00000</c:formatCode>
                <c:ptCount val="7"/>
                <c:pt idx="0">
                  <c:v>44629.333333333336</c:v>
                </c:pt>
                <c:pt idx="1">
                  <c:v>414464</c:v>
                </c:pt>
                <c:pt idx="2">
                  <c:v>1376853.3333333333</c:v>
                </c:pt>
                <c:pt idx="3">
                  <c:v>2873002.6666666665</c:v>
                </c:pt>
                <c:pt idx="4">
                  <c:v>5250133.333333333</c:v>
                </c:pt>
                <c:pt idx="5">
                  <c:v>8751616</c:v>
                </c:pt>
                <c:pt idx="6">
                  <c:v>15253333.333333334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4-4FD7-88A9-932E4136D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80696"/>
        <c:axId val="582681680"/>
      </c:lineChart>
      <c:catAx>
        <c:axId val="58268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81680"/>
        <c:crosses val="autoZero"/>
        <c:auto val="1"/>
        <c:lblAlgn val="ctr"/>
        <c:lblOffset val="100"/>
        <c:noMultiLvlLbl val="0"/>
      </c:catAx>
      <c:valAx>
        <c:axId val="582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8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Usage!$C$25</c:f>
              <c:strCache>
                <c:ptCount val="1"/>
                <c:pt idx="0">
                  <c:v>P</c:v>
                </c:pt>
              </c:strCache>
            </c:strRef>
          </c:tx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2007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1B-4ACB-B57C-E00726D9A52A}"/>
                </c:ext>
              </c:extLst>
            </c:dLbl>
            <c:dLbl>
              <c:idx val="1"/>
              <c:layout>
                <c:manualLayout>
                  <c:x val="-1.6395888013998251E-2"/>
                  <c:y val="-6.06598133566637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2008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1B-4ACB-B57C-E00726D9A52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2009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1B-4ACB-B57C-E00726D9A52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2010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1B-4ACB-B57C-E00726D9A52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1B-4ACB-B57C-E00726D9A52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E6C429-61F3-4ADF-BFAC-092EDDD35F47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{FBE6C429-61F3-4ADF-BFAC-092EDDD35F47}</c15:txfldGUID>
                      <c15:f>Usage!$A$31</c15:f>
                      <c15:dlblFieldTableCache>
                        <c:ptCount val="1"/>
                        <c:pt idx="0">
                          <c:v>2012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8DB-4F81-991D-941619426E2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2D3ABF9-6C39-452C-92AD-D557524EA9C8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{82D3ABF9-6C39-452C-92AD-D557524EA9C8}</c15:txfldGUID>
                      <c15:f>Usage!$A$32</c15:f>
                      <c15:dlblFieldTableCache>
                        <c:ptCount val="1"/>
                        <c:pt idx="0">
                          <c:v>2013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8DB-4F81-991D-941619426E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D4D0727-7071-484F-AEC9-0300A8D42D52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{6D4D0727-7071-484F-AEC9-0300A8D42D52}</c15:txfldGUID>
                      <c15:f>Usage!$A$33</c15:f>
                      <c15:dlblFieldTableCache>
                        <c:ptCount val="1"/>
                        <c:pt idx="0">
                          <c:v>2014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8DB-4F81-991D-941619426E2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95253A7-B2CE-48FE-A0F6-41BC146A8A09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{A95253A7-B2CE-48FE-A0F6-41BC146A8A09}</c15:txfldGUID>
                      <c15:f>Usage!$A$34</c15:f>
                      <c15:dlblFieldTableCache>
                        <c:ptCount val="1"/>
                        <c:pt idx="0">
                          <c:v>2015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8DB-4F81-991D-941619426E2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Usage!$B$26:$B$35</c:f>
              <c:numCache>
                <c:formatCode>0.00</c:formatCode>
                <c:ptCount val="10"/>
                <c:pt idx="0">
                  <c:v>44629.333333333336</c:v>
                </c:pt>
                <c:pt idx="1">
                  <c:v>414464</c:v>
                </c:pt>
                <c:pt idx="2">
                  <c:v>1376853.3333333333</c:v>
                </c:pt>
                <c:pt idx="3">
                  <c:v>2873002.6666666665</c:v>
                </c:pt>
                <c:pt idx="4">
                  <c:v>5250133.333333333</c:v>
                </c:pt>
                <c:pt idx="5">
                  <c:v>8751616</c:v>
                </c:pt>
                <c:pt idx="6">
                  <c:v>15253333.333333334</c:v>
                </c:pt>
                <c:pt idx="7">
                  <c:v>27700736</c:v>
                </c:pt>
                <c:pt idx="8">
                  <c:v>53534378.666666664</c:v>
                </c:pt>
                <c:pt idx="9">
                  <c:v>90474752</c:v>
                </c:pt>
              </c:numCache>
            </c:numRef>
          </c:xVal>
          <c:yVal>
            <c:numRef>
              <c:f>Usage!$C$26:$C$35</c:f>
              <c:numCache>
                <c:formatCode>0.00</c:formatCode>
                <c:ptCount val="10"/>
                <c:pt idx="0">
                  <c:v>134.59620665531386</c:v>
                </c:pt>
                <c:pt idx="1">
                  <c:v>28.550931645048387</c:v>
                </c:pt>
                <c:pt idx="2">
                  <c:v>10.154555314533624</c:v>
                </c:pt>
                <c:pt idx="3">
                  <c:v>6.6586141429639198</c:v>
                </c:pt>
                <c:pt idx="4">
                  <c:v>4.8340749353277479</c:v>
                </c:pt>
                <c:pt idx="5">
                  <c:v>3.7917600335501209</c:v>
                </c:pt>
                <c:pt idx="6">
                  <c:v>2.9000946969696968</c:v>
                </c:pt>
                <c:pt idx="7">
                  <c:v>1.8777755856655132</c:v>
                </c:pt>
                <c:pt idx="8">
                  <c:v>1.1302362148114002</c:v>
                </c:pt>
                <c:pt idx="9">
                  <c:v>0.75662761918962373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1B-4ACB-B57C-E00726D9A5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632512"/>
        <c:axId val="151717760"/>
      </c:scatterChart>
      <c:valAx>
        <c:axId val="151632512"/>
        <c:scaling>
          <c:logBase val="10"/>
          <c:orientation val="minMax"/>
          <c:min val="2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GB/mon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717760"/>
        <c:crosses val="autoZero"/>
        <c:crossBetween val="midCat"/>
      </c:valAx>
      <c:valAx>
        <c:axId val="151717760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€/GB/mon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63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Mobile data traffic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Usage!$A$26:$A$35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Usage!$L$6:$L$15</c:f>
              <c:numCache>
                <c:formatCode>0.00</c:formatCode>
                <c:ptCount val="10"/>
                <c:pt idx="0">
                  <c:v>0.5107421875</c:v>
                </c:pt>
                <c:pt idx="1">
                  <c:v>4.7431640625</c:v>
                </c:pt>
                <c:pt idx="2">
                  <c:v>15.7568359375</c:v>
                </c:pt>
                <c:pt idx="3">
                  <c:v>32.87890625</c:v>
                </c:pt>
                <c:pt idx="4">
                  <c:v>60.0830078125</c:v>
                </c:pt>
                <c:pt idx="5">
                  <c:v>100.154296875</c:v>
                </c:pt>
                <c:pt idx="6">
                  <c:v>174.560546875</c:v>
                </c:pt>
                <c:pt idx="7">
                  <c:v>317.009765625</c:v>
                </c:pt>
                <c:pt idx="8">
                  <c:v>612.65234375</c:v>
                </c:pt>
                <c:pt idx="9">
                  <c:v>1035.4013671875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9-4B5C-A734-4A9B0A2B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347072"/>
        <c:axId val="269348864"/>
      </c:barChart>
      <c:lineChart>
        <c:grouping val="standard"/>
        <c:varyColors val="0"/>
        <c:ser>
          <c:idx val="1"/>
          <c:order val="1"/>
          <c:tx>
            <c:v>Mobile data subscriptions penetration</c:v>
          </c:tx>
          <c:cat>
            <c:numRef>
              <c:f>Usage!$A$26:$A$35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Usage!$G$6:$G$15</c:f>
              <c:numCache>
                <c:formatCode>0.00%</c:formatCode>
                <c:ptCount val="10"/>
                <c:pt idx="0">
                  <c:v>0.2392989017606694</c:v>
                </c:pt>
                <c:pt idx="1">
                  <c:v>0.31917006770535872</c:v>
                </c:pt>
                <c:pt idx="2">
                  <c:v>0.54183245494196042</c:v>
                </c:pt>
                <c:pt idx="3">
                  <c:v>0.71760535424257155</c:v>
                </c:pt>
                <c:pt idx="4">
                  <c:v>0.86598670673397182</c:v>
                </c:pt>
                <c:pt idx="5">
                  <c:v>1.0606969073319201</c:v>
                </c:pt>
                <c:pt idx="6">
                  <c:v>1.2278796113522785</c:v>
                </c:pt>
                <c:pt idx="7">
                  <c:v>1.3752443612245293</c:v>
                </c:pt>
                <c:pt idx="8">
                  <c:v>1.428641965985614</c:v>
                </c:pt>
                <c:pt idx="9">
                  <c:v>1.5204227428389994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9-4B5C-A734-4A9B0A2B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422976"/>
        <c:axId val="269351168"/>
      </c:lineChart>
      <c:catAx>
        <c:axId val="26934707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9348864"/>
        <c:crosses val="autoZero"/>
        <c:auto val="1"/>
        <c:lblAlgn val="ctr"/>
        <c:lblOffset val="100"/>
        <c:noMultiLvlLbl val="0"/>
      </c:catAx>
      <c:valAx>
        <c:axId val="269348864"/>
        <c:scaling>
          <c:orientation val="minMax"/>
          <c:max val="1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Mobile data traffic (PB/year)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/>
            </a:pPr>
            <a:endParaRPr lang="en-US"/>
          </a:p>
        </c:txPr>
        <c:crossAx val="269347072"/>
        <c:crosses val="autoZero"/>
        <c:crossBetween val="between"/>
        <c:majorUnit val="150"/>
      </c:valAx>
      <c:valAx>
        <c:axId val="269351168"/>
        <c:scaling>
          <c:orientation val="minMax"/>
        </c:scaling>
        <c:delete val="0"/>
        <c:axPos val="r"/>
        <c:majorGridlines/>
        <c:title>
          <c:tx>
            <c:rich>
              <a:bodyPr rot="5400000" vert="horz"/>
              <a:lstStyle/>
              <a:p>
                <a:pPr algn="ctr" rtl="0">
                  <a:defRPr sz="1600" b="0"/>
                </a:pPr>
                <a:r>
                  <a:rPr lang="en-US" sz="1600" b="0"/>
                  <a:t>Penetration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69422976"/>
        <c:crosses val="max"/>
        <c:crossBetween val="between"/>
      </c:valAx>
      <c:catAx>
        <c:axId val="269422976"/>
        <c:scaling>
          <c:orientation val="minMax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2693511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500"/>
      </a:pPr>
      <a:endParaRPr lang="en-US"/>
    </a:p>
  </c:tx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power"/>
            <c:dispRSqr val="1"/>
            <c:dispEq val="1"/>
            <c:trendlineLbl>
              <c:layout>
                <c:manualLayout>
                  <c:x val="0.13877485026877281"/>
                  <c:y val="-0.37690835520559929"/>
                </c:manualLayout>
              </c:layout>
              <c:numFmt formatCode="General" sourceLinked="0"/>
            </c:trendlineLbl>
          </c:trendline>
          <c:xVal>
            <c:numRef>
              <c:f>Usage!$B$27:$B$30</c:f>
              <c:numCache>
                <c:formatCode>0.00</c:formatCode>
                <c:ptCount val="4"/>
                <c:pt idx="0">
                  <c:v>414464</c:v>
                </c:pt>
                <c:pt idx="1">
                  <c:v>1376853.3333333333</c:v>
                </c:pt>
                <c:pt idx="2">
                  <c:v>2873002.6666666665</c:v>
                </c:pt>
                <c:pt idx="3">
                  <c:v>5250133.333333333</c:v>
                </c:pt>
              </c:numCache>
            </c:numRef>
          </c:xVal>
          <c:yVal>
            <c:numRef>
              <c:f>Usage!$C$27:$C$30</c:f>
              <c:numCache>
                <c:formatCode>0.00</c:formatCode>
                <c:ptCount val="4"/>
                <c:pt idx="0">
                  <c:v>28.550931645048387</c:v>
                </c:pt>
                <c:pt idx="1">
                  <c:v>10.154555314533624</c:v>
                </c:pt>
                <c:pt idx="2">
                  <c:v>6.6586141429639198</c:v>
                </c:pt>
                <c:pt idx="3">
                  <c:v>4.8340749353277479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138-4595-A128-742403D4EF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632512"/>
        <c:axId val="151717760"/>
      </c:scatterChart>
      <c:valAx>
        <c:axId val="151632512"/>
        <c:scaling>
          <c:logBase val="10"/>
          <c:orientation val="minMax"/>
          <c:min val="3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GB/mon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717760"/>
        <c:crosses val="autoZero"/>
        <c:crossBetween val="midCat"/>
      </c:valAx>
      <c:valAx>
        <c:axId val="151717760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€/GB/mon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63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power"/>
            <c:dispRSqr val="1"/>
            <c:dispEq val="1"/>
            <c:trendlineLbl>
              <c:layout>
                <c:manualLayout>
                  <c:x val="0.17172569005104971"/>
                  <c:y val="-0.51777121609798771"/>
                </c:manualLayout>
              </c:layout>
              <c:numFmt formatCode="General" sourceLinked="0"/>
            </c:trendlineLbl>
          </c:trendline>
          <c:xVal>
            <c:numRef>
              <c:f>Usage!$B$31:$B$34</c:f>
              <c:numCache>
                <c:formatCode>0.00</c:formatCode>
                <c:ptCount val="4"/>
                <c:pt idx="0">
                  <c:v>8751616</c:v>
                </c:pt>
                <c:pt idx="1">
                  <c:v>15253333.333333334</c:v>
                </c:pt>
                <c:pt idx="2">
                  <c:v>27700736</c:v>
                </c:pt>
                <c:pt idx="3">
                  <c:v>53534378.666666664</c:v>
                </c:pt>
              </c:numCache>
            </c:numRef>
          </c:xVal>
          <c:yVal>
            <c:numRef>
              <c:f>Usage!$C$31:$C$34</c:f>
              <c:numCache>
                <c:formatCode>0.00</c:formatCode>
                <c:ptCount val="4"/>
                <c:pt idx="0">
                  <c:v>3.7917600335501209</c:v>
                </c:pt>
                <c:pt idx="1">
                  <c:v>2.9000946969696968</c:v>
                </c:pt>
                <c:pt idx="2">
                  <c:v>1.8777755856655132</c:v>
                </c:pt>
                <c:pt idx="3">
                  <c:v>1.1302362148114002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B48-46D0-A2D9-7DFE8FCAED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632512"/>
        <c:axId val="151717760"/>
      </c:scatterChart>
      <c:valAx>
        <c:axId val="151632512"/>
        <c:scaling>
          <c:logBase val="10"/>
          <c:orientation val="minMax"/>
          <c:min val="8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GB/mon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717760"/>
        <c:crosses val="autoZero"/>
        <c:crossBetween val="midCat"/>
      </c:valAx>
      <c:valAx>
        <c:axId val="151717760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€/GB/mon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63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power"/>
            <c:dispRSqr val="1"/>
            <c:dispEq val="1"/>
            <c:trendlineLbl>
              <c:layout>
                <c:manualLayout>
                  <c:x val="2.8322901888063419E-2"/>
                  <c:y val="-0.51080234762321375"/>
                </c:manualLayout>
              </c:layout>
              <c:numFmt formatCode="General" sourceLinked="0"/>
            </c:trendlineLbl>
          </c:trendline>
          <c:xVal>
            <c:numRef>
              <c:f>Usage!$B$27:$B$34</c:f>
              <c:numCache>
                <c:formatCode>0.00</c:formatCode>
                <c:ptCount val="8"/>
                <c:pt idx="0">
                  <c:v>414464</c:v>
                </c:pt>
                <c:pt idx="1">
                  <c:v>1376853.3333333333</c:v>
                </c:pt>
                <c:pt idx="2">
                  <c:v>2873002.6666666665</c:v>
                </c:pt>
                <c:pt idx="3">
                  <c:v>5250133.333333333</c:v>
                </c:pt>
                <c:pt idx="4">
                  <c:v>8751616</c:v>
                </c:pt>
                <c:pt idx="5">
                  <c:v>15253333.333333334</c:v>
                </c:pt>
                <c:pt idx="6">
                  <c:v>27700736</c:v>
                </c:pt>
                <c:pt idx="7">
                  <c:v>53534378.666666664</c:v>
                </c:pt>
              </c:numCache>
            </c:numRef>
          </c:xVal>
          <c:yVal>
            <c:numRef>
              <c:f>Usage!$C$27:$C$34</c:f>
              <c:numCache>
                <c:formatCode>0.00</c:formatCode>
                <c:ptCount val="8"/>
                <c:pt idx="0">
                  <c:v>28.550931645048387</c:v>
                </c:pt>
                <c:pt idx="1">
                  <c:v>10.154555314533624</c:v>
                </c:pt>
                <c:pt idx="2">
                  <c:v>6.6586141429639198</c:v>
                </c:pt>
                <c:pt idx="3">
                  <c:v>4.8340749353277479</c:v>
                </c:pt>
                <c:pt idx="4">
                  <c:v>3.7917600335501209</c:v>
                </c:pt>
                <c:pt idx="5">
                  <c:v>2.9000946969696968</c:v>
                </c:pt>
                <c:pt idx="6">
                  <c:v>1.8777755856655132</c:v>
                </c:pt>
                <c:pt idx="7">
                  <c:v>1.1302362148114002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49E-47D5-ADEB-BF2C230F0B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632512"/>
        <c:axId val="151717760"/>
      </c:scatterChart>
      <c:valAx>
        <c:axId val="151632512"/>
        <c:scaling>
          <c:logBase val="10"/>
          <c:orientation val="minMax"/>
          <c:min val="3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GB/mon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717760"/>
        <c:crosses val="autoZero"/>
        <c:crossBetween val="midCat"/>
      </c:valAx>
      <c:valAx>
        <c:axId val="151717760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€/GB/mon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63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Usage!$C$25</c:f>
              <c:strCache>
                <c:ptCount val="1"/>
                <c:pt idx="0">
                  <c:v>P</c:v>
                </c:pt>
              </c:strCache>
            </c:strRef>
          </c:tx>
          <c:dLbls>
            <c:delete val="1"/>
          </c:dLbls>
          <c:trendline>
            <c:trendlineType val="power"/>
            <c:dispRSqr val="1"/>
            <c:dispEq val="1"/>
            <c:trendlineLbl>
              <c:layout>
                <c:manualLayout>
                  <c:x val="4.5428694905475457E-2"/>
                  <c:y val="-0.5154319772528434"/>
                </c:manualLayout>
              </c:layout>
              <c:numFmt formatCode="General" sourceLinked="0"/>
            </c:trendlineLbl>
          </c:trendline>
          <c:xVal>
            <c:numRef>
              <c:f>Usage!$B$26:$B$34</c:f>
              <c:numCache>
                <c:formatCode>0.00</c:formatCode>
                <c:ptCount val="9"/>
                <c:pt idx="0">
                  <c:v>44629.333333333336</c:v>
                </c:pt>
                <c:pt idx="1">
                  <c:v>414464</c:v>
                </c:pt>
                <c:pt idx="2">
                  <c:v>1376853.3333333333</c:v>
                </c:pt>
                <c:pt idx="3">
                  <c:v>2873002.6666666665</c:v>
                </c:pt>
                <c:pt idx="4">
                  <c:v>5250133.333333333</c:v>
                </c:pt>
                <c:pt idx="5">
                  <c:v>8751616</c:v>
                </c:pt>
                <c:pt idx="6">
                  <c:v>15253333.333333334</c:v>
                </c:pt>
                <c:pt idx="7">
                  <c:v>27700736</c:v>
                </c:pt>
                <c:pt idx="8">
                  <c:v>53534378.666666664</c:v>
                </c:pt>
              </c:numCache>
            </c:numRef>
          </c:xVal>
          <c:yVal>
            <c:numRef>
              <c:f>Usage!$C$26:$C$34</c:f>
              <c:numCache>
                <c:formatCode>0.00</c:formatCode>
                <c:ptCount val="9"/>
                <c:pt idx="0">
                  <c:v>134.59620665531386</c:v>
                </c:pt>
                <c:pt idx="1">
                  <c:v>28.550931645048387</c:v>
                </c:pt>
                <c:pt idx="2">
                  <c:v>10.154555314533624</c:v>
                </c:pt>
                <c:pt idx="3">
                  <c:v>6.6586141429639198</c:v>
                </c:pt>
                <c:pt idx="4">
                  <c:v>4.8340749353277479</c:v>
                </c:pt>
                <c:pt idx="5">
                  <c:v>3.7917600335501209</c:v>
                </c:pt>
                <c:pt idx="6">
                  <c:v>2.9000946969696968</c:v>
                </c:pt>
                <c:pt idx="7">
                  <c:v>1.8777755856655132</c:v>
                </c:pt>
                <c:pt idx="8">
                  <c:v>1.1302362148114002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16F-4E9B-A573-7178806508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632512"/>
        <c:axId val="151717760"/>
      </c:scatterChart>
      <c:valAx>
        <c:axId val="151632512"/>
        <c:scaling>
          <c:logBase val="10"/>
          <c:orientation val="minMax"/>
          <c:min val="2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GB/mon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717760"/>
        <c:crosses val="autoZero"/>
        <c:crossBetween val="midCat"/>
      </c:valAx>
      <c:valAx>
        <c:axId val="151717760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€/GB/mon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63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Usage!$C$25</c:f>
              <c:strCache>
                <c:ptCount val="1"/>
                <c:pt idx="0">
                  <c:v>P</c:v>
                </c:pt>
              </c:strCache>
            </c:strRef>
          </c:tx>
          <c:dLbls>
            <c:delete val="1"/>
          </c:dLbls>
          <c:trendline>
            <c:trendlineType val="power"/>
            <c:dispRSqr val="1"/>
            <c:dispEq val="1"/>
            <c:trendlineLbl>
              <c:layout>
                <c:manualLayout>
                  <c:x val="0.10868469293232197"/>
                  <c:y val="-0.47152158063575389"/>
                </c:manualLayout>
              </c:layout>
              <c:numFmt formatCode="General" sourceLinked="0"/>
            </c:trendlineLbl>
          </c:trendline>
          <c:xVal>
            <c:numRef>
              <c:f>Usage!$B$26:$B$30</c:f>
              <c:numCache>
                <c:formatCode>0.00</c:formatCode>
                <c:ptCount val="5"/>
                <c:pt idx="0">
                  <c:v>44629.333333333336</c:v>
                </c:pt>
                <c:pt idx="1">
                  <c:v>414464</c:v>
                </c:pt>
                <c:pt idx="2">
                  <c:v>1376853.3333333333</c:v>
                </c:pt>
                <c:pt idx="3">
                  <c:v>2873002.6666666665</c:v>
                </c:pt>
                <c:pt idx="4">
                  <c:v>5250133.333333333</c:v>
                </c:pt>
              </c:numCache>
            </c:numRef>
          </c:xVal>
          <c:yVal>
            <c:numRef>
              <c:f>Usage!$C$26:$C$30</c:f>
              <c:numCache>
                <c:formatCode>0.00</c:formatCode>
                <c:ptCount val="5"/>
                <c:pt idx="0">
                  <c:v>134.59620665531386</c:v>
                </c:pt>
                <c:pt idx="1">
                  <c:v>28.550931645048387</c:v>
                </c:pt>
                <c:pt idx="2">
                  <c:v>10.154555314533624</c:v>
                </c:pt>
                <c:pt idx="3">
                  <c:v>6.6586141429639198</c:v>
                </c:pt>
                <c:pt idx="4">
                  <c:v>4.8340749353277479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EA5-461C-BBB5-5FDEAEC0B4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632512"/>
        <c:axId val="151717760"/>
      </c:scatterChart>
      <c:valAx>
        <c:axId val="151632512"/>
        <c:scaling>
          <c:logBase val="10"/>
          <c:orientation val="minMax"/>
          <c:min val="2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GB/mon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717760"/>
        <c:crosses val="autoZero"/>
        <c:crossBetween val="midCat"/>
      </c:valAx>
      <c:valAx>
        <c:axId val="151717760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€/GB/mon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63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power"/>
            <c:dispRSqr val="1"/>
            <c:dispEq val="1"/>
            <c:trendlineLbl>
              <c:layout>
                <c:manualLayout>
                  <c:x val="0.18824088077549442"/>
                  <c:y val="-0.54091936424613585"/>
                </c:manualLayout>
              </c:layout>
              <c:numFmt formatCode="General" sourceLinked="0"/>
            </c:trendlineLbl>
          </c:trendline>
          <c:xVal>
            <c:numRef>
              <c:f>Usage!$B$31:$B$34</c:f>
              <c:numCache>
                <c:formatCode>0.00</c:formatCode>
                <c:ptCount val="4"/>
                <c:pt idx="0">
                  <c:v>8751616</c:v>
                </c:pt>
                <c:pt idx="1">
                  <c:v>15253333.333333334</c:v>
                </c:pt>
                <c:pt idx="2">
                  <c:v>27700736</c:v>
                </c:pt>
                <c:pt idx="3">
                  <c:v>53534378.666666664</c:v>
                </c:pt>
              </c:numCache>
            </c:numRef>
          </c:xVal>
          <c:yVal>
            <c:numRef>
              <c:f>Usage!$C$31:$C$34</c:f>
              <c:numCache>
                <c:formatCode>0.00</c:formatCode>
                <c:ptCount val="4"/>
                <c:pt idx="0">
                  <c:v>3.7917600335501209</c:v>
                </c:pt>
                <c:pt idx="1">
                  <c:v>2.9000946969696968</c:v>
                </c:pt>
                <c:pt idx="2">
                  <c:v>1.8777755856655132</c:v>
                </c:pt>
                <c:pt idx="3">
                  <c:v>1.1302362148114002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92E-4262-8D0A-1FD6ECAEAB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632512"/>
        <c:axId val="151717760"/>
      </c:scatterChart>
      <c:valAx>
        <c:axId val="151632512"/>
        <c:scaling>
          <c:logBase val="10"/>
          <c:orientation val="minMax"/>
          <c:min val="8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GB/mon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717760"/>
        <c:crosses val="autoZero"/>
        <c:crossBetween val="midCat"/>
      </c:valAx>
      <c:valAx>
        <c:axId val="151717760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€/GB/mon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63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101656</xdr:colOff>
      <xdr:row>16</xdr:row>
      <xdr:rowOff>33617</xdr:rowOff>
    </xdr:from>
    <xdr:to>
      <xdr:col>7</xdr:col>
      <xdr:colOff>1434354</xdr:colOff>
      <xdr:row>30</xdr:row>
      <xdr:rowOff>85742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376237</xdr:colOff>
      <xdr:row>32</xdr:row>
      <xdr:rowOff>72073</xdr:rowOff>
    </xdr:from>
    <xdr:to>
      <xdr:col>8</xdr:col>
      <xdr:colOff>326123</xdr:colOff>
      <xdr:row>46</xdr:row>
      <xdr:rowOff>148273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376049</xdr:colOff>
      <xdr:row>16</xdr:row>
      <xdr:rowOff>159576</xdr:rowOff>
    </xdr:from>
    <xdr:to>
      <xdr:col>14</xdr:col>
      <xdr:colOff>688767</xdr:colOff>
      <xdr:row>52</xdr:row>
      <xdr:rowOff>1481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B5F035-FA97-4768-8F55-C63EF270B65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122465</xdr:colOff>
      <xdr:row>53</xdr:row>
      <xdr:rowOff>13608</xdr:rowOff>
    </xdr:from>
    <xdr:to>
      <xdr:col>9</xdr:col>
      <xdr:colOff>82756</xdr:colOff>
      <xdr:row>67</xdr:row>
      <xdr:rowOff>89808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12F19F-0BBF-46C0-891B-C21B73929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435429</xdr:colOff>
      <xdr:row>53</xdr:row>
      <xdr:rowOff>0</xdr:rowOff>
    </xdr:from>
    <xdr:to>
      <xdr:col>12</xdr:col>
      <xdr:colOff>912792</xdr:colOff>
      <xdr:row>67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D55960-4FC7-42B9-8202-15A7E723A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381000</xdr:colOff>
      <xdr:row>53</xdr:row>
      <xdr:rowOff>40821</xdr:rowOff>
    </xdr:from>
    <xdr:to>
      <xdr:col>5</xdr:col>
      <xdr:colOff>586220</xdr:colOff>
      <xdr:row>67</xdr:row>
      <xdr:rowOff>117021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DCD499-1022-4A05-813D-1B7E306D6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353785</xdr:colOff>
      <xdr:row>69</xdr:row>
      <xdr:rowOff>40822</xdr:rowOff>
    </xdr:from>
    <xdr:to>
      <xdr:col>5</xdr:col>
      <xdr:colOff>559005</xdr:colOff>
      <xdr:row>83</xdr:row>
      <xdr:rowOff>117022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72B7A1-4E05-4390-8FF6-D29731DA8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56030</xdr:colOff>
      <xdr:row>69</xdr:row>
      <xdr:rowOff>67235</xdr:rowOff>
    </xdr:from>
    <xdr:to>
      <xdr:col>9</xdr:col>
      <xdr:colOff>9917</xdr:colOff>
      <xdr:row>83</xdr:row>
      <xdr:rowOff>143435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486C32-C267-4DCD-9699-EED006842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585107</xdr:colOff>
      <xdr:row>68</xdr:row>
      <xdr:rowOff>149678</xdr:rowOff>
    </xdr:from>
    <xdr:to>
      <xdr:col>12</xdr:col>
      <xdr:colOff>1062470</xdr:colOff>
      <xdr:row>83</xdr:row>
      <xdr:rowOff>35378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059029-BC97-4028-A4B6-7268C6804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100852</xdr:colOff>
      <xdr:row>33</xdr:row>
      <xdr:rowOff>129988</xdr:rowOff>
    </xdr:from>
    <xdr:to>
      <xdr:col>16</xdr:col>
      <xdr:colOff>123264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638734</xdr:colOff>
      <xdr:row>23</xdr:row>
      <xdr:rowOff>150799</xdr:rowOff>
    </xdr:from>
    <xdr:to>
      <xdr:col>6</xdr:col>
      <xdr:colOff>60830</xdr:colOff>
      <xdr:row>38</xdr:row>
      <xdr:rowOff>36499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E3CBC-E620-44B3-A02C-0891D21FB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449035</xdr:colOff>
      <xdr:row>32</xdr:row>
      <xdr:rowOff>122464</xdr:rowOff>
    </xdr:from>
    <xdr:to>
      <xdr:col>25</xdr:col>
      <xdr:colOff>453117</xdr:colOff>
      <xdr:row>51</xdr:row>
      <xdr:rowOff>88446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F860B1-F2F0-4059-B3C4-6C4107ACD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8964" y="6218464"/>
          <a:ext cx="6943725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kats/Documents/MATLAB/case%20FI%20revenue%20model/UMTS900_rural_acha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kats/Documents/MATLAB/revenue%20model/UMTS900_rural_achai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kats/Documents/MATLAB/case%20FI%20revenue%20model/Dimension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kats/Documents/MATLAB/revenue%20model/Dimensio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enue"/>
      <sheetName val="RLB_UL"/>
      <sheetName val="OH"/>
      <sheetName val="Equipment"/>
      <sheetName val="CAPEX"/>
      <sheetName val="OPEX"/>
      <sheetName val="CB_DATA_"/>
      <sheetName val="Cash Flows"/>
      <sheetName val="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8">
          <cell r="B18">
            <v>0.1</v>
          </cell>
        </row>
        <row r="20">
          <cell r="B20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enue"/>
      <sheetName val="RLB_UL"/>
      <sheetName val="OH"/>
      <sheetName val="Equipment"/>
      <sheetName val="CAPEX"/>
      <sheetName val="OPEX"/>
      <sheetName val="CB_DATA_"/>
      <sheetName val="Cash Flows"/>
      <sheetName val="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8">
          <cell r="B18">
            <v>0.1</v>
          </cell>
        </row>
        <row r="20">
          <cell r="B20">
            <v>0.1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 DL_RLB"/>
      <sheetName val="LA DL_RLB"/>
      <sheetName val="DemographNET"/>
      <sheetName val="WA DL"/>
      <sheetName val="Sc1_2010_Demand-Supply"/>
      <sheetName val="Sc2_2015_D-S"/>
      <sheetName val="Sc3a_2015_D-S"/>
      <sheetName val="Sc3b_2015_D-S"/>
      <sheetName val="Sc4_2015_D-S"/>
      <sheetName val="LA"/>
      <sheetName val="Energy"/>
      <sheetName val="Sheet1"/>
    </sheetNames>
    <sheetDataSet>
      <sheetData sheetId="0">
        <row r="17">
          <cell r="AL17">
            <v>5.8422919816560217</v>
          </cell>
        </row>
      </sheetData>
      <sheetData sheetId="1">
        <row r="3">
          <cell r="T3" t="str">
            <v>450 MHz</v>
          </cell>
        </row>
      </sheetData>
      <sheetData sheetId="2">
        <row r="3">
          <cell r="T3" t="str">
            <v>450 MHz</v>
          </cell>
        </row>
        <row r="4">
          <cell r="U4" t="str">
            <v>450 MHz</v>
          </cell>
          <cell r="V4" t="str">
            <v>800 MHz</v>
          </cell>
          <cell r="W4" t="str">
            <v>900 MHz</v>
          </cell>
          <cell r="X4" t="str">
            <v>1800 MHz</v>
          </cell>
          <cell r="Y4" t="str">
            <v>2100 MHz</v>
          </cell>
          <cell r="Z4" t="str">
            <v>2600 MHz</v>
          </cell>
          <cell r="AA4" t="str">
            <v>3500 MHz</v>
          </cell>
        </row>
      </sheetData>
      <sheetData sheetId="3">
        <row r="17">
          <cell r="AL17">
            <v>5.8422919816560217</v>
          </cell>
        </row>
      </sheetData>
      <sheetData sheetId="4">
        <row r="22">
          <cell r="P22">
            <v>19025.752494102766</v>
          </cell>
        </row>
      </sheetData>
      <sheetData sheetId="5">
        <row r="22">
          <cell r="P22">
            <v>302162.24489795911</v>
          </cell>
        </row>
      </sheetData>
      <sheetData sheetId="6">
        <row r="22">
          <cell r="P22">
            <v>302162.24489795911</v>
          </cell>
        </row>
      </sheetData>
      <sheetData sheetId="7">
        <row r="22">
          <cell r="P22">
            <v>34892.262372348778</v>
          </cell>
        </row>
      </sheetData>
      <sheetData sheetId="8">
        <row r="22">
          <cell r="P22">
            <v>42627.495201535501</v>
          </cell>
        </row>
      </sheetData>
      <sheetData sheetId="9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 DL_RLB"/>
      <sheetName val="LA DL_RLB"/>
      <sheetName val="DemographNET"/>
      <sheetName val="WA DL"/>
      <sheetName val="Sc1_2010_Demand-Supply"/>
      <sheetName val="Sc2_2015_D-S"/>
      <sheetName val="Sc3a_2015_D-S"/>
      <sheetName val="Sc3b_2015_D-S"/>
      <sheetName val="Sc4_2015_D-S"/>
      <sheetName val="LA"/>
      <sheetName val="Energy"/>
      <sheetName val="Sheet1"/>
    </sheetNames>
    <sheetDataSet>
      <sheetData sheetId="0">
        <row r="17">
          <cell r="AL17">
            <v>5.8422919816560217</v>
          </cell>
        </row>
      </sheetData>
      <sheetData sheetId="1">
        <row r="3">
          <cell r="T3" t="str">
            <v>450 MHz</v>
          </cell>
        </row>
      </sheetData>
      <sheetData sheetId="2">
        <row r="3">
          <cell r="T3" t="str">
            <v>450 MHz</v>
          </cell>
        </row>
        <row r="4">
          <cell r="U4" t="str">
            <v>450 MHz</v>
          </cell>
          <cell r="V4" t="str">
            <v>800 MHz</v>
          </cell>
          <cell r="W4" t="str">
            <v>900 MHz</v>
          </cell>
          <cell r="X4" t="str">
            <v>1800 MHz</v>
          </cell>
          <cell r="Y4" t="str">
            <v>2100 MHz</v>
          </cell>
          <cell r="Z4" t="str">
            <v>2600 MHz</v>
          </cell>
          <cell r="AA4" t="str">
            <v>3500 MHz</v>
          </cell>
        </row>
      </sheetData>
      <sheetData sheetId="3">
        <row r="17">
          <cell r="AL17">
            <v>5.8422919816560217</v>
          </cell>
        </row>
      </sheetData>
      <sheetData sheetId="4">
        <row r="22">
          <cell r="P22">
            <v>19025.752494102766</v>
          </cell>
        </row>
      </sheetData>
      <sheetData sheetId="5">
        <row r="22">
          <cell r="P22">
            <v>302162.24489795911</v>
          </cell>
        </row>
      </sheetData>
      <sheetData sheetId="6">
        <row r="22">
          <cell r="P22">
            <v>302162.24489795911</v>
          </cell>
        </row>
      </sheetData>
      <sheetData sheetId="7">
        <row r="22">
          <cell r="P22">
            <v>34892.262372348778</v>
          </cell>
        </row>
      </sheetData>
      <sheetData sheetId="8">
        <row r="22">
          <cell r="P22">
            <v>42627.495201535501</v>
          </cell>
        </row>
      </sheetData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viestintavirasto.fi/en/statisticsandreports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viestintavirasto.fi/en/statisticsandreports/reviewsandarticles/2016/wholesalerevenuesfromtelecommunicationsoperationsfellsignificantlymorethanretailrevenuesin2015.html" TargetMode="External"/><Relationship Id="rId1" Type="http://schemas.openxmlformats.org/officeDocument/2006/relationships/hyperlink" Target="https://www.viestintavirasto.fi/en/statisticsandreports/statistics/2016/averagemonthlyconsumerpricesoftelecommunicationsservices.html" TargetMode="External"/><Relationship Id="rId6" Type="http://schemas.openxmlformats.org/officeDocument/2006/relationships/hyperlink" Target="https://www.viestintavirasto.fi/en/statisticsandreports.html" TargetMode="External"/><Relationship Id="rId5" Type="http://schemas.openxmlformats.org/officeDocument/2006/relationships/hyperlink" Target="https://www.viestintavirasto.fi/en/statisticsandreports/reviewsandarticles/2015/pricedevelopmentofelectroniccommunicationsservices.html" TargetMode="External"/><Relationship Id="rId4" Type="http://schemas.openxmlformats.org/officeDocument/2006/relationships/hyperlink" Target="https://www.viestintavirasto.fi/attachments/toimialatieto/Market_review_2013.pdf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://www.samsung.com/global/business-images/insights/2015/Samsung-5G-Vision-2.pdf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ww.viestintavirasto.fi/en/statisticsandreports/reviewsandarticles/2015/useofradiofrequencies2014.html" TargetMode="External"/><Relationship Id="rId1" Type="http://schemas.openxmlformats.org/officeDocument/2006/relationships/hyperlink" Target="https://www.viestintavirasto.fi/en/statisticsandreports/reviewsandarticles/2017/supplyoffastbroadbandinfinland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ieeexplore.ieee.org/document/7843933/" TargetMode="External"/><Relationship Id="rId4" Type="http://schemas.openxmlformats.org/officeDocument/2006/relationships/hyperlink" Target="http://www.5gamericas.org/files/6814/8718/2308/3GPP_Rel_13_15_Final_to_Upload_2.14.17_AB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81"/>
  <sheetViews>
    <sheetView topLeftCell="A16" zoomScale="85" zoomScaleNormal="85" workbookViewId="0">
      <selection activeCell="C34" sqref="C34"/>
    </sheetView>
  </sheetViews>
  <sheetFormatPr defaultRowHeight="15" x14ac:dyDescent="0.25"/>
  <cols>
    <col min="1" max="1" width="9.42578125" bestFit="1" customWidth="1"/>
    <col min="2" max="5" width="16.42578125" customWidth="1"/>
    <col min="6" max="10" width="23.28515625" customWidth="1"/>
    <col min="11" max="12" width="19.28515625" customWidth="1"/>
    <col min="13" max="13" width="30.5703125" customWidth="1"/>
    <col min="14" max="14" width="27.42578125" customWidth="1"/>
    <col min="15" max="15" width="11.28515625" customWidth="1"/>
  </cols>
  <sheetData>
    <row r="3" spans="1:14" ht="15" customHeight="1" x14ac:dyDescent="0.25">
      <c r="A3" s="22"/>
      <c r="B3" s="115" t="s">
        <v>20</v>
      </c>
      <c r="C3" s="115" t="s">
        <v>26</v>
      </c>
      <c r="D3" s="115" t="s">
        <v>27</v>
      </c>
      <c r="E3" s="115" t="s">
        <v>28</v>
      </c>
      <c r="F3" s="115" t="s">
        <v>18</v>
      </c>
      <c r="G3" s="115" t="s">
        <v>21</v>
      </c>
      <c r="H3" s="115" t="s">
        <v>80</v>
      </c>
      <c r="I3" s="115" t="s">
        <v>81</v>
      </c>
      <c r="J3" s="115" t="s">
        <v>82</v>
      </c>
      <c r="K3" s="115" t="s">
        <v>17</v>
      </c>
      <c r="L3" s="115" t="s">
        <v>19</v>
      </c>
      <c r="M3" s="115" t="s">
        <v>24</v>
      </c>
      <c r="N3" s="115" t="s">
        <v>59</v>
      </c>
    </row>
    <row r="4" spans="1:14" x14ac:dyDescent="0.25">
      <c r="A4" s="22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</row>
    <row r="5" spans="1:14" x14ac:dyDescent="0.25">
      <c r="A5" s="22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</row>
    <row r="6" spans="1:14" x14ac:dyDescent="0.25">
      <c r="A6" s="42">
        <v>2007</v>
      </c>
      <c r="B6" s="34">
        <v>5300484</v>
      </c>
      <c r="C6" s="28">
        <v>6040000</v>
      </c>
      <c r="D6" s="29">
        <v>4680000</v>
      </c>
      <c r="E6" s="29">
        <v>1360000</v>
      </c>
      <c r="F6" s="28">
        <v>1268400</v>
      </c>
      <c r="G6" s="35">
        <f>F6/B6</f>
        <v>0.2392989017606694</v>
      </c>
      <c r="H6" s="44">
        <v>143100</v>
      </c>
      <c r="I6" s="116">
        <f>F6-H6</f>
        <v>1125300</v>
      </c>
      <c r="J6" s="116"/>
      <c r="K6" s="2">
        <v>523</v>
      </c>
      <c r="L6" s="5">
        <f>K6/1024</f>
        <v>0.5107421875</v>
      </c>
      <c r="M6" s="4">
        <f>K6*1024/12/F6</f>
        <v>3.5185535582886576E-2</v>
      </c>
      <c r="N6" s="4">
        <f>K6*1024/12/C6</f>
        <v>7.3889624724061817E-3</v>
      </c>
    </row>
    <row r="7" spans="1:14" x14ac:dyDescent="0.25">
      <c r="A7" s="42">
        <v>2008</v>
      </c>
      <c r="B7" s="30">
        <v>5326314</v>
      </c>
      <c r="C7" s="28">
        <v>6830000</v>
      </c>
      <c r="D7" s="29">
        <v>5210000</v>
      </c>
      <c r="E7" s="29">
        <v>1620000</v>
      </c>
      <c r="F7" s="28">
        <v>1700000</v>
      </c>
      <c r="G7" s="35">
        <f t="shared" ref="G7:G15" si="0">F7/B7</f>
        <v>0.31917006770535872</v>
      </c>
      <c r="H7" s="44">
        <v>479700</v>
      </c>
      <c r="I7" s="116">
        <f t="shared" ref="I7:I9" si="1">F7-H7</f>
        <v>1220300</v>
      </c>
      <c r="J7" s="116"/>
      <c r="K7" s="2">
        <v>4857</v>
      </c>
      <c r="L7" s="5">
        <f t="shared" ref="L7:L15" si="2">K7/1024</f>
        <v>4.7431640625</v>
      </c>
      <c r="M7" s="4">
        <f t="shared" ref="M7:M15" si="3">K7*1024/12/F7</f>
        <v>0.24380235294117647</v>
      </c>
      <c r="N7" s="4">
        <f t="shared" ref="N7:N15" si="4">K7*1024/12/C7</f>
        <v>6.0682869692532941E-2</v>
      </c>
    </row>
    <row r="8" spans="1:14" x14ac:dyDescent="0.25">
      <c r="A8" s="42">
        <v>2009</v>
      </c>
      <c r="B8" s="30">
        <v>5352208</v>
      </c>
      <c r="C8" s="28">
        <v>7700000</v>
      </c>
      <c r="D8" s="29">
        <v>6020000</v>
      </c>
      <c r="E8" s="29">
        <v>1680000</v>
      </c>
      <c r="F8" s="28">
        <v>2900000</v>
      </c>
      <c r="G8" s="35">
        <f t="shared" si="0"/>
        <v>0.54183245494196042</v>
      </c>
      <c r="H8" s="44">
        <v>908000</v>
      </c>
      <c r="I8" s="116">
        <f t="shared" si="1"/>
        <v>1992000</v>
      </c>
      <c r="J8" s="116"/>
      <c r="K8" s="2">
        <v>16135</v>
      </c>
      <c r="L8" s="5">
        <f t="shared" si="2"/>
        <v>15.7568359375</v>
      </c>
      <c r="M8" s="4">
        <f t="shared" si="3"/>
        <v>0.47477701149425283</v>
      </c>
      <c r="N8" s="4">
        <f t="shared" si="4"/>
        <v>0.1788121212121212</v>
      </c>
    </row>
    <row r="9" spans="1:14" x14ac:dyDescent="0.25">
      <c r="A9" s="42">
        <v>2010</v>
      </c>
      <c r="B9" s="30">
        <v>5378165</v>
      </c>
      <c r="C9" s="28">
        <v>8390000</v>
      </c>
      <c r="D9" s="29">
        <v>6490000</v>
      </c>
      <c r="E9" s="29">
        <v>1900000</v>
      </c>
      <c r="F9" s="28">
        <v>3859400</v>
      </c>
      <c r="G9" s="35">
        <f t="shared" si="0"/>
        <v>0.71760535424257155</v>
      </c>
      <c r="H9" s="44">
        <v>1636300</v>
      </c>
      <c r="I9" s="116">
        <f t="shared" si="1"/>
        <v>2223100</v>
      </c>
      <c r="J9" s="116"/>
      <c r="K9" s="2">
        <v>33668</v>
      </c>
      <c r="L9" s="5">
        <f t="shared" si="2"/>
        <v>32.87890625</v>
      </c>
      <c r="M9" s="4">
        <f t="shared" si="3"/>
        <v>0.74441692145583938</v>
      </c>
      <c r="N9" s="4">
        <f t="shared" si="4"/>
        <v>0.34243178386968609</v>
      </c>
    </row>
    <row r="10" spans="1:14" x14ac:dyDescent="0.25">
      <c r="A10" s="42">
        <v>2011</v>
      </c>
      <c r="B10" s="30">
        <v>5404240</v>
      </c>
      <c r="C10" s="28">
        <v>8940000</v>
      </c>
      <c r="D10" s="29">
        <v>6910000</v>
      </c>
      <c r="E10" s="29">
        <v>2030000</v>
      </c>
      <c r="F10" s="28">
        <v>4680000</v>
      </c>
      <c r="G10" s="35">
        <f t="shared" si="0"/>
        <v>0.86598670673397182</v>
      </c>
      <c r="H10" s="44">
        <v>1990000</v>
      </c>
      <c r="I10" s="44">
        <v>1560000</v>
      </c>
      <c r="J10" s="44">
        <v>1130000</v>
      </c>
      <c r="K10" s="2">
        <v>61525</v>
      </c>
      <c r="L10" s="5">
        <f t="shared" si="2"/>
        <v>60.0830078125</v>
      </c>
      <c r="M10" s="4">
        <f t="shared" si="3"/>
        <v>1.1218233618233617</v>
      </c>
      <c r="N10" s="4">
        <f t="shared" si="4"/>
        <v>0.58726323639075317</v>
      </c>
    </row>
    <row r="11" spans="1:14" x14ac:dyDescent="0.25">
      <c r="A11" s="42">
        <v>2012</v>
      </c>
      <c r="B11" s="30">
        <v>5430392</v>
      </c>
      <c r="C11" s="28">
        <v>9280000</v>
      </c>
      <c r="D11" s="29">
        <v>7080000</v>
      </c>
      <c r="E11" s="29">
        <v>2200000</v>
      </c>
      <c r="F11" s="28">
        <v>5760000</v>
      </c>
      <c r="G11" s="35">
        <f t="shared" si="0"/>
        <v>1.0606969073319201</v>
      </c>
      <c r="H11" s="44">
        <v>2350000</v>
      </c>
      <c r="I11" s="44">
        <v>2420000</v>
      </c>
      <c r="J11" s="44">
        <v>990000</v>
      </c>
      <c r="K11" s="2">
        <v>102558</v>
      </c>
      <c r="L11" s="5">
        <f t="shared" si="2"/>
        <v>100.154296875</v>
      </c>
      <c r="M11" s="4">
        <f t="shared" si="3"/>
        <v>1.5193777777777777</v>
      </c>
      <c r="N11" s="4">
        <f t="shared" si="4"/>
        <v>0.94306206896551725</v>
      </c>
    </row>
    <row r="12" spans="1:14" x14ac:dyDescent="0.25">
      <c r="A12" s="42">
        <v>2013</v>
      </c>
      <c r="B12" s="30">
        <v>5456561</v>
      </c>
      <c r="C12" s="28">
        <v>9310000</v>
      </c>
      <c r="D12" s="29">
        <v>6960000</v>
      </c>
      <c r="E12" s="29">
        <v>2350000</v>
      </c>
      <c r="F12" s="28">
        <v>6700000</v>
      </c>
      <c r="G12" s="35">
        <f t="shared" si="0"/>
        <v>1.2278796113522785</v>
      </c>
      <c r="H12" s="44">
        <v>3380000</v>
      </c>
      <c r="I12" s="44">
        <v>2760000</v>
      </c>
      <c r="J12" s="44">
        <v>560000</v>
      </c>
      <c r="K12" s="2">
        <v>178750</v>
      </c>
      <c r="L12" s="5">
        <f t="shared" si="2"/>
        <v>174.560546875</v>
      </c>
      <c r="M12" s="4">
        <f t="shared" si="3"/>
        <v>2.2766169154228857</v>
      </c>
      <c r="N12" s="4">
        <f t="shared" si="4"/>
        <v>1.6383816684568564</v>
      </c>
    </row>
    <row r="13" spans="1:14" x14ac:dyDescent="0.25">
      <c r="A13" s="42">
        <v>2014</v>
      </c>
      <c r="B13" s="30">
        <v>5482662</v>
      </c>
      <c r="C13" s="28">
        <v>9420000</v>
      </c>
      <c r="D13" s="29">
        <v>7000000</v>
      </c>
      <c r="E13" s="29">
        <v>2420000</v>
      </c>
      <c r="F13" s="28">
        <v>7540000</v>
      </c>
      <c r="G13" s="35">
        <f t="shared" si="0"/>
        <v>1.3752443612245293</v>
      </c>
      <c r="H13" s="44">
        <v>4140000</v>
      </c>
      <c r="I13" s="44">
        <v>2910000</v>
      </c>
      <c r="J13" s="44">
        <v>490000</v>
      </c>
      <c r="K13" s="2">
        <v>324618</v>
      </c>
      <c r="L13" s="5">
        <f t="shared" si="2"/>
        <v>317.009765625</v>
      </c>
      <c r="M13" s="4">
        <f t="shared" si="3"/>
        <v>3.6738376657824934</v>
      </c>
      <c r="N13" s="4">
        <f t="shared" si="4"/>
        <v>2.9406301486199578</v>
      </c>
    </row>
    <row r="14" spans="1:14" x14ac:dyDescent="0.25">
      <c r="A14" s="42">
        <v>2015</v>
      </c>
      <c r="B14" s="30">
        <v>5508728</v>
      </c>
      <c r="C14" s="28">
        <v>9470000</v>
      </c>
      <c r="D14" s="29">
        <v>7040000</v>
      </c>
      <c r="E14" s="29">
        <v>2430000</v>
      </c>
      <c r="F14" s="28">
        <v>7870000</v>
      </c>
      <c r="G14" s="35">
        <f t="shared" si="0"/>
        <v>1.428641965985614</v>
      </c>
      <c r="H14" s="44">
        <v>4800000</v>
      </c>
      <c r="I14" s="44">
        <v>2620000</v>
      </c>
      <c r="J14" s="44">
        <v>450000</v>
      </c>
      <c r="K14" s="2">
        <v>627356</v>
      </c>
      <c r="L14" s="5">
        <f t="shared" si="2"/>
        <v>612.65234375</v>
      </c>
      <c r="M14" s="4">
        <f t="shared" si="3"/>
        <v>6.8023352816603131</v>
      </c>
      <c r="N14" s="4">
        <f t="shared" si="4"/>
        <v>5.6530494896163317</v>
      </c>
    </row>
    <row r="15" spans="1:14" x14ac:dyDescent="0.25">
      <c r="A15" s="42">
        <v>2016</v>
      </c>
      <c r="B15" s="28">
        <v>5511625</v>
      </c>
      <c r="C15" s="28">
        <v>9490000</v>
      </c>
      <c r="D15" s="29">
        <v>7040000</v>
      </c>
      <c r="E15" s="29">
        <v>2450000</v>
      </c>
      <c r="F15" s="28">
        <v>8380000</v>
      </c>
      <c r="G15" s="35">
        <f t="shared" si="0"/>
        <v>1.5204227428389994</v>
      </c>
      <c r="H15" s="44">
        <v>5810000</v>
      </c>
      <c r="I15" s="44">
        <v>2260000</v>
      </c>
      <c r="J15" s="44">
        <v>310000</v>
      </c>
      <c r="K15" s="2">
        <v>1060251</v>
      </c>
      <c r="L15" s="5">
        <f t="shared" si="2"/>
        <v>1035.4013671875</v>
      </c>
      <c r="M15" s="4">
        <f t="shared" si="3"/>
        <v>10.796509785202863</v>
      </c>
      <c r="N15" s="4">
        <f t="shared" si="4"/>
        <v>9.5336935721812441</v>
      </c>
    </row>
    <row r="16" spans="1:14" x14ac:dyDescent="0.25">
      <c r="A16" s="2"/>
      <c r="B16" s="2"/>
      <c r="C16" s="2"/>
      <c r="D16" s="2"/>
      <c r="E16" s="2"/>
      <c r="F16" s="2"/>
      <c r="G16" s="2"/>
      <c r="H16" s="2">
        <f>H15/F15</f>
        <v>0.69331742243436756</v>
      </c>
      <c r="I16" s="2">
        <f>I15/F15</f>
        <v>0.26968973747016706</v>
      </c>
      <c r="J16" s="2">
        <f>J15/F15</f>
        <v>3.6992840095465392E-2</v>
      </c>
      <c r="K16" s="2"/>
      <c r="L16" s="2"/>
      <c r="M16" s="4"/>
      <c r="N16" s="4"/>
    </row>
    <row r="17" spans="1:14" x14ac:dyDescent="0.25">
      <c r="A17" s="2"/>
      <c r="C17">
        <f>C15*0.2</f>
        <v>1898000</v>
      </c>
    </row>
    <row r="18" spans="1:14" x14ac:dyDescent="0.25">
      <c r="A18" s="2"/>
      <c r="B18" s="2"/>
      <c r="C18" s="37">
        <f>C17/F15</f>
        <v>0.22649164677804295</v>
      </c>
      <c r="D18" s="36"/>
      <c r="E18" s="36"/>
      <c r="F18" s="2"/>
      <c r="G18" s="2"/>
      <c r="H18" s="2"/>
      <c r="I18" s="2"/>
      <c r="J18" s="2"/>
      <c r="K18" s="2"/>
      <c r="L18" s="2"/>
      <c r="M18" s="4"/>
      <c r="N18" s="4"/>
    </row>
    <row r="19" spans="1:14" x14ac:dyDescent="0.25">
      <c r="A19" s="2"/>
      <c r="B19" s="2"/>
      <c r="C19" s="37"/>
      <c r="D19" s="36"/>
      <c r="E19" s="36"/>
      <c r="F19" s="2"/>
      <c r="G19" s="2"/>
      <c r="H19" s="2"/>
      <c r="I19" s="2"/>
      <c r="J19" s="2"/>
      <c r="K19" s="2"/>
      <c r="L19" s="2"/>
      <c r="M19" s="4"/>
      <c r="N19" s="4"/>
    </row>
    <row r="20" spans="1:14" x14ac:dyDescent="0.25">
      <c r="A20" s="2"/>
      <c r="B20" s="2"/>
      <c r="C20" s="37"/>
      <c r="D20" s="36"/>
      <c r="E20" s="36"/>
      <c r="F20" s="2"/>
      <c r="G20" s="2"/>
      <c r="H20" s="2"/>
      <c r="I20" s="2"/>
      <c r="J20" s="2"/>
      <c r="K20" s="2"/>
      <c r="L20" s="2"/>
      <c r="M20" s="4"/>
      <c r="N20" s="4"/>
    </row>
    <row r="21" spans="1:14" x14ac:dyDescent="0.25">
      <c r="A21" s="2"/>
      <c r="B21" s="2"/>
      <c r="C21" s="37"/>
      <c r="D21" s="36"/>
      <c r="E21" s="36"/>
      <c r="F21" s="2"/>
      <c r="G21" s="2"/>
      <c r="H21" s="2"/>
      <c r="I21" s="2"/>
      <c r="J21" s="2"/>
    </row>
    <row r="22" spans="1:14" x14ac:dyDescent="0.25">
      <c r="B22" s="115" t="s">
        <v>22</v>
      </c>
      <c r="C22" s="115" t="s">
        <v>3</v>
      </c>
      <c r="D22" s="115" t="s">
        <v>23</v>
      </c>
    </row>
    <row r="23" spans="1:14" ht="15" customHeight="1" x14ac:dyDescent="0.25">
      <c r="B23" s="115"/>
      <c r="C23" s="115"/>
      <c r="D23" s="115"/>
    </row>
    <row r="24" spans="1:14" x14ac:dyDescent="0.25">
      <c r="A24" s="3"/>
      <c r="B24" s="115"/>
      <c r="C24" s="115"/>
      <c r="D24" s="115"/>
    </row>
    <row r="25" spans="1:14" x14ac:dyDescent="0.25">
      <c r="A25" s="22" t="s">
        <v>2</v>
      </c>
      <c r="B25" s="22" t="s">
        <v>0</v>
      </c>
      <c r="C25" s="22" t="s">
        <v>4</v>
      </c>
      <c r="D25" s="22" t="s">
        <v>16</v>
      </c>
      <c r="E25" s="22" t="s">
        <v>138</v>
      </c>
    </row>
    <row r="26" spans="1:14" x14ac:dyDescent="0.25">
      <c r="A26" s="23">
        <v>2007</v>
      </c>
      <c r="B26" s="4">
        <f>K6*1024/12</f>
        <v>44629.333333333336</v>
      </c>
      <c r="C26" s="4">
        <f>'Revenues FI'!P43</f>
        <v>134.59620665531386</v>
      </c>
      <c r="D26" s="89">
        <f>B26*C26*12</f>
        <v>72083267.666666657</v>
      </c>
    </row>
    <row r="27" spans="1:14" x14ac:dyDescent="0.25">
      <c r="A27" s="23">
        <v>2008</v>
      </c>
      <c r="B27" s="4">
        <f t="shared" ref="B27:B35" si="5">K7*1024/12</f>
        <v>414464</v>
      </c>
      <c r="C27" s="4">
        <f>'Revenues FI'!P44</f>
        <v>28.550931645048387</v>
      </c>
      <c r="D27" s="89">
        <f t="shared" ref="D27:D35" si="6">B27*C27*12</f>
        <v>142000000</v>
      </c>
      <c r="E27" s="89">
        <f>(D27-D26)/(B27-B26)/12</f>
        <v>15.75405143499558</v>
      </c>
    </row>
    <row r="28" spans="1:14" x14ac:dyDescent="0.25">
      <c r="A28" s="23">
        <v>2009</v>
      </c>
      <c r="B28" s="4">
        <f t="shared" si="5"/>
        <v>1376853.3333333333</v>
      </c>
      <c r="C28" s="4">
        <f>'Revenues FI'!P45</f>
        <v>10.154555314533624</v>
      </c>
      <c r="D28" s="89">
        <f t="shared" si="6"/>
        <v>167776000</v>
      </c>
      <c r="E28" s="89">
        <f t="shared" ref="E28:E34" si="7">(D28-D27)/(B28-B27)/12</f>
        <v>2.2319449370455757</v>
      </c>
    </row>
    <row r="29" spans="1:14" x14ac:dyDescent="0.25">
      <c r="A29" s="23">
        <v>2010</v>
      </c>
      <c r="B29" s="4">
        <f t="shared" si="5"/>
        <v>2873002.6666666665</v>
      </c>
      <c r="C29" s="4">
        <f>'Revenues FI'!P46</f>
        <v>6.6586141429639198</v>
      </c>
      <c r="D29" s="89">
        <f t="shared" si="6"/>
        <v>229562594.26847667</v>
      </c>
      <c r="E29" s="89">
        <f t="shared" si="7"/>
        <v>3.4414230859128074</v>
      </c>
      <c r="F29" s="26"/>
      <c r="G29" s="26"/>
      <c r="H29" s="45"/>
      <c r="I29" s="45"/>
      <c r="J29" s="45"/>
      <c r="K29" s="22"/>
      <c r="L29" s="26"/>
    </row>
    <row r="30" spans="1:14" x14ac:dyDescent="0.25">
      <c r="A30" s="23">
        <v>2011</v>
      </c>
      <c r="B30" s="4">
        <f t="shared" si="5"/>
        <v>5250133.333333333</v>
      </c>
      <c r="C30" s="4">
        <f>'Revenues FI'!P47</f>
        <v>4.8340749353277479</v>
      </c>
      <c r="D30" s="89">
        <f t="shared" si="6"/>
        <v>304554455.4455446</v>
      </c>
      <c r="E30" s="89">
        <f t="shared" si="7"/>
        <v>2.6289348971795388</v>
      </c>
    </row>
    <row r="31" spans="1:14" x14ac:dyDescent="0.25">
      <c r="A31" s="24">
        <v>2012</v>
      </c>
      <c r="B31" s="4">
        <f t="shared" si="5"/>
        <v>8751616</v>
      </c>
      <c r="C31" s="4">
        <f>'Revenues FI'!P48</f>
        <v>3.7917600335501209</v>
      </c>
      <c r="D31" s="89">
        <f t="shared" si="6"/>
        <v>398208333.33333331</v>
      </c>
      <c r="E31" s="89">
        <f t="shared" si="7"/>
        <v>2.2289100266808095</v>
      </c>
    </row>
    <row r="32" spans="1:14" x14ac:dyDescent="0.25">
      <c r="A32" s="24">
        <v>2013</v>
      </c>
      <c r="B32" s="4">
        <f t="shared" si="5"/>
        <v>15253333.333333334</v>
      </c>
      <c r="C32" s="4">
        <f>'Revenues FI'!P49</f>
        <v>2.9000946969696968</v>
      </c>
      <c r="D32" s="89">
        <f t="shared" si="6"/>
        <v>530833333.33333337</v>
      </c>
      <c r="E32" s="89">
        <f t="shared" si="7"/>
        <v>1.6998713980798514</v>
      </c>
    </row>
    <row r="33" spans="1:32" x14ac:dyDescent="0.25">
      <c r="A33" s="24">
        <v>2014</v>
      </c>
      <c r="B33" s="4">
        <f t="shared" si="5"/>
        <v>27700736</v>
      </c>
      <c r="C33" s="4">
        <f>'Revenues FI'!P50</f>
        <v>1.8777755856655132</v>
      </c>
      <c r="D33" s="89">
        <f t="shared" si="6"/>
        <v>624189189.1891892</v>
      </c>
      <c r="E33" s="89">
        <f t="shared" si="7"/>
        <v>0.62500224850024821</v>
      </c>
    </row>
    <row r="34" spans="1:32" x14ac:dyDescent="0.25">
      <c r="A34" s="24">
        <v>2015</v>
      </c>
      <c r="B34" s="4">
        <f t="shared" si="5"/>
        <v>53534378.666666664</v>
      </c>
      <c r="C34" s="4">
        <f>'Revenues FI'!I84</f>
        <v>1.1302362148114002</v>
      </c>
      <c r="D34" s="89">
        <f t="shared" si="6"/>
        <v>726077922.07792211</v>
      </c>
      <c r="E34" s="89">
        <f t="shared" si="7"/>
        <v>0.32866939634817316</v>
      </c>
    </row>
    <row r="35" spans="1:32" x14ac:dyDescent="0.25">
      <c r="A35" s="24">
        <v>2016</v>
      </c>
      <c r="B35" s="4">
        <f t="shared" si="5"/>
        <v>90474752</v>
      </c>
      <c r="C35" s="4">
        <f>'Revenues FI'!I85</f>
        <v>0.75662761918962373</v>
      </c>
      <c r="D35" s="89">
        <f t="shared" si="6"/>
        <v>821468354.43037987</v>
      </c>
      <c r="E35" s="7"/>
    </row>
    <row r="36" spans="1:32" x14ac:dyDescent="0.25">
      <c r="E36" s="7"/>
    </row>
    <row r="38" spans="1:32" x14ac:dyDescent="0.25">
      <c r="B38">
        <v>44629.333333333336</v>
      </c>
      <c r="C38">
        <v>134.59620665531386</v>
      </c>
      <c r="D38">
        <f>D26/12</f>
        <v>6006938.9722222211</v>
      </c>
    </row>
    <row r="39" spans="1:32" x14ac:dyDescent="0.25">
      <c r="B39" s="7">
        <v>414464</v>
      </c>
      <c r="C39" s="7">
        <v>28.550931645048387</v>
      </c>
      <c r="D39">
        <f t="shared" ref="D39:D47" si="8">D27/12</f>
        <v>11833333.333333334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19"/>
      <c r="AE39" s="19"/>
      <c r="AF39" s="19"/>
    </row>
    <row r="40" spans="1:32" x14ac:dyDescent="0.25">
      <c r="B40" s="7">
        <v>1376853.3333333333</v>
      </c>
      <c r="C40" s="7">
        <v>10.154555314533624</v>
      </c>
      <c r="D40">
        <f t="shared" si="8"/>
        <v>13981333.333333334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19"/>
      <c r="AE40" s="19"/>
      <c r="AF40" s="19"/>
    </row>
    <row r="41" spans="1:32" x14ac:dyDescent="0.25">
      <c r="A41" s="7"/>
      <c r="B41" s="7">
        <v>2873002.6666666665</v>
      </c>
      <c r="C41" s="7">
        <v>6.6586141429639198</v>
      </c>
      <c r="D41">
        <f t="shared" si="8"/>
        <v>19130216.189039722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19"/>
      <c r="AE41" s="19"/>
      <c r="AF41" s="19"/>
    </row>
    <row r="42" spans="1:32" x14ac:dyDescent="0.25">
      <c r="A42" s="7"/>
      <c r="B42" s="7">
        <v>5250133.333333333</v>
      </c>
      <c r="C42" s="7">
        <v>4.8340749353277479</v>
      </c>
      <c r="D42">
        <f t="shared" si="8"/>
        <v>25379537.953795385</v>
      </c>
      <c r="E42" s="7"/>
      <c r="K42" s="28"/>
      <c r="L42" s="28"/>
      <c r="N42" s="28"/>
      <c r="O42" s="28"/>
      <c r="Q42" s="28"/>
      <c r="S42" s="28"/>
      <c r="U42" s="28"/>
      <c r="W42" s="28"/>
      <c r="Y42" s="28"/>
      <c r="AA42" s="28"/>
      <c r="AC42" s="7"/>
      <c r="AD42" s="19"/>
      <c r="AE42" s="19"/>
      <c r="AF42" s="19"/>
    </row>
    <row r="43" spans="1:32" x14ac:dyDescent="0.25">
      <c r="A43" s="7"/>
      <c r="B43" s="7">
        <v>8751616</v>
      </c>
      <c r="C43" s="7">
        <v>3.7917600335501209</v>
      </c>
      <c r="D43">
        <f t="shared" si="8"/>
        <v>33184027.777777776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19"/>
      <c r="AE43" s="19"/>
      <c r="AF43" s="19"/>
    </row>
    <row r="44" spans="1:32" x14ac:dyDescent="0.25">
      <c r="A44" s="7"/>
      <c r="B44" s="7">
        <v>15253333.333333334</v>
      </c>
      <c r="C44" s="7">
        <v>2.9000946969696968</v>
      </c>
      <c r="D44">
        <f t="shared" si="8"/>
        <v>44236111.111111112</v>
      </c>
      <c r="E44" s="7"/>
      <c r="F44" s="7"/>
      <c r="K44" s="31"/>
      <c r="M44" s="32"/>
      <c r="O44" s="33"/>
      <c r="P44" s="33"/>
      <c r="Q44" s="33"/>
      <c r="R44" s="33"/>
      <c r="S44" s="33"/>
      <c r="T44" s="29"/>
      <c r="Z44" s="7"/>
      <c r="AA44" s="7"/>
      <c r="AB44" s="7"/>
      <c r="AC44" s="7"/>
      <c r="AD44" s="19"/>
      <c r="AE44" s="19"/>
      <c r="AF44" s="19"/>
    </row>
    <row r="45" spans="1:32" x14ac:dyDescent="0.25">
      <c r="A45" s="7"/>
      <c r="B45" s="7">
        <v>27700736</v>
      </c>
      <c r="C45" s="7">
        <v>1.8777755856655132</v>
      </c>
      <c r="D45">
        <f t="shared" si="8"/>
        <v>52015765.765765764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19"/>
      <c r="AE45" s="19"/>
      <c r="AF45" s="19"/>
    </row>
    <row r="46" spans="1:32" x14ac:dyDescent="0.25">
      <c r="A46" s="7"/>
      <c r="B46" s="7">
        <v>53534378.666666664</v>
      </c>
      <c r="C46" s="7">
        <v>1.2087248408399698</v>
      </c>
      <c r="D46">
        <f t="shared" si="8"/>
        <v>60506493.506493509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19"/>
      <c r="AE46" s="19"/>
      <c r="AF46" s="19"/>
    </row>
    <row r="47" spans="1:32" x14ac:dyDescent="0.25">
      <c r="A47" s="7"/>
      <c r="B47" s="7">
        <v>90474752</v>
      </c>
      <c r="C47" s="7">
        <f>C35</f>
        <v>0.75662761918962373</v>
      </c>
      <c r="D47">
        <f t="shared" si="8"/>
        <v>68455696.202531651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9"/>
      <c r="AE47" s="19"/>
      <c r="AF47" s="19"/>
    </row>
    <row r="48" spans="1:32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55" spans="1:1" x14ac:dyDescent="0.25">
      <c r="A55">
        <v>2008</v>
      </c>
    </row>
    <row r="70" spans="1:6" x14ac:dyDescent="0.25">
      <c r="F70" s="103">
        <f>LN(129347*B26^(-0.654))</f>
        <v>4.7684341050585513</v>
      </c>
    </row>
    <row r="71" spans="1:6" x14ac:dyDescent="0.25">
      <c r="F71" s="103">
        <f t="shared" ref="F71:F78" si="9">LN(129347*B27^(-0.654))</f>
        <v>3.3109331200628942</v>
      </c>
    </row>
    <row r="72" spans="1:6" x14ac:dyDescent="0.25">
      <c r="F72" s="103">
        <f t="shared" si="9"/>
        <v>2.5257604302231256</v>
      </c>
    </row>
    <row r="73" spans="1:6" x14ac:dyDescent="0.25">
      <c r="A73">
        <v>2007</v>
      </c>
      <c r="F73" s="103">
        <f t="shared" si="9"/>
        <v>2.0447061484002313</v>
      </c>
    </row>
    <row r="74" spans="1:6" x14ac:dyDescent="0.25">
      <c r="F74" s="103">
        <f t="shared" si="9"/>
        <v>1.6504123181374564</v>
      </c>
    </row>
    <row r="75" spans="1:6" x14ac:dyDescent="0.25">
      <c r="F75" s="103">
        <f t="shared" si="9"/>
        <v>1.316228196202464</v>
      </c>
    </row>
    <row r="76" spans="1:6" x14ac:dyDescent="0.25">
      <c r="F76" s="103">
        <f t="shared" si="9"/>
        <v>0.9528921593532218</v>
      </c>
    </row>
    <row r="77" spans="1:6" x14ac:dyDescent="0.25">
      <c r="F77" s="103">
        <f t="shared" si="9"/>
        <v>0.56267591451179388</v>
      </c>
    </row>
    <row r="78" spans="1:6" x14ac:dyDescent="0.25">
      <c r="F78" s="103">
        <f t="shared" si="9"/>
        <v>0.13177816776282575</v>
      </c>
    </row>
    <row r="81" spans="1:4" x14ac:dyDescent="0.25">
      <c r="A81" s="24"/>
      <c r="B81" s="24"/>
      <c r="C81" s="2"/>
      <c r="D81" s="2"/>
    </row>
  </sheetData>
  <mergeCells count="20">
    <mergeCell ref="B22:B24"/>
    <mergeCell ref="C22:C24"/>
    <mergeCell ref="D22:D24"/>
    <mergeCell ref="H3:H5"/>
    <mergeCell ref="I3:I5"/>
    <mergeCell ref="F3:F5"/>
    <mergeCell ref="B3:B5"/>
    <mergeCell ref="G3:G5"/>
    <mergeCell ref="E3:E5"/>
    <mergeCell ref="I6:J6"/>
    <mergeCell ref="I7:J7"/>
    <mergeCell ref="I8:J8"/>
    <mergeCell ref="I9:J9"/>
    <mergeCell ref="K3:K5"/>
    <mergeCell ref="N3:N5"/>
    <mergeCell ref="M3:M5"/>
    <mergeCell ref="L3:L5"/>
    <mergeCell ref="C3:C5"/>
    <mergeCell ref="D3:D5"/>
    <mergeCell ref="J3:J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86"/>
  <sheetViews>
    <sheetView tabSelected="1" topLeftCell="A54" zoomScale="85" zoomScaleNormal="85" workbookViewId="0">
      <selection activeCell="F79" sqref="F79"/>
    </sheetView>
  </sheetViews>
  <sheetFormatPr defaultRowHeight="15" x14ac:dyDescent="0.25"/>
  <cols>
    <col min="2" max="2" width="34.85546875" customWidth="1"/>
    <col min="3" max="3" width="24.7109375" bestFit="1" customWidth="1"/>
    <col min="4" max="4" width="25.140625" customWidth="1"/>
    <col min="5" max="5" width="25.7109375" customWidth="1"/>
    <col min="6" max="6" width="23.28515625" customWidth="1"/>
    <col min="7" max="7" width="15.42578125" customWidth="1"/>
    <col min="8" max="8" width="12.28515625" bestFit="1" customWidth="1"/>
    <col min="9" max="9" width="12" customWidth="1"/>
    <col min="10" max="10" width="13.28515625" customWidth="1"/>
    <col min="11" max="11" width="11.85546875" bestFit="1" customWidth="1"/>
    <col min="12" max="12" width="10.28515625" customWidth="1"/>
    <col min="13" max="13" width="9.5703125" customWidth="1"/>
    <col min="14" max="14" width="10.140625" customWidth="1"/>
    <col min="15" max="15" width="9.85546875" customWidth="1"/>
    <col min="16" max="16" width="10.140625" customWidth="1"/>
    <col min="21" max="21" width="11.28515625" customWidth="1"/>
  </cols>
  <sheetData>
    <row r="1" spans="1:29" x14ac:dyDescent="0.25">
      <c r="A1" t="s">
        <v>57</v>
      </c>
      <c r="D1" s="25" t="s">
        <v>29</v>
      </c>
    </row>
    <row r="2" spans="1:29" x14ac:dyDescent="0.25">
      <c r="A2" t="s">
        <v>27</v>
      </c>
      <c r="D2" s="25" t="s">
        <v>41</v>
      </c>
    </row>
    <row r="3" spans="1:29" x14ac:dyDescent="0.25">
      <c r="A3" t="s">
        <v>85</v>
      </c>
      <c r="D3" t="s">
        <v>55</v>
      </c>
    </row>
    <row r="4" spans="1:29" x14ac:dyDescent="0.25">
      <c r="A4" t="s">
        <v>84</v>
      </c>
      <c r="C4" s="25"/>
      <c r="D4" t="s">
        <v>58</v>
      </c>
    </row>
    <row r="5" spans="1:29" x14ac:dyDescent="0.25">
      <c r="A5" t="s">
        <v>60</v>
      </c>
      <c r="C5" s="25"/>
      <c r="D5" s="25" t="s">
        <v>41</v>
      </c>
    </row>
    <row r="6" spans="1:29" x14ac:dyDescent="0.25">
      <c r="A6" t="s">
        <v>63</v>
      </c>
      <c r="C6" s="25"/>
      <c r="D6" t="s">
        <v>55</v>
      </c>
    </row>
    <row r="7" spans="1:29" x14ac:dyDescent="0.25">
      <c r="C7" s="25"/>
    </row>
    <row r="8" spans="1:29" x14ac:dyDescent="0.25">
      <c r="A8" t="s">
        <v>33</v>
      </c>
      <c r="C8" s="25"/>
    </row>
    <row r="9" spans="1:29" x14ac:dyDescent="0.25">
      <c r="C9" s="25"/>
    </row>
    <row r="10" spans="1:29" x14ac:dyDescent="0.25">
      <c r="B10" s="115" t="s">
        <v>66</v>
      </c>
      <c r="C10" s="115" t="s">
        <v>61</v>
      </c>
      <c r="D10" s="115" t="s">
        <v>63</v>
      </c>
      <c r="E10" s="127" t="s">
        <v>64</v>
      </c>
      <c r="F10" s="43"/>
      <c r="L10" s="13" t="s">
        <v>65</v>
      </c>
      <c r="M10" s="38"/>
      <c r="N10" s="38"/>
      <c r="O10" s="38"/>
      <c r="P10" s="38"/>
      <c r="Q10" s="38"/>
      <c r="R10" s="38"/>
      <c r="S10" s="38"/>
      <c r="T10" s="14"/>
    </row>
    <row r="11" spans="1:29" x14ac:dyDescent="0.25">
      <c r="B11" s="115"/>
      <c r="C11" s="115"/>
      <c r="D11" s="115"/>
      <c r="E11" s="127"/>
      <c r="F11" s="43"/>
      <c r="L11" s="18" t="s">
        <v>55</v>
      </c>
      <c r="M11" s="19"/>
      <c r="N11" s="19"/>
      <c r="O11" s="19"/>
      <c r="P11" s="19"/>
      <c r="Q11" s="19"/>
      <c r="R11" s="19"/>
      <c r="S11" s="19"/>
      <c r="T11" s="20"/>
      <c r="U11" s="19"/>
      <c r="V11" s="19"/>
      <c r="W11" s="19"/>
      <c r="X11" s="19"/>
      <c r="Y11" s="19"/>
      <c r="Z11" s="19"/>
      <c r="AA11" s="19"/>
      <c r="AB11" s="19"/>
      <c r="AC11" s="19"/>
    </row>
    <row r="12" spans="1:29" x14ac:dyDescent="0.25">
      <c r="B12" s="115"/>
      <c r="C12" s="115"/>
      <c r="D12" s="115"/>
      <c r="E12" s="127"/>
      <c r="F12" s="43"/>
      <c r="L12" s="58" t="s">
        <v>45</v>
      </c>
      <c r="M12" s="19"/>
      <c r="N12" s="19"/>
      <c r="O12" s="19"/>
      <c r="P12" s="19"/>
      <c r="Q12" s="19"/>
      <c r="R12" s="19"/>
      <c r="S12" s="19"/>
      <c r="T12" s="20"/>
      <c r="U12" s="19"/>
      <c r="V12" s="19"/>
      <c r="W12" s="19"/>
      <c r="X12" s="19"/>
      <c r="Y12" s="19"/>
      <c r="Z12" s="19"/>
      <c r="AA12" s="19"/>
      <c r="AB12" s="19"/>
      <c r="AC12" s="19"/>
    </row>
    <row r="13" spans="1:29" x14ac:dyDescent="0.25">
      <c r="A13">
        <v>2007</v>
      </c>
      <c r="B13" s="50">
        <f>C13/Usage!D6/12</f>
        <v>18.172660439635006</v>
      </c>
      <c r="C13" s="47">
        <v>1020576610.289902</v>
      </c>
      <c r="D13" s="49">
        <v>4.1666666666666664E-2</v>
      </c>
      <c r="E13" s="48">
        <f>D13*C13</f>
        <v>42524025.428745911</v>
      </c>
      <c r="L13" s="18"/>
      <c r="M13" s="39">
        <v>2007</v>
      </c>
      <c r="N13" s="39">
        <v>2008</v>
      </c>
      <c r="O13" s="39">
        <v>2009</v>
      </c>
      <c r="P13" s="54">
        <v>2010</v>
      </c>
      <c r="Q13" s="54">
        <v>2011</v>
      </c>
      <c r="R13" s="54">
        <v>2012</v>
      </c>
      <c r="S13" s="54">
        <v>2013</v>
      </c>
      <c r="T13" s="59">
        <v>2014</v>
      </c>
      <c r="AC13" s="19"/>
    </row>
    <row r="14" spans="1:29" x14ac:dyDescent="0.25">
      <c r="A14">
        <v>2008</v>
      </c>
      <c r="B14" s="27">
        <v>17.600000000000001</v>
      </c>
      <c r="C14" s="48">
        <f>B14*12*Usage!D7</f>
        <v>1100352000</v>
      </c>
      <c r="D14" s="49">
        <v>6.5040650406504072E-2</v>
      </c>
      <c r="E14" s="48">
        <f>D14*C14</f>
        <v>71567609.75609757</v>
      </c>
      <c r="L14" s="18" t="s">
        <v>46</v>
      </c>
      <c r="M14" s="39">
        <v>49</v>
      </c>
      <c r="N14" s="39">
        <v>48</v>
      </c>
      <c r="O14" s="39">
        <v>46</v>
      </c>
      <c r="P14" s="54">
        <v>46</v>
      </c>
      <c r="Q14" s="54">
        <v>47.4</v>
      </c>
      <c r="R14" s="54">
        <v>45</v>
      </c>
      <c r="S14" s="54">
        <v>39</v>
      </c>
      <c r="T14" s="59">
        <v>37</v>
      </c>
      <c r="AC14" s="19"/>
    </row>
    <row r="15" spans="1:29" x14ac:dyDescent="0.25">
      <c r="A15">
        <v>2009</v>
      </c>
      <c r="B15" s="27">
        <v>15.9</v>
      </c>
      <c r="C15" s="48">
        <f>B15*12*Usage!D8</f>
        <v>1148616000</v>
      </c>
      <c r="D15" s="49">
        <v>0.112</v>
      </c>
      <c r="E15" s="48">
        <f t="shared" ref="E15:E20" si="0">D15*C15</f>
        <v>128644992</v>
      </c>
      <c r="L15" s="18" t="s">
        <v>47</v>
      </c>
      <c r="M15" s="39">
        <v>8</v>
      </c>
      <c r="N15" s="39">
        <v>9</v>
      </c>
      <c r="O15" s="39">
        <v>9</v>
      </c>
      <c r="P15" s="54">
        <v>10</v>
      </c>
      <c r="Q15" s="54">
        <v>8.9</v>
      </c>
      <c r="R15" s="124">
        <v>8</v>
      </c>
      <c r="S15" s="124">
        <v>7</v>
      </c>
      <c r="T15" s="121">
        <v>6</v>
      </c>
      <c r="AC15" s="19"/>
    </row>
    <row r="16" spans="1:29" x14ac:dyDescent="0.25">
      <c r="A16">
        <v>2010</v>
      </c>
      <c r="B16" s="27">
        <v>15.27</v>
      </c>
      <c r="C16" s="48">
        <f>B16*12*Usage!D9</f>
        <v>1189227600</v>
      </c>
      <c r="D16" s="49">
        <v>0.1508295625942685</v>
      </c>
      <c r="E16" s="48">
        <f t="shared" si="0"/>
        <v>179370678.73303169</v>
      </c>
      <c r="L16" s="18" t="s">
        <v>48</v>
      </c>
      <c r="M16" s="39">
        <v>0.5</v>
      </c>
      <c r="N16" s="39">
        <v>0.5</v>
      </c>
      <c r="O16" s="39">
        <v>0.5</v>
      </c>
      <c r="P16" s="54">
        <v>0.3</v>
      </c>
      <c r="Q16" s="54">
        <v>0.4</v>
      </c>
      <c r="R16" s="124"/>
      <c r="S16" s="124"/>
      <c r="T16" s="121"/>
      <c r="AC16" s="19"/>
    </row>
    <row r="17" spans="1:29" x14ac:dyDescent="0.25">
      <c r="A17">
        <v>2011</v>
      </c>
      <c r="B17" s="27">
        <v>15.07</v>
      </c>
      <c r="C17" s="48">
        <f>B17*12*Usage!D10</f>
        <v>1249604400</v>
      </c>
      <c r="D17" s="49">
        <v>0.19801980198019806</v>
      </c>
      <c r="E17" s="48">
        <f t="shared" si="0"/>
        <v>247446415.84158421</v>
      </c>
      <c r="L17" s="18" t="s">
        <v>49</v>
      </c>
      <c r="M17" s="39">
        <v>2.5</v>
      </c>
      <c r="N17" s="39">
        <v>4</v>
      </c>
      <c r="O17" s="39">
        <v>7</v>
      </c>
      <c r="P17" s="54">
        <v>10</v>
      </c>
      <c r="Q17" s="54">
        <v>14</v>
      </c>
      <c r="R17" s="54">
        <v>19</v>
      </c>
      <c r="S17" s="54">
        <v>26</v>
      </c>
      <c r="T17" s="59">
        <v>31</v>
      </c>
      <c r="AC17" s="19"/>
    </row>
    <row r="18" spans="1:29" x14ac:dyDescent="0.25">
      <c r="A18">
        <v>2012</v>
      </c>
      <c r="B18" s="27">
        <v>14.18</v>
      </c>
      <c r="C18" s="48">
        <f>B18*12*Usage!D11</f>
        <v>1204732800</v>
      </c>
      <c r="D18" s="49">
        <v>0.2638888888888889</v>
      </c>
      <c r="E18" s="48">
        <f t="shared" si="0"/>
        <v>317915600</v>
      </c>
      <c r="L18" s="18" t="s">
        <v>54</v>
      </c>
      <c r="M18" s="39">
        <f>100-M19</f>
        <v>40</v>
      </c>
      <c r="N18" s="39">
        <f t="shared" ref="N18:T18" si="1">100-N19</f>
        <v>38.5</v>
      </c>
      <c r="O18" s="39">
        <f t="shared" si="1"/>
        <v>37.5</v>
      </c>
      <c r="P18" s="39">
        <f t="shared" si="1"/>
        <v>33.700000000000003</v>
      </c>
      <c r="Q18" s="39">
        <f t="shared" si="1"/>
        <v>29.300000000000011</v>
      </c>
      <c r="R18" s="39">
        <f t="shared" si="1"/>
        <v>28</v>
      </c>
      <c r="S18" s="39">
        <f t="shared" si="1"/>
        <v>28</v>
      </c>
      <c r="T18" s="57">
        <f t="shared" si="1"/>
        <v>26</v>
      </c>
      <c r="U18" s="19"/>
      <c r="V18" s="19"/>
      <c r="W18" s="19"/>
      <c r="X18" s="19"/>
      <c r="Y18" s="19"/>
      <c r="Z18" s="19"/>
      <c r="AA18" s="19"/>
      <c r="AB18" s="19"/>
      <c r="AC18" s="19"/>
    </row>
    <row r="19" spans="1:29" x14ac:dyDescent="0.25">
      <c r="A19">
        <v>2013</v>
      </c>
      <c r="B19" s="27">
        <v>13.6</v>
      </c>
      <c r="C19" s="48">
        <f>B19*12*Usage!D12</f>
        <v>1135872000</v>
      </c>
      <c r="D19" s="49">
        <v>0.3611111111111111</v>
      </c>
      <c r="E19" s="48">
        <f t="shared" si="0"/>
        <v>410176000</v>
      </c>
      <c r="L19" s="52" t="s">
        <v>71</v>
      </c>
      <c r="M19" s="39">
        <f>SUM(M14:M17)</f>
        <v>60</v>
      </c>
      <c r="N19" s="39">
        <f>SUM(N14:N17)</f>
        <v>61.5</v>
      </c>
      <c r="O19" s="39">
        <f>SUM(O14:O17)</f>
        <v>62.5</v>
      </c>
      <c r="P19" s="39">
        <f>SUM(P14:P17)</f>
        <v>66.3</v>
      </c>
      <c r="Q19" s="39">
        <f>SUM(Q14:Q17)</f>
        <v>70.699999999999989</v>
      </c>
      <c r="R19" s="39">
        <f t="shared" ref="R19:T19" si="2">SUM(R14:R17)</f>
        <v>72</v>
      </c>
      <c r="S19" s="39">
        <f t="shared" si="2"/>
        <v>72</v>
      </c>
      <c r="T19" s="57">
        <f t="shared" si="2"/>
        <v>74</v>
      </c>
      <c r="U19" s="19"/>
      <c r="V19" s="19"/>
      <c r="W19" s="19"/>
      <c r="X19" s="19"/>
      <c r="Y19" s="19"/>
      <c r="Z19" s="19"/>
      <c r="AA19" s="19"/>
      <c r="AB19" s="19"/>
      <c r="AC19" s="19"/>
    </row>
    <row r="20" spans="1:29" x14ac:dyDescent="0.25">
      <c r="A20">
        <v>2014</v>
      </c>
      <c r="B20" s="27">
        <v>13.98</v>
      </c>
      <c r="C20" s="48">
        <f>B20*12*Usage!D13</f>
        <v>1174320000</v>
      </c>
      <c r="D20" s="49">
        <v>0.41891891891891891</v>
      </c>
      <c r="E20" s="48">
        <f t="shared" si="0"/>
        <v>491944864.86486489</v>
      </c>
      <c r="L20" s="18" t="s">
        <v>72</v>
      </c>
      <c r="M20" s="39"/>
      <c r="N20" s="39"/>
      <c r="O20" s="39"/>
      <c r="P20" s="54"/>
      <c r="Q20" s="54"/>
      <c r="R20" s="54"/>
      <c r="S20" s="54"/>
      <c r="T20" s="59"/>
    </row>
    <row r="21" spans="1:29" x14ac:dyDescent="0.25">
      <c r="A21">
        <v>2015</v>
      </c>
      <c r="B21" s="27">
        <v>14.13</v>
      </c>
      <c r="C21" s="48">
        <f>B21*12*Usage!D14</f>
        <v>1193702400</v>
      </c>
      <c r="D21" s="48" t="s">
        <v>38</v>
      </c>
      <c r="E21" s="48" t="s">
        <v>38</v>
      </c>
      <c r="L21" s="18" t="s">
        <v>46</v>
      </c>
      <c r="M21" s="46">
        <f>M14/$M$19</f>
        <v>0.81666666666666665</v>
      </c>
      <c r="N21" s="46">
        <f>N14/$N$19</f>
        <v>0.78048780487804881</v>
      </c>
      <c r="O21" s="46">
        <f>O14/$O$19</f>
        <v>0.73599999999999999</v>
      </c>
      <c r="P21" s="46">
        <f>P14/$P$19</f>
        <v>0.69381598793363497</v>
      </c>
      <c r="Q21" s="46">
        <f>Q14/$Q$19</f>
        <v>0.67043847241867049</v>
      </c>
      <c r="R21" s="46">
        <f>R14/$R$19</f>
        <v>0.625</v>
      </c>
      <c r="S21" s="46">
        <f>S14/$S$19</f>
        <v>0.54166666666666663</v>
      </c>
      <c r="T21" s="60">
        <f>T14/$T$19</f>
        <v>0.5</v>
      </c>
    </row>
    <row r="22" spans="1:29" x14ac:dyDescent="0.25">
      <c r="A22">
        <v>2016</v>
      </c>
      <c r="B22" s="27">
        <v>15.5</v>
      </c>
      <c r="C22" s="48">
        <f>B22*12*Usage!D15</f>
        <v>1309440000</v>
      </c>
      <c r="D22" s="48" t="s">
        <v>38</v>
      </c>
      <c r="E22" s="48" t="s">
        <v>38</v>
      </c>
      <c r="L22" s="18" t="s">
        <v>47</v>
      </c>
      <c r="M22" s="46">
        <f>M15/$M$19</f>
        <v>0.13333333333333333</v>
      </c>
      <c r="N22" s="46">
        <f>N15/$N$19</f>
        <v>0.14634146341463414</v>
      </c>
      <c r="O22" s="46">
        <f>O15/$O$19</f>
        <v>0.14399999999999999</v>
      </c>
      <c r="P22" s="46">
        <f>P15/$P$19</f>
        <v>0.1508295625942685</v>
      </c>
      <c r="Q22" s="46">
        <f>Q15/$Q$19</f>
        <v>0.1258840169731259</v>
      </c>
      <c r="R22" s="123">
        <f>R15/$Q$19</f>
        <v>0.11315417256011318</v>
      </c>
      <c r="S22" s="123">
        <f>S15/$Q$19</f>
        <v>9.9009900990099028E-2</v>
      </c>
      <c r="T22" s="122">
        <f>T15/$T$19</f>
        <v>8.1081081081081086E-2</v>
      </c>
    </row>
    <row r="23" spans="1:29" x14ac:dyDescent="0.25">
      <c r="B23" s="42"/>
      <c r="C23" s="42"/>
      <c r="D23" s="42"/>
      <c r="E23" s="42"/>
      <c r="L23" s="18" t="s">
        <v>48</v>
      </c>
      <c r="M23" s="46">
        <f>M16/$M$19</f>
        <v>8.3333333333333332E-3</v>
      </c>
      <c r="N23" s="46">
        <f>N16/$N$19</f>
        <v>8.130081300813009E-3</v>
      </c>
      <c r="O23" s="46">
        <f>O16/$O$19</f>
        <v>8.0000000000000002E-3</v>
      </c>
      <c r="P23" s="46">
        <f>P16/$P$19</f>
        <v>4.5248868778280547E-3</v>
      </c>
      <c r="Q23" s="46">
        <f>Q16/$Q$19</f>
        <v>5.6577086280056588E-3</v>
      </c>
      <c r="R23" s="123"/>
      <c r="S23" s="123"/>
      <c r="T23" s="122"/>
    </row>
    <row r="24" spans="1:29" x14ac:dyDescent="0.25">
      <c r="A24" t="s">
        <v>34</v>
      </c>
      <c r="B24" s="42"/>
      <c r="C24" s="42"/>
      <c r="D24" s="42"/>
      <c r="E24" s="42"/>
      <c r="L24" s="18" t="s">
        <v>49</v>
      </c>
      <c r="M24" s="56">
        <f>M17/$M$19</f>
        <v>4.1666666666666664E-2</v>
      </c>
      <c r="N24" s="56">
        <f>N17/$N$19</f>
        <v>6.5040650406504072E-2</v>
      </c>
      <c r="O24" s="56">
        <f>O17/$O$19</f>
        <v>0.112</v>
      </c>
      <c r="P24" s="56">
        <f>P17/$P$19</f>
        <v>0.1508295625942685</v>
      </c>
      <c r="Q24" s="56">
        <f>Q17/$Q$19</f>
        <v>0.19801980198019806</v>
      </c>
      <c r="R24" s="56">
        <f>R17/$R$19</f>
        <v>0.2638888888888889</v>
      </c>
      <c r="S24" s="56">
        <f>S17/$S$19</f>
        <v>0.3611111111111111</v>
      </c>
      <c r="T24" s="61">
        <f>T17/$T$19</f>
        <v>0.41891891891891891</v>
      </c>
    </row>
    <row r="25" spans="1:29" x14ac:dyDescent="0.25">
      <c r="B25" s="115" t="s">
        <v>67</v>
      </c>
      <c r="C25" s="115" t="s">
        <v>62</v>
      </c>
      <c r="D25" s="42"/>
      <c r="E25" s="42"/>
      <c r="L25" s="15"/>
      <c r="M25" s="62">
        <f>SUM(M21:M24)</f>
        <v>0.99999999999999989</v>
      </c>
      <c r="N25" s="62">
        <f t="shared" ref="N25:T25" si="3">SUM(N21:N24)</f>
        <v>1</v>
      </c>
      <c r="O25" s="62">
        <f t="shared" si="3"/>
        <v>1</v>
      </c>
      <c r="P25" s="62">
        <f t="shared" si="3"/>
        <v>1</v>
      </c>
      <c r="Q25" s="62">
        <f t="shared" si="3"/>
        <v>1</v>
      </c>
      <c r="R25" s="62">
        <f t="shared" si="3"/>
        <v>1.0020430614490021</v>
      </c>
      <c r="S25" s="62">
        <f t="shared" si="3"/>
        <v>1.0017876787678768</v>
      </c>
      <c r="T25" s="63">
        <f t="shared" si="3"/>
        <v>1</v>
      </c>
    </row>
    <row r="26" spans="1:29" x14ac:dyDescent="0.25">
      <c r="B26" s="115"/>
      <c r="C26" s="115"/>
      <c r="D26" s="42"/>
    </row>
    <row r="27" spans="1:29" x14ac:dyDescent="0.25">
      <c r="B27" s="115"/>
      <c r="C27" s="115"/>
      <c r="D27" s="42"/>
      <c r="E27" s="41"/>
      <c r="F27" s="41"/>
    </row>
    <row r="28" spans="1:29" x14ac:dyDescent="0.25">
      <c r="A28">
        <v>2007</v>
      </c>
      <c r="B28" s="50">
        <f>C28/Usage!E6/12</f>
        <v>43.469473879295229</v>
      </c>
      <c r="C28" s="55">
        <f t="shared" ref="C28:C37" si="4">C43-C13</f>
        <v>709421813.71009803</v>
      </c>
      <c r="D28" s="42"/>
      <c r="E28" s="41"/>
      <c r="F28" s="41"/>
      <c r="L28" s="64"/>
      <c r="M28" s="126" t="s">
        <v>25</v>
      </c>
      <c r="N28" s="126" t="s">
        <v>31</v>
      </c>
      <c r="O28" s="126" t="s">
        <v>30</v>
      </c>
      <c r="P28" s="125" t="s">
        <v>32</v>
      </c>
      <c r="R28" s="13"/>
      <c r="S28" s="38" t="s">
        <v>50</v>
      </c>
      <c r="T28" s="118" t="s">
        <v>53</v>
      </c>
      <c r="U28" s="119"/>
    </row>
    <row r="29" spans="1:29" x14ac:dyDescent="0.25">
      <c r="A29">
        <v>2008</v>
      </c>
      <c r="B29" s="50">
        <f>C29/Usage!E7/12</f>
        <v>23.673199588477363</v>
      </c>
      <c r="C29" s="48">
        <f t="shared" si="4"/>
        <v>460207000</v>
      </c>
      <c r="D29" s="42"/>
      <c r="E29" s="41"/>
      <c r="F29" s="41"/>
      <c r="L29" s="65"/>
      <c r="M29" s="120"/>
      <c r="N29" s="120"/>
      <c r="O29" s="120"/>
      <c r="P29" s="117"/>
      <c r="R29" s="18"/>
      <c r="S29" s="120" t="s">
        <v>78</v>
      </c>
      <c r="T29" s="120" t="s">
        <v>1</v>
      </c>
      <c r="U29" s="117" t="s">
        <v>83</v>
      </c>
    </row>
    <row r="30" spans="1:29" x14ac:dyDescent="0.25">
      <c r="A30">
        <v>2009</v>
      </c>
      <c r="B30" s="50">
        <f>C30/Usage!E8/12</f>
        <v>17.330555555555556</v>
      </c>
      <c r="C30" s="48">
        <f t="shared" si="4"/>
        <v>349384000</v>
      </c>
      <c r="D30" s="42"/>
      <c r="E30" s="26"/>
      <c r="F30" s="26"/>
      <c r="L30" s="65"/>
      <c r="M30" s="120"/>
      <c r="N30" s="120"/>
      <c r="O30" s="120"/>
      <c r="P30" s="117"/>
      <c r="R30" s="18"/>
      <c r="S30" s="120"/>
      <c r="T30" s="120"/>
      <c r="U30" s="117"/>
    </row>
    <row r="31" spans="1:29" x14ac:dyDescent="0.25">
      <c r="A31">
        <v>2010</v>
      </c>
      <c r="B31" s="50">
        <f>C31/Usage!E9/12</f>
        <v>14.595280701754385</v>
      </c>
      <c r="C31" s="48">
        <f t="shared" si="4"/>
        <v>332772400</v>
      </c>
      <c r="D31" s="42"/>
      <c r="E31" s="27"/>
      <c r="F31" s="26"/>
      <c r="L31" s="65">
        <v>2007</v>
      </c>
      <c r="M31" s="77">
        <f>N31/(1+O31)</f>
        <v>177.1934064155522</v>
      </c>
      <c r="N31" s="73">
        <f>C13/Usage!D6</f>
        <v>218.07192527562009</v>
      </c>
      <c r="O31" s="76">
        <v>0.23069999999999999</v>
      </c>
      <c r="P31" s="75">
        <f>N31/12</f>
        <v>18.172660439635006</v>
      </c>
      <c r="R31" s="18"/>
      <c r="S31" s="120"/>
      <c r="T31" s="120"/>
      <c r="U31" s="117"/>
    </row>
    <row r="32" spans="1:29" x14ac:dyDescent="0.25">
      <c r="A32">
        <v>2011</v>
      </c>
      <c r="B32" s="50">
        <f>C32/Usage!E10/12</f>
        <v>11.838899835796388</v>
      </c>
      <c r="C32" s="48">
        <f t="shared" si="4"/>
        <v>288395600</v>
      </c>
      <c r="D32" s="42"/>
      <c r="E32" s="27"/>
      <c r="F32" s="4"/>
      <c r="L32" s="65">
        <v>2008</v>
      </c>
      <c r="M32" s="66">
        <v>173</v>
      </c>
      <c r="N32" s="72">
        <f>C14/Usage!D7</f>
        <v>211.2</v>
      </c>
      <c r="O32" s="67">
        <f>(N32-M32)/M32</f>
        <v>0.22080924855491324</v>
      </c>
      <c r="P32" s="74">
        <f>N32/12</f>
        <v>17.599999999999998</v>
      </c>
      <c r="R32" s="84">
        <v>2007</v>
      </c>
      <c r="S32" s="19"/>
      <c r="T32" s="66">
        <v>17</v>
      </c>
      <c r="U32" s="85">
        <f>Usage!H6*T32*12</f>
        <v>29192400</v>
      </c>
    </row>
    <row r="33" spans="1:21" x14ac:dyDescent="0.25">
      <c r="A33">
        <v>2012</v>
      </c>
      <c r="B33" s="50">
        <f>C33/Usage!E11/12</f>
        <v>11.525272727272728</v>
      </c>
      <c r="C33" s="48">
        <f t="shared" si="4"/>
        <v>304267200</v>
      </c>
      <c r="D33" s="42"/>
      <c r="E33" s="27"/>
      <c r="F33" s="4"/>
      <c r="L33" s="65">
        <v>2009</v>
      </c>
      <c r="M33" s="66">
        <v>156</v>
      </c>
      <c r="N33" s="66">
        <f>C15/Usage!D8</f>
        <v>190.8</v>
      </c>
      <c r="O33" s="67">
        <f t="shared" ref="O33:O39" si="5">(N33-M33)/M33</f>
        <v>0.22307692307692314</v>
      </c>
      <c r="P33" s="68">
        <f t="shared" ref="P33:P39" si="6">N33/12</f>
        <v>15.9</v>
      </c>
      <c r="R33" s="84">
        <v>2008</v>
      </c>
      <c r="S33" s="19"/>
      <c r="T33" s="66">
        <v>16</v>
      </c>
      <c r="U33" s="85">
        <f>Usage!H7*T33*12</f>
        <v>92102400</v>
      </c>
    </row>
    <row r="34" spans="1:21" x14ac:dyDescent="0.25">
      <c r="A34">
        <v>2013</v>
      </c>
      <c r="B34" s="50">
        <f>C34/Usage!E12/12</f>
        <v>11.848510638297872</v>
      </c>
      <c r="C34" s="48">
        <f t="shared" si="4"/>
        <v>334128000</v>
      </c>
      <c r="D34" s="42"/>
      <c r="E34" s="27"/>
      <c r="F34" s="4"/>
      <c r="L34" s="65">
        <v>2010</v>
      </c>
      <c r="M34" s="66">
        <v>150</v>
      </c>
      <c r="N34" s="66">
        <f>C16/Usage!D9</f>
        <v>183.24</v>
      </c>
      <c r="O34" s="67">
        <f t="shared" si="5"/>
        <v>0.22160000000000005</v>
      </c>
      <c r="P34" s="68">
        <f t="shared" si="6"/>
        <v>15.270000000000001</v>
      </c>
      <c r="R34" s="84">
        <v>2009</v>
      </c>
      <c r="S34" s="19"/>
      <c r="T34" s="66">
        <v>14.5</v>
      </c>
      <c r="U34" s="85">
        <f>Usage!H8*T34*12</f>
        <v>157992000</v>
      </c>
    </row>
    <row r="35" spans="1:21" x14ac:dyDescent="0.25">
      <c r="A35">
        <v>2014</v>
      </c>
      <c r="B35" s="50">
        <f>C35/Usage!E13/12</f>
        <v>10.870523415977962</v>
      </c>
      <c r="C35" s="48">
        <f t="shared" si="4"/>
        <v>315680000</v>
      </c>
      <c r="D35" s="42"/>
      <c r="E35" s="27"/>
      <c r="F35" s="4"/>
      <c r="L35" s="65">
        <v>2011</v>
      </c>
      <c r="M35" s="66">
        <v>147</v>
      </c>
      <c r="N35" s="66">
        <f>C17/Usage!D10</f>
        <v>180.84</v>
      </c>
      <c r="O35" s="67">
        <f t="shared" si="5"/>
        <v>0.23020408163265307</v>
      </c>
      <c r="P35" s="68">
        <f t="shared" si="6"/>
        <v>15.07</v>
      </c>
      <c r="R35" s="84">
        <v>2010</v>
      </c>
      <c r="S35" s="19" t="s">
        <v>52</v>
      </c>
      <c r="T35" s="66">
        <v>10.9</v>
      </c>
      <c r="U35" s="85">
        <f>Usage!H9*T35*12</f>
        <v>214028040</v>
      </c>
    </row>
    <row r="36" spans="1:21" x14ac:dyDescent="0.25">
      <c r="A36">
        <v>2015</v>
      </c>
      <c r="B36" s="50">
        <f>C36/Usage!E14/12</f>
        <v>12.321591220850479</v>
      </c>
      <c r="C36" s="48">
        <f t="shared" si="4"/>
        <v>359297600</v>
      </c>
      <c r="D36" s="42"/>
      <c r="E36" s="27"/>
      <c r="F36" s="4"/>
      <c r="L36" s="65">
        <v>2012</v>
      </c>
      <c r="M36" s="66">
        <v>138</v>
      </c>
      <c r="N36" s="66">
        <f>C18/Usage!D11</f>
        <v>170.16</v>
      </c>
      <c r="O36" s="67">
        <f t="shared" si="5"/>
        <v>0.23304347826086955</v>
      </c>
      <c r="P36" s="68">
        <f t="shared" si="6"/>
        <v>14.18</v>
      </c>
      <c r="R36" s="84">
        <v>2011</v>
      </c>
      <c r="S36" s="19" t="s">
        <v>51</v>
      </c>
      <c r="T36" s="66">
        <v>8.4</v>
      </c>
      <c r="U36" s="85">
        <f>Usage!H10*T36*12</f>
        <v>200592000</v>
      </c>
    </row>
    <row r="37" spans="1:21" x14ac:dyDescent="0.25">
      <c r="A37">
        <v>2016</v>
      </c>
      <c r="B37" s="50">
        <f>C37/Usage!E15/12</f>
        <v>12.059863945578231</v>
      </c>
      <c r="C37" s="48">
        <f t="shared" si="4"/>
        <v>354560000</v>
      </c>
      <c r="D37" s="42"/>
      <c r="E37" s="27"/>
      <c r="F37" s="4"/>
      <c r="L37" s="65">
        <v>2013</v>
      </c>
      <c r="M37" s="66">
        <v>132</v>
      </c>
      <c r="N37" s="66">
        <f>C19/Usage!D12</f>
        <v>163.19999999999999</v>
      </c>
      <c r="O37" s="67">
        <f t="shared" si="5"/>
        <v>0.23636363636363628</v>
      </c>
      <c r="P37" s="68">
        <f t="shared" si="6"/>
        <v>13.6</v>
      </c>
      <c r="R37" s="15"/>
      <c r="S37" s="21" t="s">
        <v>79</v>
      </c>
      <c r="T37" s="21"/>
      <c r="U37" s="16"/>
    </row>
    <row r="38" spans="1:21" x14ac:dyDescent="0.25">
      <c r="B38" s="42"/>
      <c r="C38" s="42"/>
      <c r="D38" s="42"/>
      <c r="E38" s="27"/>
      <c r="F38" s="4"/>
      <c r="L38" s="65">
        <v>2014</v>
      </c>
      <c r="M38" s="66">
        <v>135</v>
      </c>
      <c r="N38" s="66">
        <f>C20/Usage!D13</f>
        <v>167.76</v>
      </c>
      <c r="O38" s="67">
        <f t="shared" si="5"/>
        <v>0.24266666666666659</v>
      </c>
      <c r="P38" s="68">
        <f t="shared" si="6"/>
        <v>13.979999999999999</v>
      </c>
    </row>
    <row r="39" spans="1:21" x14ac:dyDescent="0.25">
      <c r="A39" t="s">
        <v>35</v>
      </c>
      <c r="B39" s="42"/>
      <c r="C39" s="42"/>
      <c r="D39" s="42"/>
      <c r="E39" s="42"/>
      <c r="F39" s="4"/>
      <c r="L39" s="65">
        <v>2015</v>
      </c>
      <c r="M39" s="66">
        <v>137</v>
      </c>
      <c r="N39" s="66">
        <f>C21/Usage!D14</f>
        <v>169.56</v>
      </c>
      <c r="O39" s="67">
        <f t="shared" si="5"/>
        <v>0.23766423357664235</v>
      </c>
      <c r="P39" s="68">
        <f t="shared" si="6"/>
        <v>14.13</v>
      </c>
    </row>
    <row r="40" spans="1:21" x14ac:dyDescent="0.25">
      <c r="B40" s="115" t="s">
        <v>68</v>
      </c>
      <c r="C40" s="115" t="s">
        <v>60</v>
      </c>
      <c r="D40" s="115" t="s">
        <v>69</v>
      </c>
      <c r="E40" s="115" t="s">
        <v>70</v>
      </c>
      <c r="F40" s="115" t="s">
        <v>73</v>
      </c>
      <c r="G40" s="115" t="s">
        <v>76</v>
      </c>
      <c r="H40" s="115" t="s">
        <v>86</v>
      </c>
      <c r="I40" s="115" t="s">
        <v>3</v>
      </c>
      <c r="J40" s="115" t="s">
        <v>56</v>
      </c>
      <c r="L40" s="69">
        <v>2016</v>
      </c>
      <c r="M40" s="70" t="s">
        <v>38</v>
      </c>
      <c r="N40" s="70" t="s">
        <v>38</v>
      </c>
      <c r="O40" s="70" t="s">
        <v>38</v>
      </c>
      <c r="P40" s="71" t="s">
        <v>38</v>
      </c>
    </row>
    <row r="41" spans="1:21" x14ac:dyDescent="0.25">
      <c r="B41" s="115"/>
      <c r="C41" s="115"/>
      <c r="D41" s="115"/>
      <c r="E41" s="115"/>
      <c r="F41" s="115"/>
      <c r="G41" s="115"/>
      <c r="H41" s="115"/>
      <c r="I41" s="115"/>
      <c r="J41" s="115"/>
    </row>
    <row r="42" spans="1:21" x14ac:dyDescent="0.25">
      <c r="B42" s="115"/>
      <c r="C42" s="115"/>
      <c r="D42" s="115"/>
      <c r="E42" s="115"/>
      <c r="F42" s="115"/>
      <c r="G42" s="115"/>
      <c r="H42" s="115"/>
      <c r="I42" s="115"/>
      <c r="J42" s="115"/>
      <c r="K42" t="s">
        <v>87</v>
      </c>
    </row>
    <row r="43" spans="1:21" x14ac:dyDescent="0.25">
      <c r="A43">
        <v>2007</v>
      </c>
      <c r="B43" s="50">
        <f>C43/Usage!C6/12</f>
        <v>23.868631677704197</v>
      </c>
      <c r="C43" s="51">
        <f>1000000*4475.6*0.502*0.77</f>
        <v>1729998424</v>
      </c>
      <c r="D43" s="44"/>
      <c r="E43" s="44"/>
      <c r="F43" s="44"/>
      <c r="G43" s="44"/>
      <c r="J43" s="47">
        <v>126</v>
      </c>
      <c r="K43" s="87">
        <f>D13*C43</f>
        <v>72083267.666666657</v>
      </c>
      <c r="P43">
        <f>(K43/12)/Usage!B26</f>
        <v>134.59620665531386</v>
      </c>
    </row>
    <row r="44" spans="1:21" x14ac:dyDescent="0.25">
      <c r="A44">
        <v>2008</v>
      </c>
      <c r="B44" s="50">
        <f>C44/Usage!C7/12</f>
        <v>19.040495363591997</v>
      </c>
      <c r="C44" s="48">
        <f>1000000*2026.7*0.77</f>
        <v>1560559000</v>
      </c>
      <c r="D44" s="44"/>
      <c r="E44" s="44">
        <v>142000000</v>
      </c>
      <c r="F44" s="44"/>
      <c r="G44" s="44"/>
      <c r="H44">
        <f>(E44/12)/Usage!F7</f>
        <v>6.9607843137254903</v>
      </c>
      <c r="I44">
        <f>(E44/12)/Usage!B27</f>
        <v>28.550931645048387</v>
      </c>
      <c r="J44" s="27">
        <v>100</v>
      </c>
      <c r="K44" s="98">
        <f>E44</f>
        <v>142000000</v>
      </c>
      <c r="P44">
        <f>(K44/12)/Usage!B27</f>
        <v>28.550931645048387</v>
      </c>
    </row>
    <row r="45" spans="1:21" x14ac:dyDescent="0.25">
      <c r="A45">
        <v>2009</v>
      </c>
      <c r="B45" s="50">
        <f>C45/Usage!C8/12</f>
        <v>16.212121212121211</v>
      </c>
      <c r="C45" s="39">
        <v>1498000000</v>
      </c>
      <c r="D45" s="44"/>
      <c r="E45" s="44"/>
      <c r="F45" s="44"/>
      <c r="G45" s="44"/>
      <c r="J45" s="27">
        <v>91</v>
      </c>
      <c r="K45" s="87">
        <f t="shared" ref="K45:K50" si="7">D15*C45</f>
        <v>167776000</v>
      </c>
      <c r="P45">
        <f>(K45/12)/Usage!B28</f>
        <v>10.154555314533624</v>
      </c>
    </row>
    <row r="46" spans="1:21" x14ac:dyDescent="0.25">
      <c r="A46">
        <v>2010</v>
      </c>
      <c r="B46" s="50">
        <f>C46/Usage!C9/12</f>
        <v>15.117203019467619</v>
      </c>
      <c r="C46" s="39">
        <v>1522000000</v>
      </c>
      <c r="D46" s="44"/>
      <c r="E46" s="44"/>
      <c r="F46" s="44"/>
      <c r="G46" s="44"/>
      <c r="J46" s="27">
        <v>75</v>
      </c>
      <c r="K46" s="87">
        <f t="shared" si="7"/>
        <v>229562594.26847667</v>
      </c>
      <c r="P46">
        <f>(K46/12)/Usage!B29</f>
        <v>6.6586141429639198</v>
      </c>
    </row>
    <row r="47" spans="1:21" x14ac:dyDescent="0.25">
      <c r="A47">
        <v>2011</v>
      </c>
      <c r="B47" s="50">
        <f>C47/Usage!C10/12</f>
        <v>14.336316181953764</v>
      </c>
      <c r="C47" s="39">
        <v>1538000000</v>
      </c>
      <c r="D47" s="83">
        <f>C47*3/4</f>
        <v>1153500000</v>
      </c>
      <c r="E47" s="83">
        <f>C47*0.8/4</f>
        <v>307600000</v>
      </c>
      <c r="F47" s="44" t="s">
        <v>77</v>
      </c>
      <c r="G47" s="83">
        <f>C47*0.2/4</f>
        <v>76900000</v>
      </c>
      <c r="H47">
        <f>(E47/12)/Usage!F10</f>
        <v>5.4772079772079767</v>
      </c>
      <c r="I47">
        <f>(E47/12)/Usage!B30</f>
        <v>4.8824156846810238</v>
      </c>
      <c r="J47" s="27">
        <v>61</v>
      </c>
      <c r="K47" s="87">
        <f t="shared" si="7"/>
        <v>304554455.4455446</v>
      </c>
      <c r="P47">
        <f>(K47/12)/Usage!B30</f>
        <v>4.8340749353277479</v>
      </c>
    </row>
    <row r="48" spans="1:21" x14ac:dyDescent="0.25">
      <c r="A48">
        <v>2012</v>
      </c>
      <c r="B48" s="50">
        <f>C48/Usage!C11/12</f>
        <v>13.550646551724137</v>
      </c>
      <c r="C48" s="39">
        <v>1509000000</v>
      </c>
      <c r="D48" s="78">
        <f>0.69*C48</f>
        <v>1041209999.9999999</v>
      </c>
      <c r="E48" s="44"/>
      <c r="F48" s="78">
        <f>0.26*C48</f>
        <v>392340000</v>
      </c>
      <c r="G48" s="44"/>
      <c r="H48">
        <f>(F48/12)/Usage!F11</f>
        <v>5.6762152777777777</v>
      </c>
      <c r="I48">
        <f>(F48/12)/Usage!B31</f>
        <v>3.7358814646346459</v>
      </c>
      <c r="J48" s="27">
        <v>55</v>
      </c>
      <c r="K48" s="87">
        <f t="shared" si="7"/>
        <v>398208333.33333331</v>
      </c>
      <c r="P48">
        <f>(K48/12)/Usage!B31</f>
        <v>3.7917600335501209</v>
      </c>
    </row>
    <row r="49" spans="1:19" x14ac:dyDescent="0.25">
      <c r="A49">
        <v>2013</v>
      </c>
      <c r="B49" s="50">
        <f>C49/Usage!C12/12</f>
        <v>13.157894736842104</v>
      </c>
      <c r="C49" s="39">
        <v>1470000000</v>
      </c>
      <c r="D49" s="80">
        <f>D48-D48/6</f>
        <v>867674999.99999988</v>
      </c>
      <c r="E49" s="80">
        <f>E48+E48/4</f>
        <v>0</v>
      </c>
      <c r="F49" s="44"/>
      <c r="G49" s="44"/>
      <c r="J49" s="27">
        <v>54</v>
      </c>
      <c r="K49" s="87">
        <f t="shared" si="7"/>
        <v>530833333.33333331</v>
      </c>
      <c r="P49">
        <f>(K49/12)/Usage!B32</f>
        <v>2.9000946969696968</v>
      </c>
    </row>
    <row r="50" spans="1:19" x14ac:dyDescent="0.25">
      <c r="A50">
        <v>2014</v>
      </c>
      <c r="B50" s="50">
        <f>C50/Usage!C13/12</f>
        <v>13.181174805378626</v>
      </c>
      <c r="C50" s="39">
        <v>1490000000</v>
      </c>
      <c r="D50" s="78">
        <f>0.54*C50</f>
        <v>804600000</v>
      </c>
      <c r="E50" s="44"/>
      <c r="F50" s="78">
        <f>0.35*C50</f>
        <v>521499999.99999994</v>
      </c>
      <c r="G50" s="44"/>
      <c r="H50">
        <f>(F50/12)/Usage!F13</f>
        <v>5.7637046861184782</v>
      </c>
      <c r="I50">
        <f>(F50/12)/Usage!B33</f>
        <v>1.5688512151205416</v>
      </c>
      <c r="J50" s="27">
        <v>52</v>
      </c>
      <c r="K50" s="87">
        <f>D20*C50</f>
        <v>624189189.1891892</v>
      </c>
      <c r="P50">
        <f>(K50/12)/Usage!B33</f>
        <v>1.8777755856655132</v>
      </c>
    </row>
    <row r="51" spans="1:19" x14ac:dyDescent="0.25">
      <c r="A51">
        <v>2015</v>
      </c>
      <c r="B51" s="50">
        <f>C51/Usage!C14/12</f>
        <v>13.665962689193947</v>
      </c>
      <c r="C51" s="39">
        <v>1553000000</v>
      </c>
      <c r="D51" s="78">
        <f>0.49*C51</f>
        <v>760970000</v>
      </c>
      <c r="E51" s="44"/>
      <c r="F51" s="78">
        <f>0.4*C51</f>
        <v>621200000</v>
      </c>
      <c r="G51" s="44"/>
      <c r="H51">
        <f>(F51/12)/Usage!F14</f>
        <v>6.5777213045319778</v>
      </c>
      <c r="I51">
        <f>(F51/12)/Usage!B34</f>
        <v>0.96697987267197572</v>
      </c>
      <c r="J51" s="27">
        <v>55</v>
      </c>
      <c r="K51" s="87">
        <f>0.5*C51</f>
        <v>776500000</v>
      </c>
      <c r="L51" t="s">
        <v>88</v>
      </c>
      <c r="P51">
        <f>(K51/12)/Usage!B34</f>
        <v>1.2087248408399698</v>
      </c>
    </row>
    <row r="52" spans="1:19" x14ac:dyDescent="0.25">
      <c r="A52">
        <v>2016</v>
      </c>
      <c r="B52" s="50">
        <f>C52/Usage!C15/12</f>
        <v>14.611872146118721</v>
      </c>
      <c r="C52" s="39">
        <v>1664000000</v>
      </c>
      <c r="D52" s="44"/>
      <c r="E52" s="44"/>
      <c r="F52" s="44"/>
      <c r="G52" s="44"/>
      <c r="J52" s="27" t="s">
        <v>38</v>
      </c>
      <c r="K52" s="87"/>
    </row>
    <row r="53" spans="1:19" x14ac:dyDescent="0.25">
      <c r="B53" s="50"/>
      <c r="C53" s="42"/>
      <c r="D53" s="42"/>
      <c r="E53" s="42"/>
      <c r="F53" s="4"/>
    </row>
    <row r="54" spans="1:19" x14ac:dyDescent="0.25">
      <c r="B54" s="42"/>
      <c r="C54" s="40" t="s">
        <v>74</v>
      </c>
      <c r="D54" s="42"/>
      <c r="E54" s="42"/>
      <c r="F54" s="4"/>
    </row>
    <row r="55" spans="1:19" x14ac:dyDescent="0.25">
      <c r="N55" s="27"/>
      <c r="O55" s="27"/>
      <c r="P55" s="27"/>
      <c r="Q55" s="27"/>
      <c r="R55" s="27"/>
      <c r="S55" s="27"/>
    </row>
    <row r="56" spans="1:19" x14ac:dyDescent="0.25">
      <c r="A56" s="7"/>
      <c r="B56" s="7"/>
      <c r="C56" s="79" t="s">
        <v>39</v>
      </c>
      <c r="E56" s="7"/>
      <c r="F56" s="7"/>
      <c r="G56" s="7"/>
      <c r="H56" s="7"/>
    </row>
    <row r="57" spans="1:19" ht="15" customHeight="1" x14ac:dyDescent="0.25">
      <c r="A57" s="7"/>
      <c r="C57" s="81" t="s">
        <v>40</v>
      </c>
      <c r="F57" s="7"/>
      <c r="G57" s="53"/>
      <c r="H57" s="7"/>
    </row>
    <row r="58" spans="1:19" x14ac:dyDescent="0.25">
      <c r="A58" s="7"/>
      <c r="B58" s="53"/>
      <c r="C58" s="82" t="s">
        <v>75</v>
      </c>
      <c r="D58" s="45"/>
      <c r="E58" s="43"/>
      <c r="F58" s="7"/>
      <c r="G58" s="53"/>
      <c r="H58" s="7"/>
    </row>
    <row r="60" spans="1:19" x14ac:dyDescent="0.25">
      <c r="B60" t="s">
        <v>44</v>
      </c>
    </row>
    <row r="62" spans="1:19" x14ac:dyDescent="0.25">
      <c r="B62" t="s">
        <v>156</v>
      </c>
    </row>
    <row r="63" spans="1:19" x14ac:dyDescent="0.25">
      <c r="B63" t="s">
        <v>165</v>
      </c>
    </row>
    <row r="64" spans="1:19" x14ac:dyDescent="0.25">
      <c r="A64" t="s">
        <v>157</v>
      </c>
      <c r="B64" t="s">
        <v>158</v>
      </c>
      <c r="C64" t="s">
        <v>159</v>
      </c>
      <c r="D64" t="s">
        <v>160</v>
      </c>
      <c r="E64" t="s">
        <v>161</v>
      </c>
      <c r="F64" t="s">
        <v>162</v>
      </c>
    </row>
    <row r="65" spans="1:12" x14ac:dyDescent="0.25">
      <c r="A65">
        <v>2008</v>
      </c>
      <c r="B65">
        <v>4</v>
      </c>
      <c r="C65">
        <v>9</v>
      </c>
      <c r="D65">
        <v>48</v>
      </c>
      <c r="E65">
        <v>13</v>
      </c>
      <c r="F65">
        <v>26</v>
      </c>
    </row>
    <row r="66" spans="1:12" x14ac:dyDescent="0.25">
      <c r="A66">
        <v>2009</v>
      </c>
      <c r="B66">
        <v>7</v>
      </c>
      <c r="C66">
        <v>9</v>
      </c>
      <c r="D66">
        <v>46</v>
      </c>
      <c r="E66">
        <v>10</v>
      </c>
      <c r="F66">
        <v>28</v>
      </c>
    </row>
    <row r="67" spans="1:12" x14ac:dyDescent="0.25">
      <c r="A67">
        <v>2010</v>
      </c>
      <c r="B67">
        <v>10</v>
      </c>
      <c r="C67">
        <v>10</v>
      </c>
      <c r="D67">
        <v>46</v>
      </c>
      <c r="E67">
        <v>8</v>
      </c>
      <c r="F67">
        <v>26</v>
      </c>
    </row>
    <row r="68" spans="1:12" x14ac:dyDescent="0.25">
      <c r="A68">
        <v>2011</v>
      </c>
      <c r="B68">
        <v>14</v>
      </c>
      <c r="C68">
        <v>9</v>
      </c>
      <c r="D68">
        <v>48</v>
      </c>
      <c r="E68">
        <v>6</v>
      </c>
      <c r="F68">
        <v>23</v>
      </c>
    </row>
    <row r="69" spans="1:12" x14ac:dyDescent="0.25">
      <c r="A69">
        <v>2012</v>
      </c>
      <c r="B69">
        <v>19</v>
      </c>
      <c r="C69">
        <v>8</v>
      </c>
      <c r="D69">
        <v>45</v>
      </c>
      <c r="E69">
        <v>6</v>
      </c>
      <c r="F69">
        <v>22</v>
      </c>
    </row>
    <row r="70" spans="1:12" x14ac:dyDescent="0.25">
      <c r="A70">
        <v>2013</v>
      </c>
      <c r="B70">
        <v>26</v>
      </c>
      <c r="C70">
        <v>7</v>
      </c>
      <c r="D70">
        <v>39</v>
      </c>
      <c r="E70">
        <v>6</v>
      </c>
      <c r="F70">
        <v>22</v>
      </c>
    </row>
    <row r="71" spans="1:12" ht="15" customHeight="1" x14ac:dyDescent="0.25">
      <c r="A71">
        <v>2014</v>
      </c>
      <c r="B71">
        <v>31</v>
      </c>
      <c r="C71">
        <v>6</v>
      </c>
      <c r="D71">
        <v>37</v>
      </c>
      <c r="E71">
        <v>5</v>
      </c>
      <c r="F71">
        <v>21</v>
      </c>
    </row>
    <row r="72" spans="1:12" x14ac:dyDescent="0.25">
      <c r="A72">
        <v>2015</v>
      </c>
      <c r="B72">
        <v>36</v>
      </c>
      <c r="C72">
        <v>4</v>
      </c>
      <c r="D72">
        <v>37</v>
      </c>
      <c r="E72">
        <v>4</v>
      </c>
      <c r="F72">
        <v>19</v>
      </c>
      <c r="I72" s="115"/>
      <c r="J72" s="115"/>
      <c r="K72" s="115"/>
    </row>
    <row r="73" spans="1:12" x14ac:dyDescent="0.25">
      <c r="A73">
        <v>2016</v>
      </c>
      <c r="B73">
        <v>39</v>
      </c>
      <c r="C73">
        <v>3</v>
      </c>
      <c r="D73">
        <v>37</v>
      </c>
      <c r="E73">
        <v>4</v>
      </c>
      <c r="F73">
        <v>17</v>
      </c>
      <c r="I73" s="115"/>
      <c r="J73" s="115"/>
      <c r="K73" s="115"/>
    </row>
    <row r="74" spans="1:12" x14ac:dyDescent="0.25">
      <c r="I74" s="115"/>
      <c r="J74" s="115"/>
      <c r="K74" s="115"/>
    </row>
    <row r="75" spans="1:12" x14ac:dyDescent="0.25">
      <c r="A75" t="s">
        <v>157</v>
      </c>
      <c r="B75" t="s">
        <v>158</v>
      </c>
      <c r="C75" t="s">
        <v>159</v>
      </c>
      <c r="D75" t="s">
        <v>160</v>
      </c>
      <c r="H75" t="s">
        <v>163</v>
      </c>
      <c r="I75" s="23"/>
      <c r="J75" s="23"/>
      <c r="K75" s="2"/>
    </row>
    <row r="76" spans="1:12" x14ac:dyDescent="0.25">
      <c r="A76">
        <v>2007</v>
      </c>
      <c r="B76" s="108">
        <f>M24</f>
        <v>4.1666666666666664E-2</v>
      </c>
      <c r="C76" s="108">
        <f>M22+M23</f>
        <v>0.14166666666666666</v>
      </c>
      <c r="D76" s="108">
        <f>M21</f>
        <v>0.81666666666666665</v>
      </c>
      <c r="H76">
        <f>B76*C43</f>
        <v>72083267.666666657</v>
      </c>
      <c r="I76" s="23">
        <f>(H76/12)/Usage!B26</f>
        <v>134.59620665531386</v>
      </c>
      <c r="J76" s="23"/>
      <c r="K76" s="2"/>
    </row>
    <row r="77" spans="1:12" x14ac:dyDescent="0.25">
      <c r="A77">
        <v>2008</v>
      </c>
      <c r="B77" s="108">
        <f>B65/SUM(B65:D65)</f>
        <v>6.5573770491803282E-2</v>
      </c>
      <c r="C77" s="108">
        <f>C65/SUM(B65:D65)</f>
        <v>0.14754098360655737</v>
      </c>
      <c r="D77" s="108">
        <f>D65/SUM(B65:D65)</f>
        <v>0.78688524590163933</v>
      </c>
      <c r="H77">
        <f t="shared" ref="H77:H85" si="8">B77*C44</f>
        <v>102331737.70491804</v>
      </c>
      <c r="I77" s="114">
        <f>(H77/12)/Usage!B27</f>
        <v>20.575115833324897</v>
      </c>
      <c r="J77" s="23"/>
      <c r="K77" s="2"/>
    </row>
    <row r="78" spans="1:12" x14ac:dyDescent="0.25">
      <c r="A78">
        <v>2009</v>
      </c>
      <c r="B78" s="108">
        <f>B66/SUM(B66:D66)</f>
        <v>0.11290322580645161</v>
      </c>
      <c r="C78" s="108">
        <f>C66/SUM(B66:D66)</f>
        <v>0.14516129032258066</v>
      </c>
      <c r="D78" s="108">
        <f>D66/SUM(B66:D66)</f>
        <v>0.74193548387096775</v>
      </c>
      <c r="H78">
        <f t="shared" si="8"/>
        <v>169129032.25806451</v>
      </c>
      <c r="I78" s="114">
        <f>(H78/12)/Usage!B28</f>
        <v>10.23644688965083</v>
      </c>
      <c r="J78" s="23"/>
      <c r="K78" s="2"/>
    </row>
    <row r="79" spans="1:12" x14ac:dyDescent="0.25">
      <c r="A79">
        <v>2010</v>
      </c>
      <c r="B79" s="108">
        <f>B67/SUM(B67:D67)</f>
        <v>0.15151515151515152</v>
      </c>
      <c r="C79" s="108">
        <f>C67/SUM(B67:D67)</f>
        <v>0.15151515151515152</v>
      </c>
      <c r="D79" s="108">
        <f>D67/SUM(B67:D67)</f>
        <v>0.69696969696969702</v>
      </c>
      <c r="H79">
        <f t="shared" si="8"/>
        <v>230606060.60606062</v>
      </c>
      <c r="I79" s="114">
        <f>(H79/12)/Usage!B29</f>
        <v>6.6888805708864822</v>
      </c>
      <c r="J79" s="23"/>
      <c r="K79" s="2"/>
    </row>
    <row r="80" spans="1:12" x14ac:dyDescent="0.25">
      <c r="A80">
        <v>2011</v>
      </c>
      <c r="B80" s="108">
        <f>B68/SUM(B68:D68)</f>
        <v>0.19718309859154928</v>
      </c>
      <c r="C80" s="108">
        <f>C68/SUM(B68:D68)</f>
        <v>0.12676056338028169</v>
      </c>
      <c r="D80" s="108">
        <f>D68/SUM(B68:D68)</f>
        <v>0.676056338028169</v>
      </c>
      <c r="H80">
        <f t="shared" si="8"/>
        <v>303267605.63380277</v>
      </c>
      <c r="I80" s="114">
        <f>(H80/12)/Usage!B30</f>
        <v>4.8136492665869248</v>
      </c>
      <c r="J80" s="24"/>
      <c r="K80" s="2"/>
      <c r="L80" s="2"/>
    </row>
    <row r="81" spans="1:12" x14ac:dyDescent="0.25">
      <c r="A81">
        <v>2012</v>
      </c>
      <c r="B81" s="108">
        <f>B69/SUM(B69:D69)</f>
        <v>0.2638888888888889</v>
      </c>
      <c r="C81" s="108">
        <f>C69/SUM(B69:D69)</f>
        <v>0.1111111111111111</v>
      </c>
      <c r="D81" s="108">
        <f>D69/SUM(B69:D69)</f>
        <v>0.625</v>
      </c>
      <c r="H81">
        <f t="shared" si="8"/>
        <v>398208333.33333331</v>
      </c>
      <c r="I81" s="114">
        <f>(H81/12)/Usage!B31</f>
        <v>3.7917600335501209</v>
      </c>
      <c r="J81" s="24"/>
      <c r="K81" s="2"/>
      <c r="L81" s="2">
        <v>0.75662761918962396</v>
      </c>
    </row>
    <row r="82" spans="1:12" x14ac:dyDescent="0.25">
      <c r="A82">
        <v>2013</v>
      </c>
      <c r="B82" s="108">
        <f>B70/SUM(B70:D70)</f>
        <v>0.3611111111111111</v>
      </c>
      <c r="C82" s="108">
        <f>C70/SUM(B70:D70)</f>
        <v>9.7222222222222224E-2</v>
      </c>
      <c r="D82" s="108">
        <f>D70/SUM(B70:D70)</f>
        <v>0.54166666666666663</v>
      </c>
      <c r="H82">
        <f t="shared" si="8"/>
        <v>530833333.33333331</v>
      </c>
      <c r="I82" s="114">
        <f>(H82/12)/Usage!B32</f>
        <v>2.9000946969696968</v>
      </c>
      <c r="J82" s="24"/>
      <c r="K82" s="2"/>
      <c r="L82" s="2"/>
    </row>
    <row r="83" spans="1:12" x14ac:dyDescent="0.25">
      <c r="A83">
        <v>2014</v>
      </c>
      <c r="B83" s="108">
        <f>B71/SUM(B71:D71)</f>
        <v>0.41891891891891891</v>
      </c>
      <c r="C83" s="108">
        <f>C71/SUM(B71:D71)</f>
        <v>8.1081081081081086E-2</v>
      </c>
      <c r="D83" s="108">
        <f>D71/SUM(B71:D71)</f>
        <v>0.5</v>
      </c>
      <c r="H83">
        <f t="shared" si="8"/>
        <v>624189189.1891892</v>
      </c>
      <c r="I83" s="114">
        <f>(H83/12)/Usage!B33</f>
        <v>1.8777755856655132</v>
      </c>
      <c r="J83" s="24"/>
      <c r="K83" s="2"/>
      <c r="L83" s="2"/>
    </row>
    <row r="84" spans="1:12" x14ac:dyDescent="0.25">
      <c r="A84">
        <v>2015</v>
      </c>
      <c r="B84" s="108">
        <f>B72/SUM(B72:D72)</f>
        <v>0.46753246753246752</v>
      </c>
      <c r="C84" s="108">
        <f>C72/SUM(B72:D72)</f>
        <v>5.1948051948051951E-2</v>
      </c>
      <c r="D84" s="108">
        <f>D72/SUM(B72:D72)</f>
        <v>0.48051948051948051</v>
      </c>
      <c r="H84">
        <f t="shared" si="8"/>
        <v>726077922.07792211</v>
      </c>
      <c r="I84" s="114">
        <f>(H84/12)/Usage!B34</f>
        <v>1.1302362148114002</v>
      </c>
      <c r="J84" s="24"/>
      <c r="K84" s="2"/>
      <c r="L84" s="2">
        <v>1.1302362148114</v>
      </c>
    </row>
    <row r="85" spans="1:12" x14ac:dyDescent="0.25">
      <c r="A85">
        <v>2016</v>
      </c>
      <c r="B85" s="108">
        <f>B73/SUM(B73:D73)</f>
        <v>0.49367088607594939</v>
      </c>
      <c r="C85" s="108">
        <f>C73/SUM(B73:D73)</f>
        <v>3.7974683544303799E-2</v>
      </c>
      <c r="D85" s="108">
        <f>D73/SUM(B73:D73)</f>
        <v>0.46835443037974683</v>
      </c>
      <c r="H85">
        <f t="shared" si="8"/>
        <v>821468354.43037975</v>
      </c>
      <c r="I85" s="114">
        <f>(H85/12)/Usage!B35</f>
        <v>0.75662761918962373</v>
      </c>
    </row>
    <row r="86" spans="1:12" x14ac:dyDescent="0.25">
      <c r="F86" t="s">
        <v>164</v>
      </c>
    </row>
  </sheetData>
  <mergeCells count="32">
    <mergeCell ref="B10:B12"/>
    <mergeCell ref="D10:D12"/>
    <mergeCell ref="E10:E12"/>
    <mergeCell ref="C10:C12"/>
    <mergeCell ref="C40:C42"/>
    <mergeCell ref="D40:D42"/>
    <mergeCell ref="E40:E42"/>
    <mergeCell ref="J72:J74"/>
    <mergeCell ref="K72:K74"/>
    <mergeCell ref="I72:I74"/>
    <mergeCell ref="T15:T16"/>
    <mergeCell ref="T22:T23"/>
    <mergeCell ref="S22:S23"/>
    <mergeCell ref="R22:R23"/>
    <mergeCell ref="S29:S31"/>
    <mergeCell ref="R15:R16"/>
    <mergeCell ref="S15:S16"/>
    <mergeCell ref="P28:P30"/>
    <mergeCell ref="O28:O30"/>
    <mergeCell ref="M28:M30"/>
    <mergeCell ref="J40:J42"/>
    <mergeCell ref="N28:N30"/>
    <mergeCell ref="U29:U31"/>
    <mergeCell ref="T28:U28"/>
    <mergeCell ref="T29:T31"/>
    <mergeCell ref="I40:I42"/>
    <mergeCell ref="B25:B27"/>
    <mergeCell ref="C25:C27"/>
    <mergeCell ref="B40:B42"/>
    <mergeCell ref="F40:F42"/>
    <mergeCell ref="G40:G42"/>
    <mergeCell ref="H40:H42"/>
  </mergeCells>
  <hyperlinks>
    <hyperlink ref="D1" r:id="rId1"/>
    <hyperlink ref="C56" r:id="rId2"/>
    <hyperlink ref="D2" r:id="rId3"/>
    <hyperlink ref="C57" r:id="rId4"/>
    <hyperlink ref="L12" r:id="rId5"/>
    <hyperlink ref="D5" r:id="rId6"/>
  </hyperlinks>
  <pageMargins left="0.7" right="0.7" top="0.75" bottom="0.75" header="0.3" footer="0.3"/>
  <pageSetup orientation="portrait"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35"/>
  <sheetViews>
    <sheetView topLeftCell="A7" zoomScale="85" zoomScaleNormal="85" workbookViewId="0">
      <selection activeCell="N34" sqref="N34"/>
    </sheetView>
  </sheetViews>
  <sheetFormatPr defaultRowHeight="15" x14ac:dyDescent="0.25"/>
  <cols>
    <col min="3" max="5" width="9.28515625" bestFit="1" customWidth="1"/>
    <col min="6" max="6" width="13.42578125" bestFit="1" customWidth="1"/>
    <col min="7" max="7" width="9.28515625" bestFit="1" customWidth="1"/>
  </cols>
  <sheetData>
    <row r="2" spans="1:25" x14ac:dyDescent="0.25">
      <c r="A2" t="s">
        <v>106</v>
      </c>
      <c r="B2" s="25" t="s">
        <v>37</v>
      </c>
    </row>
    <row r="3" spans="1:25" x14ac:dyDescent="0.25">
      <c r="B3" t="s">
        <v>36</v>
      </c>
    </row>
    <row r="6" spans="1:25" x14ac:dyDescent="0.25">
      <c r="B6" s="1"/>
      <c r="C6" s="1"/>
    </row>
    <row r="8" spans="1:25" x14ac:dyDescent="0.25">
      <c r="B8" t="s">
        <v>42</v>
      </c>
      <c r="C8" s="25" t="s">
        <v>43</v>
      </c>
    </row>
    <row r="10" spans="1:25" x14ac:dyDescent="0.25">
      <c r="O10" s="93" t="s">
        <v>120</v>
      </c>
    </row>
    <row r="11" spans="1:25" ht="18" x14ac:dyDescent="0.25">
      <c r="A11" s="93" t="s">
        <v>92</v>
      </c>
      <c r="B11" s="93" t="s">
        <v>107</v>
      </c>
      <c r="C11" s="95" t="s">
        <v>93</v>
      </c>
      <c r="D11" s="95" t="s">
        <v>103</v>
      </c>
      <c r="G11" s="93" t="s">
        <v>90</v>
      </c>
      <c r="H11" s="93" t="s">
        <v>91</v>
      </c>
      <c r="I11" s="2"/>
      <c r="J11" s="2"/>
      <c r="K11" s="2"/>
      <c r="L11" s="2"/>
      <c r="M11" s="2"/>
      <c r="N11" s="2"/>
      <c r="O11" s="93" t="s">
        <v>89</v>
      </c>
      <c r="P11" s="2"/>
      <c r="Q11" s="2"/>
      <c r="R11" s="2"/>
      <c r="S11" s="2"/>
      <c r="T11" s="2"/>
      <c r="U11" s="2"/>
    </row>
    <row r="12" spans="1:25" s="40" customFormat="1" x14ac:dyDescent="0.25">
      <c r="A12" s="93"/>
      <c r="B12" s="93"/>
      <c r="C12" s="2"/>
      <c r="E12" s="93"/>
      <c r="G12" s="93"/>
      <c r="H12" s="93"/>
      <c r="I12" s="2" t="s">
        <v>108</v>
      </c>
      <c r="J12" s="101" t="s">
        <v>98</v>
      </c>
      <c r="K12" s="92" t="s">
        <v>94</v>
      </c>
      <c r="L12" s="2" t="s">
        <v>99</v>
      </c>
      <c r="M12" s="2" t="s">
        <v>100</v>
      </c>
      <c r="N12" s="2" t="s">
        <v>95</v>
      </c>
      <c r="O12" s="2" t="s">
        <v>96</v>
      </c>
      <c r="P12" s="2" t="s">
        <v>102</v>
      </c>
      <c r="Q12" s="2" t="s">
        <v>97</v>
      </c>
      <c r="S12" s="2" t="s">
        <v>101</v>
      </c>
      <c r="U12" s="2"/>
      <c r="V12" s="2"/>
      <c r="W12" s="2"/>
      <c r="X12" s="2"/>
      <c r="Y12" s="2"/>
    </row>
    <row r="13" spans="1:25" x14ac:dyDescent="0.25">
      <c r="A13" s="99">
        <v>2007</v>
      </c>
      <c r="B13" s="90">
        <v>75</v>
      </c>
      <c r="C13" s="90">
        <v>0</v>
      </c>
      <c r="F13" s="90"/>
      <c r="G13" s="90">
        <v>1594100</v>
      </c>
      <c r="H13" s="90">
        <v>182.6</v>
      </c>
      <c r="I13" s="90">
        <v>182.6</v>
      </c>
      <c r="J13" s="78">
        <v>0</v>
      </c>
      <c r="K13" s="91">
        <v>19</v>
      </c>
      <c r="L13" s="86">
        <v>6</v>
      </c>
      <c r="M13" s="86">
        <v>72</v>
      </c>
      <c r="N13" s="86">
        <v>44</v>
      </c>
      <c r="O13" s="86">
        <v>18</v>
      </c>
      <c r="P13" s="86">
        <v>0</v>
      </c>
      <c r="Q13" s="86">
        <v>2</v>
      </c>
      <c r="R13" s="94">
        <v>1</v>
      </c>
      <c r="S13" s="86">
        <v>1.8</v>
      </c>
      <c r="T13" s="94"/>
      <c r="U13" s="88" t="s">
        <v>113</v>
      </c>
      <c r="V13" s="97" t="s">
        <v>114</v>
      </c>
      <c r="W13" s="88"/>
      <c r="X13" s="88"/>
    </row>
    <row r="14" spans="1:25" x14ac:dyDescent="0.25">
      <c r="A14" s="99">
        <v>2008</v>
      </c>
      <c r="B14" s="90">
        <v>80</v>
      </c>
      <c r="C14" s="90">
        <v>0</v>
      </c>
      <c r="F14" s="90"/>
      <c r="G14" s="90">
        <v>1581000</v>
      </c>
      <c r="H14" s="90">
        <v>182.6</v>
      </c>
      <c r="I14" s="90">
        <v>182.6</v>
      </c>
      <c r="J14" s="78">
        <v>0</v>
      </c>
      <c r="K14" s="91">
        <v>20</v>
      </c>
      <c r="L14" s="86">
        <v>10</v>
      </c>
      <c r="M14" s="86">
        <v>79</v>
      </c>
      <c r="N14" s="86">
        <v>53</v>
      </c>
      <c r="O14" s="86">
        <v>26</v>
      </c>
      <c r="P14" s="86">
        <v>1</v>
      </c>
      <c r="Q14" s="86">
        <v>8</v>
      </c>
      <c r="R14" s="94">
        <v>1</v>
      </c>
      <c r="S14" s="86">
        <v>5</v>
      </c>
      <c r="T14" s="94">
        <v>3.6</v>
      </c>
      <c r="U14" s="97" t="s">
        <v>113</v>
      </c>
      <c r="V14" t="s">
        <v>114</v>
      </c>
      <c r="W14" s="88"/>
      <c r="X14" s="88"/>
    </row>
    <row r="15" spans="1:25" x14ac:dyDescent="0.25">
      <c r="A15" s="99">
        <v>2009</v>
      </c>
      <c r="B15" s="90">
        <v>85</v>
      </c>
      <c r="C15" s="90">
        <v>0</v>
      </c>
      <c r="F15" s="90"/>
      <c r="G15" s="90">
        <v>1527800</v>
      </c>
      <c r="H15" s="90">
        <v>252.6</v>
      </c>
      <c r="I15" s="90">
        <v>182.6</v>
      </c>
      <c r="J15" s="78">
        <v>0</v>
      </c>
      <c r="K15" s="91">
        <v>22</v>
      </c>
      <c r="L15" s="86">
        <v>13</v>
      </c>
      <c r="M15" s="86">
        <v>82</v>
      </c>
      <c r="N15" s="86">
        <v>65</v>
      </c>
      <c r="O15" s="86">
        <v>32</v>
      </c>
      <c r="P15" s="86">
        <v>7</v>
      </c>
      <c r="Q15" s="86">
        <v>15</v>
      </c>
      <c r="R15" s="94">
        <v>1</v>
      </c>
      <c r="S15" s="86">
        <v>7.8</v>
      </c>
      <c r="T15" s="94">
        <v>21</v>
      </c>
      <c r="V15" t="s">
        <v>115</v>
      </c>
      <c r="W15" s="88"/>
      <c r="X15" s="88"/>
    </row>
    <row r="16" spans="1:25" x14ac:dyDescent="0.25">
      <c r="A16" s="99">
        <v>2010</v>
      </c>
      <c r="B16" s="90"/>
      <c r="C16" s="90">
        <v>1</v>
      </c>
      <c r="F16" s="90"/>
      <c r="G16" s="90">
        <v>1531600</v>
      </c>
      <c r="H16" s="90">
        <v>252.6</v>
      </c>
      <c r="I16" s="90">
        <v>252.6</v>
      </c>
      <c r="J16" s="78">
        <v>0</v>
      </c>
      <c r="K16" s="91">
        <v>27</v>
      </c>
      <c r="L16" s="91">
        <v>19</v>
      </c>
      <c r="M16" s="86">
        <v>85</v>
      </c>
      <c r="N16" s="86">
        <v>75</v>
      </c>
      <c r="O16" s="86">
        <v>42</v>
      </c>
      <c r="P16" s="86">
        <v>25</v>
      </c>
      <c r="Q16" s="86">
        <v>25</v>
      </c>
      <c r="R16" s="94">
        <v>1</v>
      </c>
      <c r="S16" s="86">
        <v>14</v>
      </c>
      <c r="T16" s="94">
        <v>21</v>
      </c>
      <c r="V16" s="96" t="s">
        <v>112</v>
      </c>
      <c r="W16" s="88"/>
      <c r="X16" s="88"/>
    </row>
    <row r="17" spans="1:24" x14ac:dyDescent="0.25">
      <c r="A17" s="99">
        <v>2011</v>
      </c>
      <c r="B17" s="90"/>
      <c r="C17" s="90">
        <v>12</v>
      </c>
      <c r="F17" s="90"/>
      <c r="G17" s="90">
        <v>1620500</v>
      </c>
      <c r="H17" s="90">
        <v>252.6</v>
      </c>
      <c r="I17" s="90">
        <v>252.6</v>
      </c>
      <c r="J17" s="78">
        <v>0</v>
      </c>
      <c r="K17" s="91">
        <v>34</v>
      </c>
      <c r="L17" s="91">
        <v>27</v>
      </c>
      <c r="M17" s="86">
        <v>87</v>
      </c>
      <c r="N17" s="91">
        <v>79</v>
      </c>
      <c r="O17" s="86">
        <v>50</v>
      </c>
      <c r="P17" s="86"/>
      <c r="Q17" s="86">
        <v>33</v>
      </c>
      <c r="R17" s="94">
        <v>1</v>
      </c>
      <c r="S17" s="86">
        <v>19</v>
      </c>
      <c r="T17" s="94">
        <v>42</v>
      </c>
      <c r="V17" s="88" t="s">
        <v>110</v>
      </c>
      <c r="W17" s="96" t="s">
        <v>119</v>
      </c>
      <c r="X17" s="88"/>
    </row>
    <row r="18" spans="1:24" x14ac:dyDescent="0.25">
      <c r="A18" s="100">
        <v>2012</v>
      </c>
      <c r="B18" s="90"/>
      <c r="F18" s="90"/>
      <c r="G18" s="86">
        <v>1675000</v>
      </c>
      <c r="H18" s="90">
        <v>252.6</v>
      </c>
      <c r="I18" s="90">
        <v>252.6</v>
      </c>
      <c r="J18" s="78">
        <v>0.1</v>
      </c>
      <c r="K18" s="86">
        <v>45</v>
      </c>
      <c r="L18" s="86">
        <v>40</v>
      </c>
      <c r="M18" s="86">
        <v>90</v>
      </c>
      <c r="N18" s="86">
        <v>84</v>
      </c>
      <c r="O18" s="86">
        <v>60</v>
      </c>
      <c r="P18" s="86"/>
      <c r="Q18" s="86">
        <v>46</v>
      </c>
      <c r="R18" s="94">
        <v>10</v>
      </c>
      <c r="S18" s="86">
        <v>22</v>
      </c>
      <c r="T18" s="94">
        <v>150</v>
      </c>
      <c r="V18" t="s">
        <v>116</v>
      </c>
      <c r="W18" s="96" t="s">
        <v>111</v>
      </c>
      <c r="X18" s="88"/>
    </row>
    <row r="19" spans="1:24" x14ac:dyDescent="0.25">
      <c r="A19" s="100">
        <v>2013</v>
      </c>
      <c r="B19" s="90">
        <v>97</v>
      </c>
      <c r="C19" s="91">
        <v>40</v>
      </c>
      <c r="F19" s="90"/>
      <c r="G19" s="86">
        <v>1713000</v>
      </c>
      <c r="H19" s="86">
        <v>282.60000000000048</v>
      </c>
      <c r="I19" s="90">
        <v>252.6</v>
      </c>
      <c r="J19" s="78">
        <v>7</v>
      </c>
      <c r="K19" s="86">
        <v>53</v>
      </c>
      <c r="L19" s="86">
        <v>53</v>
      </c>
      <c r="M19" s="86">
        <v>90.5</v>
      </c>
      <c r="N19" s="86">
        <v>85</v>
      </c>
      <c r="O19" s="86">
        <v>66</v>
      </c>
      <c r="P19" s="86"/>
      <c r="Q19" s="86">
        <v>55</v>
      </c>
      <c r="R19" s="94">
        <v>10</v>
      </c>
      <c r="S19" s="86">
        <v>28</v>
      </c>
      <c r="T19" s="94">
        <v>150</v>
      </c>
      <c r="V19" s="88"/>
      <c r="W19" s="88"/>
      <c r="X19" s="88"/>
    </row>
    <row r="20" spans="1:24" x14ac:dyDescent="0.25">
      <c r="A20" s="100">
        <v>2014</v>
      </c>
      <c r="B20" s="90">
        <v>99</v>
      </c>
      <c r="C20" s="91">
        <v>73</v>
      </c>
      <c r="F20" s="90"/>
      <c r="G20" s="86">
        <v>1752000</v>
      </c>
      <c r="H20" s="86">
        <v>282.60000000000048</v>
      </c>
      <c r="I20" s="88">
        <v>282.60000000000048</v>
      </c>
      <c r="J20" s="78">
        <v>19</v>
      </c>
      <c r="K20" s="86">
        <v>60</v>
      </c>
      <c r="L20" s="86">
        <v>60</v>
      </c>
      <c r="M20" s="86">
        <v>91</v>
      </c>
      <c r="N20" s="86">
        <v>86</v>
      </c>
      <c r="O20" s="86">
        <v>72</v>
      </c>
      <c r="P20" s="86"/>
      <c r="Q20" s="86">
        <v>63</v>
      </c>
      <c r="R20" s="94">
        <v>10</v>
      </c>
      <c r="S20" s="86">
        <v>30</v>
      </c>
      <c r="T20" s="94">
        <v>150</v>
      </c>
      <c r="U20" s="88" t="s">
        <v>109</v>
      </c>
      <c r="W20" s="88"/>
      <c r="X20" s="88"/>
    </row>
    <row r="21" spans="1:24" x14ac:dyDescent="0.25">
      <c r="A21" s="100">
        <v>2015</v>
      </c>
      <c r="B21" s="90">
        <v>99</v>
      </c>
      <c r="C21" s="86">
        <v>76</v>
      </c>
      <c r="D21">
        <v>4</v>
      </c>
      <c r="F21" s="90"/>
      <c r="G21" s="86">
        <v>1721000</v>
      </c>
      <c r="H21" s="86">
        <v>282.60000000000048</v>
      </c>
      <c r="I21" s="88">
        <v>282.60000000000048</v>
      </c>
      <c r="J21" s="78">
        <v>36</v>
      </c>
      <c r="K21" s="86">
        <v>67</v>
      </c>
      <c r="L21" s="86"/>
      <c r="M21" s="86">
        <v>92</v>
      </c>
      <c r="N21" s="86">
        <v>88</v>
      </c>
      <c r="O21" s="86">
        <v>76</v>
      </c>
      <c r="P21" s="86"/>
      <c r="Q21" s="86">
        <v>70</v>
      </c>
      <c r="R21" s="94">
        <v>10</v>
      </c>
      <c r="S21" s="86">
        <v>29</v>
      </c>
      <c r="T21" s="94">
        <v>300</v>
      </c>
      <c r="V21" s="88" t="s">
        <v>117</v>
      </c>
      <c r="W21" s="88"/>
      <c r="X21" s="88"/>
    </row>
    <row r="22" spans="1:24" x14ac:dyDescent="0.25">
      <c r="A22" s="100">
        <v>2016</v>
      </c>
      <c r="B22" s="90">
        <v>99</v>
      </c>
      <c r="C22" s="88">
        <v>99</v>
      </c>
      <c r="F22" s="90"/>
      <c r="G22" s="86">
        <v>1704000</v>
      </c>
      <c r="H22" s="86">
        <v>312.60000000000048</v>
      </c>
      <c r="I22" s="88">
        <v>282.60000000000048</v>
      </c>
      <c r="J22" s="86"/>
      <c r="K22" s="86"/>
      <c r="L22" s="86"/>
      <c r="M22" s="86"/>
      <c r="N22" s="86"/>
      <c r="O22" s="86"/>
      <c r="P22" s="86"/>
      <c r="Q22" s="86"/>
      <c r="R22" s="86"/>
      <c r="S22" s="86"/>
      <c r="U22" s="88"/>
      <c r="V22" s="88"/>
      <c r="W22" s="88"/>
      <c r="X22" s="88"/>
    </row>
    <row r="25" spans="1:24" x14ac:dyDescent="0.25">
      <c r="F25" t="s">
        <v>105</v>
      </c>
    </row>
    <row r="26" spans="1:24" x14ac:dyDescent="0.25">
      <c r="A26">
        <v>2020</v>
      </c>
      <c r="B26" t="s">
        <v>123</v>
      </c>
      <c r="F26" t="s">
        <v>104</v>
      </c>
      <c r="T26" s="94"/>
    </row>
    <row r="28" spans="1:24" x14ac:dyDescent="0.25">
      <c r="A28">
        <v>2025</v>
      </c>
      <c r="B28" t="s">
        <v>122</v>
      </c>
      <c r="R28" t="s">
        <v>127</v>
      </c>
    </row>
    <row r="29" spans="1:24" x14ac:dyDescent="0.25">
      <c r="K29" t="s">
        <v>135</v>
      </c>
      <c r="M29" t="s">
        <v>121</v>
      </c>
      <c r="N29">
        <v>0.1</v>
      </c>
      <c r="O29" t="s">
        <v>128</v>
      </c>
    </row>
    <row r="30" spans="1:24" x14ac:dyDescent="0.25">
      <c r="K30" t="s">
        <v>136</v>
      </c>
      <c r="M30" t="s">
        <v>132</v>
      </c>
      <c r="N30">
        <v>1</v>
      </c>
      <c r="O30" t="s">
        <v>128</v>
      </c>
      <c r="T30" s="40"/>
    </row>
    <row r="31" spans="1:24" x14ac:dyDescent="0.25">
      <c r="K31" t="s">
        <v>137</v>
      </c>
      <c r="M31" t="s">
        <v>131</v>
      </c>
      <c r="N31">
        <v>10</v>
      </c>
      <c r="O31" t="s">
        <v>128</v>
      </c>
      <c r="T31" s="40"/>
    </row>
    <row r="32" spans="1:24" x14ac:dyDescent="0.25">
      <c r="I32">
        <v>2020</v>
      </c>
      <c r="J32" t="s">
        <v>126</v>
      </c>
      <c r="K32" t="s">
        <v>130</v>
      </c>
      <c r="M32" t="s">
        <v>118</v>
      </c>
      <c r="N32">
        <v>100</v>
      </c>
      <c r="O32" t="s">
        <v>128</v>
      </c>
    </row>
    <row r="33" spans="6:14" x14ac:dyDescent="0.25">
      <c r="N33" s="25" t="s">
        <v>129</v>
      </c>
    </row>
    <row r="34" spans="6:14" x14ac:dyDescent="0.25">
      <c r="F34" t="s">
        <v>133</v>
      </c>
      <c r="N34" s="25" t="s">
        <v>125</v>
      </c>
    </row>
    <row r="35" spans="6:14" x14ac:dyDescent="0.25">
      <c r="F35" s="25" t="s">
        <v>134</v>
      </c>
      <c r="N35" s="40" t="s">
        <v>124</v>
      </c>
    </row>
  </sheetData>
  <hyperlinks>
    <hyperlink ref="B2" r:id="rId1"/>
    <hyperlink ref="C8" r:id="rId2"/>
    <hyperlink ref="N34" r:id="rId3"/>
    <hyperlink ref="N33" r:id="rId4"/>
    <hyperlink ref="F35" r:id="rId5"/>
  </hyperlinks>
  <pageMargins left="0.7" right="0.7" top="0.75" bottom="0.75" header="0.3" footer="0.3"/>
  <pageSetup orientation="portrait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6"/>
  <sheetViews>
    <sheetView topLeftCell="A25" zoomScale="70" zoomScaleNormal="70" workbookViewId="0">
      <selection activeCell="G60" sqref="G60"/>
    </sheetView>
  </sheetViews>
  <sheetFormatPr defaultRowHeight="15" x14ac:dyDescent="0.25"/>
  <cols>
    <col min="1" max="1" width="12.28515625" bestFit="1" customWidth="1"/>
    <col min="4" max="4" width="26.85546875" bestFit="1" customWidth="1"/>
    <col min="5" max="5" width="12.28515625" bestFit="1" customWidth="1"/>
    <col min="6" max="6" width="13.5703125" bestFit="1" customWidth="1"/>
    <col min="7" max="7" width="9.85546875" bestFit="1" customWidth="1"/>
    <col min="10" max="10" width="16" bestFit="1" customWidth="1"/>
    <col min="13" max="13" width="19.28515625" bestFit="1" customWidth="1"/>
    <col min="16" max="16" width="23.85546875" bestFit="1" customWidth="1"/>
    <col min="17" max="17" width="9.42578125" bestFit="1" customWidth="1"/>
    <col min="19" max="19" width="21.42578125" bestFit="1" customWidth="1"/>
    <col min="22" max="22" width="18.140625" bestFit="1" customWidth="1"/>
  </cols>
  <sheetData>
    <row r="1" spans="1:23" x14ac:dyDescent="0.25">
      <c r="C1" t="s">
        <v>150</v>
      </c>
      <c r="D1" s="108">
        <f>(D13/D4)^(1/(COUNT(C4:C13)-1))-1</f>
        <v>1.3304195305110698</v>
      </c>
      <c r="E1" t="s">
        <v>149</v>
      </c>
      <c r="I1" s="7"/>
      <c r="J1" s="7"/>
      <c r="K1" s="7"/>
      <c r="L1" s="7"/>
      <c r="M1" s="7" t="s">
        <v>147</v>
      </c>
      <c r="P1" t="s">
        <v>148</v>
      </c>
      <c r="S1" t="s">
        <v>142</v>
      </c>
    </row>
    <row r="2" spans="1:23" x14ac:dyDescent="0.25">
      <c r="C2" t="s">
        <v>151</v>
      </c>
      <c r="D2" s="108">
        <f>AVERAGE(E5:E13)</f>
        <v>1.8190427589325777</v>
      </c>
      <c r="I2" s="7"/>
      <c r="J2" s="128"/>
      <c r="K2" s="128"/>
      <c r="L2" s="7"/>
      <c r="M2" s="130" t="s">
        <v>11</v>
      </c>
      <c r="N2" s="130"/>
      <c r="P2" s="130" t="s">
        <v>13</v>
      </c>
      <c r="Q2" s="130"/>
      <c r="S2" s="132" t="s">
        <v>6</v>
      </c>
      <c r="T2" s="132"/>
      <c r="U2" s="131" t="s">
        <v>145</v>
      </c>
      <c r="V2" s="131"/>
    </row>
    <row r="3" spans="1:23" x14ac:dyDescent="0.25">
      <c r="B3" t="s">
        <v>5</v>
      </c>
      <c r="C3" t="s">
        <v>139</v>
      </c>
      <c r="D3" t="s">
        <v>140</v>
      </c>
      <c r="E3" t="s">
        <v>152</v>
      </c>
      <c r="I3" s="7"/>
      <c r="J3" s="129" t="s">
        <v>153</v>
      </c>
      <c r="K3" s="129"/>
      <c r="L3" s="7"/>
      <c r="M3" s="129" t="s">
        <v>12</v>
      </c>
      <c r="N3" s="129"/>
      <c r="P3" s="129" t="s">
        <v>14</v>
      </c>
      <c r="Q3" s="129"/>
      <c r="S3" s="12" t="s">
        <v>143</v>
      </c>
      <c r="U3" s="129" t="s">
        <v>144</v>
      </c>
      <c r="V3" s="129"/>
    </row>
    <row r="4" spans="1:23" x14ac:dyDescent="0.25">
      <c r="A4" s="111">
        <f>D4</f>
        <v>44629.333333333336</v>
      </c>
      <c r="B4">
        <v>2007</v>
      </c>
      <c r="C4">
        <v>1</v>
      </c>
      <c r="D4" s="106">
        <f>Usage!B26</f>
        <v>44629.333333333336</v>
      </c>
      <c r="F4" t="s">
        <v>150</v>
      </c>
      <c r="G4" t="s">
        <v>150</v>
      </c>
      <c r="H4" t="s">
        <v>150</v>
      </c>
      <c r="I4" s="7"/>
      <c r="J4" s="8"/>
      <c r="K4" s="8"/>
      <c r="L4" s="7"/>
      <c r="M4" s="8"/>
      <c r="N4" s="8"/>
      <c r="P4" s="8"/>
      <c r="Q4" s="8"/>
    </row>
    <row r="5" spans="1:23" x14ac:dyDescent="0.25">
      <c r="A5" s="111">
        <f>A4*(1+$D$1)</f>
        <v>104005.07003368871</v>
      </c>
      <c r="B5">
        <v>2008</v>
      </c>
      <c r="C5">
        <v>2</v>
      </c>
      <c r="D5" s="106">
        <f>Usage!B27</f>
        <v>414464</v>
      </c>
      <c r="E5" s="109">
        <f t="shared" ref="E5:E13" si="0">(D5-D4)/D4</f>
        <v>8.2868068833652</v>
      </c>
      <c r="F5" s="109">
        <f>(M32/D13)^(1/(COUNT(C13:C22)-1))-1</f>
        <v>0.42501138615586287</v>
      </c>
      <c r="G5" s="109">
        <f>(P32/D13)^(1/(COUNT(C13:C22)-1))-1</f>
        <v>0.78312707741796017</v>
      </c>
      <c r="H5" s="109">
        <f>(V32/D13)^(1/(COUNT(C13:C22)-1))-1</f>
        <v>0.96886466762411771</v>
      </c>
      <c r="I5" s="7" t="s">
        <v>155</v>
      </c>
      <c r="J5" s="17" t="s">
        <v>7</v>
      </c>
      <c r="K5" s="17">
        <v>99.505245233204505</v>
      </c>
      <c r="L5" s="102"/>
      <c r="M5" s="11">
        <v>960.661642513998</v>
      </c>
      <c r="N5" s="11"/>
      <c r="P5" s="11">
        <v>283489.25128567498</v>
      </c>
      <c r="Q5" s="104"/>
      <c r="R5" s="107" t="s">
        <v>7</v>
      </c>
      <c r="S5">
        <v>37087.092463890003</v>
      </c>
      <c r="U5" t="s">
        <v>7</v>
      </c>
      <c r="V5">
        <v>1301928.8407500901</v>
      </c>
      <c r="W5" t="s">
        <v>146</v>
      </c>
    </row>
    <row r="6" spans="1:23" x14ac:dyDescent="0.25">
      <c r="A6" s="111">
        <f>A5*(1+$D$1)</f>
        <v>242375.44647867978</v>
      </c>
      <c r="B6">
        <v>2009</v>
      </c>
      <c r="C6">
        <v>3</v>
      </c>
      <c r="D6" s="106">
        <f>Usage!B28</f>
        <v>1376853.3333333333</v>
      </c>
      <c r="E6" s="109">
        <f t="shared" si="0"/>
        <v>2.32200947086679</v>
      </c>
      <c r="F6" s="109">
        <f>(M27/D13)^(1/(COUNT(C13:C17)-1))-1</f>
        <v>0.51784828771612901</v>
      </c>
      <c r="G6" s="109">
        <f>(P27/D13)^(1/(COUNT(C13:C17)-1))-1</f>
        <v>0.78524394062411562</v>
      </c>
      <c r="H6" s="109">
        <f>(V27/D13)^(1/(COUNT(C13:C17)-1))-1</f>
        <v>0.90905267299542003</v>
      </c>
      <c r="I6" s="7" t="s">
        <v>154</v>
      </c>
      <c r="J6" s="17" t="s">
        <v>8</v>
      </c>
      <c r="K6" s="17">
        <v>576.38985542294301</v>
      </c>
      <c r="L6" s="102"/>
      <c r="M6" s="11">
        <v>4.9722807868175698</v>
      </c>
      <c r="N6" s="11"/>
      <c r="P6" s="11">
        <v>0.57741944060429296</v>
      </c>
      <c r="Q6" s="102"/>
      <c r="R6" s="107" t="s">
        <v>8</v>
      </c>
      <c r="S6">
        <v>-484283.864303626</v>
      </c>
      <c r="U6" t="s">
        <v>8</v>
      </c>
      <c r="V6">
        <v>0.184796843078914</v>
      </c>
    </row>
    <row r="7" spans="1:23" x14ac:dyDescent="0.25">
      <c r="A7" s="111">
        <f t="shared" ref="A7:A13" si="1">A6*(1+$D$1)</f>
        <v>564836.47419025586</v>
      </c>
      <c r="B7">
        <v>2010</v>
      </c>
      <c r="C7">
        <v>4</v>
      </c>
      <c r="D7" s="106">
        <f>Usage!B29</f>
        <v>2873002.6666666665</v>
      </c>
      <c r="E7" s="109">
        <f t="shared" si="0"/>
        <v>1.0866439417415557</v>
      </c>
      <c r="G7" s="108"/>
      <c r="I7" s="7"/>
      <c r="J7" s="17" t="s">
        <v>9</v>
      </c>
      <c r="K7" s="17">
        <v>5.6800746894466698</v>
      </c>
      <c r="L7" s="102"/>
      <c r="M7" s="9"/>
      <c r="N7" s="9"/>
      <c r="P7" s="9"/>
      <c r="Q7" s="9"/>
      <c r="R7" s="107" t="s">
        <v>9</v>
      </c>
      <c r="S7">
        <v>2436781.9115881398</v>
      </c>
    </row>
    <row r="8" spans="1:23" x14ac:dyDescent="0.25">
      <c r="A8" s="111">
        <f t="shared" si="1"/>
        <v>1316305.950997984</v>
      </c>
      <c r="B8">
        <v>2011</v>
      </c>
      <c r="C8">
        <v>5</v>
      </c>
      <c r="D8" s="106">
        <f>Usage!B30</f>
        <v>5250133.333333333</v>
      </c>
      <c r="E8" s="109">
        <f t="shared" si="0"/>
        <v>0.82740287513365807</v>
      </c>
      <c r="F8" t="s">
        <v>151</v>
      </c>
      <c r="G8" t="s">
        <v>151</v>
      </c>
      <c r="H8" t="s">
        <v>151</v>
      </c>
      <c r="I8" s="7"/>
      <c r="J8" s="17"/>
      <c r="K8" s="9"/>
      <c r="L8" s="102"/>
      <c r="M8" s="9"/>
      <c r="N8" s="9"/>
      <c r="P8" s="9"/>
      <c r="Q8" s="9"/>
      <c r="R8" s="107" t="s">
        <v>15</v>
      </c>
      <c r="S8">
        <v>-4165575.9404350501</v>
      </c>
    </row>
    <row r="9" spans="1:23" x14ac:dyDescent="0.25">
      <c r="A9" s="111">
        <f t="shared" si="1"/>
        <v>3067545.096333649</v>
      </c>
      <c r="B9">
        <v>2012</v>
      </c>
      <c r="C9">
        <v>6</v>
      </c>
      <c r="D9" s="106">
        <f>Usage!B31</f>
        <v>8751616</v>
      </c>
      <c r="E9" s="109">
        <f t="shared" si="0"/>
        <v>0.6669321414059326</v>
      </c>
      <c r="F9" s="110">
        <f>AVERAGE(F13:F22)</f>
        <v>0.45423868675052737</v>
      </c>
      <c r="G9" s="110">
        <f t="shared" ref="G9:H9" si="2">AVERAGE(G13:G22)</f>
        <v>0.77382325170608335</v>
      </c>
      <c r="H9" s="110">
        <f t="shared" si="2"/>
        <v>0.94184752117953097</v>
      </c>
      <c r="I9" s="7" t="s">
        <v>155</v>
      </c>
      <c r="R9" s="107" t="s">
        <v>141</v>
      </c>
      <c r="S9">
        <v>2205091.5559567399</v>
      </c>
    </row>
    <row r="10" spans="1:23" x14ac:dyDescent="0.25">
      <c r="A10" s="111">
        <f t="shared" si="1"/>
        <v>7148667.0032193968</v>
      </c>
      <c r="B10">
        <v>2013</v>
      </c>
      <c r="C10">
        <v>7</v>
      </c>
      <c r="D10" s="106">
        <f>Usage!B32</f>
        <v>15253333.333333334</v>
      </c>
      <c r="E10" s="109">
        <f t="shared" si="0"/>
        <v>0.74291620351410914</v>
      </c>
      <c r="F10" s="110">
        <f>AVERAGE(F13:F17)</f>
        <v>0.55316267065357327</v>
      </c>
      <c r="G10" s="110">
        <f t="shared" ref="G10:H10" si="3">AVERAGE(G13:G17)</f>
        <v>0.76621110915671042</v>
      </c>
      <c r="H10" s="110">
        <f t="shared" si="3"/>
        <v>0.86537868010352137</v>
      </c>
      <c r="I10" s="7" t="s">
        <v>154</v>
      </c>
    </row>
    <row r="11" spans="1:23" x14ac:dyDescent="0.25">
      <c r="A11" s="111">
        <f t="shared" si="1"/>
        <v>16659393.201422522</v>
      </c>
      <c r="B11">
        <v>2014</v>
      </c>
      <c r="C11">
        <v>8</v>
      </c>
      <c r="D11" s="106">
        <f>Usage!B33</f>
        <v>27700736</v>
      </c>
      <c r="E11" s="109">
        <f t="shared" si="0"/>
        <v>0.81604475524475517</v>
      </c>
      <c r="G11" s="108"/>
      <c r="I11" s="7"/>
      <c r="J11" s="9" t="s">
        <v>10</v>
      </c>
      <c r="K11" s="17">
        <v>0.99832765469999996</v>
      </c>
      <c r="L11" s="102"/>
      <c r="M11" s="11">
        <v>0.99776278019999998</v>
      </c>
      <c r="N11" s="11"/>
      <c r="P11" s="11">
        <v>0.99893374339999996</v>
      </c>
      <c r="Q11" s="11"/>
      <c r="S11" s="11">
        <v>0.99962923000000004</v>
      </c>
      <c r="T11" s="11"/>
      <c r="V11" s="11">
        <v>0.99765774399999996</v>
      </c>
    </row>
    <row r="12" spans="1:23" x14ac:dyDescent="0.25">
      <c r="A12" s="111">
        <f t="shared" si="1"/>
        <v>38823375.283058383</v>
      </c>
      <c r="B12">
        <v>2015</v>
      </c>
      <c r="C12">
        <v>9</v>
      </c>
      <c r="D12" s="106">
        <f>Usage!B34</f>
        <v>53534378.666666664</v>
      </c>
      <c r="E12" s="109">
        <f t="shared" si="0"/>
        <v>0.93259769944981474</v>
      </c>
      <c r="I12" s="7"/>
      <c r="J12" s="9"/>
      <c r="K12" s="9"/>
      <c r="L12" s="7"/>
      <c r="M12" s="9"/>
      <c r="N12" s="9"/>
      <c r="P12" s="9"/>
      <c r="Q12" s="9"/>
    </row>
    <row r="13" spans="1:23" x14ac:dyDescent="0.25">
      <c r="A13" s="111">
        <f t="shared" si="1"/>
        <v>90474751.999999985</v>
      </c>
      <c r="B13">
        <v>2016</v>
      </c>
      <c r="C13">
        <v>10</v>
      </c>
      <c r="D13" s="106">
        <f>Usage!B35</f>
        <v>90474752</v>
      </c>
      <c r="E13" s="109">
        <f t="shared" si="0"/>
        <v>0.69003085967138278</v>
      </c>
      <c r="F13">
        <v>0.69003085967138278</v>
      </c>
      <c r="G13">
        <v>0.69003085967138278</v>
      </c>
      <c r="H13">
        <v>0.69003085967138278</v>
      </c>
      <c r="I13" s="7"/>
      <c r="J13" s="9"/>
      <c r="L13" s="7"/>
      <c r="M13" s="9"/>
      <c r="N13" s="9"/>
      <c r="P13" s="9"/>
      <c r="Q13" s="9"/>
    </row>
    <row r="14" spans="1:23" x14ac:dyDescent="0.25">
      <c r="A14" s="111">
        <f>A13*(1+$H$5)</f>
        <v>178132542.52485445</v>
      </c>
      <c r="B14">
        <v>2017</v>
      </c>
      <c r="C14">
        <v>11</v>
      </c>
      <c r="E14" s="109">
        <f>(J24-D13)/D13</f>
        <v>0.61243054821151366</v>
      </c>
      <c r="F14" s="109">
        <f>(M24-D13)/D13</f>
        <v>0.60007333957810294</v>
      </c>
      <c r="G14" s="109">
        <f>(P24-D13)/D13</f>
        <v>0.79671850334580097</v>
      </c>
      <c r="H14" s="109">
        <f>(V24-D13)/D13</f>
        <v>0.88350480839444079</v>
      </c>
      <c r="I14" s="7">
        <f>B4</f>
        <v>2007</v>
      </c>
      <c r="J14" s="6">
        <f xml:space="preserve"> $K$5*$K$6^(1/C4)*C4^$K$7</f>
        <v>57353.813913791237</v>
      </c>
      <c r="L14" s="7"/>
      <c r="M14" s="6">
        <f t="shared" ref="M14:M29" si="4">$M$5*C4^$M$6</f>
        <v>960.661642513998</v>
      </c>
      <c r="N14" s="9"/>
      <c r="P14" s="6">
        <f t="shared" ref="P14:P29" si="5">$P$5*EXP($P$6*C4)</f>
        <v>505017.78613128053</v>
      </c>
      <c r="Q14" s="9"/>
      <c r="S14" s="6">
        <f>$S$5*C4^4+$S$6*C4^3+$S$7*C4^2+$S$8*C4+$S$9</f>
        <v>29100.755270093679</v>
      </c>
      <c r="V14" s="6">
        <f>$V$5*C4^($V$6*C4)</f>
        <v>1301928.8407500901</v>
      </c>
    </row>
    <row r="15" spans="1:23" x14ac:dyDescent="0.25">
      <c r="A15" s="111">
        <f t="shared" ref="A15:A22" si="6">A14*(1+$H$5)</f>
        <v>350718869.13123655</v>
      </c>
      <c r="B15">
        <v>2018</v>
      </c>
      <c r="C15">
        <v>12</v>
      </c>
      <c r="E15" s="109">
        <f>(J25-J24)/J24</f>
        <v>0.56216653708548681</v>
      </c>
      <c r="F15" s="109">
        <f t="shared" ref="F15:F22" si="7">(M25-M24)/M24</f>
        <v>0.54132894876737436</v>
      </c>
      <c r="G15" s="109">
        <f t="shared" ref="G15:G22" si="8">(P25-P24)/P24</f>
        <v>0.78143539425545705</v>
      </c>
      <c r="H15" s="109">
        <f t="shared" ref="H15:H22" si="9">(V25-V24)/V24</f>
        <v>0.88905482199948593</v>
      </c>
      <c r="I15" s="7">
        <f t="shared" ref="I15:I32" si="10">B5</f>
        <v>2008</v>
      </c>
      <c r="J15" s="6">
        <f t="shared" ref="J15:J32" si="11" xml:space="preserve"> $K$5*$K$6^(1/C5)*C5^$K$7</f>
        <v>122483.33355349928</v>
      </c>
      <c r="K15" s="109"/>
      <c r="L15" s="7"/>
      <c r="M15" s="6">
        <f t="shared" si="4"/>
        <v>30156.165225796602</v>
      </c>
      <c r="N15" s="102"/>
      <c r="P15" s="6">
        <f t="shared" si="5"/>
        <v>899656.55894279538</v>
      </c>
      <c r="Q15" s="102"/>
      <c r="S15" s="6">
        <f>$S$5*C5^4+$S$6*C5^3+$S$7*C5^2+$S$8*C5+$S$9</f>
        <v>340189.88643243164</v>
      </c>
      <c r="V15" s="6">
        <f t="shared" ref="V15:V32" si="12">$V$5*C5^($V$6*C5)</f>
        <v>1682077.6234895883</v>
      </c>
    </row>
    <row r="16" spans="1:23" x14ac:dyDescent="0.25">
      <c r="A16" s="111">
        <f t="shared" si="6"/>
        <v>690517989.7015785</v>
      </c>
      <c r="B16">
        <v>2019</v>
      </c>
      <c r="C16">
        <v>13</v>
      </c>
      <c r="E16" s="109">
        <f t="shared" ref="E16:E22" si="13">(J26-J25)/J25</f>
        <v>0.51270575926493789</v>
      </c>
      <c r="F16" s="109">
        <f t="shared" si="7"/>
        <v>0.48883631397816873</v>
      </c>
      <c r="G16" s="109">
        <f t="shared" si="8"/>
        <v>0.78143539425545716</v>
      </c>
      <c r="H16" s="109">
        <f t="shared" si="9"/>
        <v>0.91840520827077388</v>
      </c>
      <c r="I16" s="7">
        <f t="shared" si="10"/>
        <v>2009</v>
      </c>
      <c r="J16" s="6">
        <f t="shared" si="11"/>
        <v>424784.94203389494</v>
      </c>
      <c r="K16" s="109"/>
      <c r="L16" s="7"/>
      <c r="M16" s="6">
        <f t="shared" si="4"/>
        <v>226439.03649366583</v>
      </c>
      <c r="N16" s="102"/>
      <c r="P16" s="6">
        <f t="shared" si="5"/>
        <v>1602680.0367747659</v>
      </c>
      <c r="Q16" s="102"/>
      <c r="S16" s="6">
        <f t="shared" ref="S16:S32" si="14">$S$5*C6^4+$S$6*C6^3+$S$7*C6^2+$S$8*C6+$S$9</f>
        <v>1567791.0923220366</v>
      </c>
      <c r="V16" s="6">
        <f t="shared" si="12"/>
        <v>2393860.0257055284</v>
      </c>
    </row>
    <row r="17" spans="1:24" x14ac:dyDescent="0.25">
      <c r="A17" s="111">
        <f t="shared" si="6"/>
        <v>1359536472.2822723</v>
      </c>
      <c r="B17">
        <v>2020</v>
      </c>
      <c r="C17">
        <v>14</v>
      </c>
      <c r="E17" s="109">
        <f t="shared" si="13"/>
        <v>0.47110148665935786</v>
      </c>
      <c r="F17" s="109">
        <f t="shared" si="7"/>
        <v>0.44554389127283706</v>
      </c>
      <c r="G17" s="109">
        <f t="shared" si="8"/>
        <v>0.78143539425545405</v>
      </c>
      <c r="H17" s="109">
        <f t="shared" si="9"/>
        <v>0.94589770218152347</v>
      </c>
      <c r="I17" s="7">
        <f t="shared" si="10"/>
        <v>2010</v>
      </c>
      <c r="J17" s="6">
        <f t="shared" si="11"/>
        <v>1281653.9335927966</v>
      </c>
      <c r="K17" s="109"/>
      <c r="L17" s="7"/>
      <c r="M17" s="6">
        <f t="shared" si="4"/>
        <v>946633.30030093645</v>
      </c>
      <c r="N17" s="102"/>
      <c r="P17" s="6">
        <f t="shared" si="5"/>
        <v>2855070.9431772041</v>
      </c>
      <c r="Q17" s="102"/>
      <c r="S17" s="6">
        <f t="shared" si="14"/>
        <v>3031426.7349505536</v>
      </c>
      <c r="V17" s="6">
        <f t="shared" si="12"/>
        <v>3627625.037607397</v>
      </c>
    </row>
    <row r="18" spans="1:24" x14ac:dyDescent="0.25">
      <c r="A18" s="111">
        <f t="shared" si="6"/>
        <v>2676743324.6229014</v>
      </c>
      <c r="B18">
        <v>2021</v>
      </c>
      <c r="C18">
        <v>15</v>
      </c>
      <c r="E18" s="109">
        <f t="shared" si="13"/>
        <v>0.43564505204061449</v>
      </c>
      <c r="F18" s="109">
        <f t="shared" si="7"/>
        <v>0.40924194100481437</v>
      </c>
      <c r="G18" s="109">
        <f t="shared" si="8"/>
        <v>0.78143539425545705</v>
      </c>
      <c r="H18" s="109">
        <f t="shared" si="9"/>
        <v>0.97177555918654857</v>
      </c>
      <c r="I18" s="7">
        <f t="shared" si="10"/>
        <v>2011</v>
      </c>
      <c r="J18" s="6">
        <f t="shared" si="11"/>
        <v>3312768.3660316197</v>
      </c>
      <c r="K18" s="109"/>
      <c r="L18" s="7"/>
      <c r="M18" s="6">
        <f t="shared" si="4"/>
        <v>2871081.8490294819</v>
      </c>
      <c r="N18" s="102"/>
      <c r="P18" s="6">
        <f t="shared" si="5"/>
        <v>5086124.4312861804</v>
      </c>
      <c r="Q18" s="102"/>
      <c r="S18" s="6">
        <f t="shared" si="14"/>
        <v>4940709.3954629861</v>
      </c>
      <c r="V18" s="6">
        <f t="shared" si="12"/>
        <v>5760026.7295143977</v>
      </c>
    </row>
    <row r="19" spans="1:24" x14ac:dyDescent="0.25">
      <c r="A19" s="111">
        <f t="shared" si="6"/>
        <v>5270145356.1487446</v>
      </c>
      <c r="B19">
        <v>2022</v>
      </c>
      <c r="C19">
        <v>16</v>
      </c>
      <c r="E19" s="109">
        <f t="shared" si="13"/>
        <v>0.40508390421833279</v>
      </c>
      <c r="F19" s="109">
        <f t="shared" si="7"/>
        <v>0.37837276643507356</v>
      </c>
      <c r="G19" s="109">
        <f t="shared" si="8"/>
        <v>0.78143539425545705</v>
      </c>
      <c r="H19" s="109">
        <f t="shared" si="9"/>
        <v>0.99623592035287645</v>
      </c>
      <c r="I19" s="7">
        <f t="shared" si="10"/>
        <v>2012</v>
      </c>
      <c r="J19" s="6">
        <f t="shared" si="11"/>
        <v>7549576.3980954392</v>
      </c>
      <c r="K19" s="109"/>
      <c r="L19" s="7"/>
      <c r="M19" s="6">
        <f t="shared" si="4"/>
        <v>7108156.1872328743</v>
      </c>
      <c r="N19" s="102"/>
      <c r="O19" s="6"/>
      <c r="P19" s="6">
        <f t="shared" si="5"/>
        <v>9060602.0814806055</v>
      </c>
      <c r="Q19" s="102"/>
      <c r="R19" s="6"/>
      <c r="S19" s="6">
        <f t="shared" si="14"/>
        <v>8395341.8741377071</v>
      </c>
      <c r="U19" s="6"/>
      <c r="V19" s="6">
        <f t="shared" si="12"/>
        <v>9492631.3409211319</v>
      </c>
    </row>
    <row r="20" spans="1:24" x14ac:dyDescent="0.25">
      <c r="A20" s="111">
        <f t="shared" si="6"/>
        <v>10376202984.964586</v>
      </c>
      <c r="B20">
        <v>2023</v>
      </c>
      <c r="C20">
        <v>17</v>
      </c>
      <c r="E20" s="109">
        <f t="shared" si="13"/>
        <v>0.37848056062993835</v>
      </c>
      <c r="F20" s="109">
        <f t="shared" si="7"/>
        <v>0.35180757629494186</v>
      </c>
      <c r="G20" s="109">
        <f t="shared" si="8"/>
        <v>0.78143539425545705</v>
      </c>
      <c r="H20" s="109">
        <f t="shared" si="9"/>
        <v>1.0194409210415398</v>
      </c>
      <c r="I20" s="7">
        <f t="shared" si="10"/>
        <v>2013</v>
      </c>
      <c r="J20" s="6">
        <f t="shared" si="11"/>
        <v>15575930.779859871</v>
      </c>
      <c r="K20" s="109"/>
      <c r="L20" s="7"/>
      <c r="M20" s="6">
        <f t="shared" si="4"/>
        <v>15298019.063985802</v>
      </c>
      <c r="N20" s="102"/>
      <c r="O20" s="6"/>
      <c r="P20" s="6">
        <f t="shared" si="5"/>
        <v>16140877.241214203</v>
      </c>
      <c r="Q20" s="102"/>
      <c r="R20" s="6"/>
      <c r="S20" s="6">
        <f t="shared" si="14"/>
        <v>15385117.190386433</v>
      </c>
      <c r="U20" s="6"/>
      <c r="V20" s="6">
        <f t="shared" si="12"/>
        <v>16135684.625988329</v>
      </c>
    </row>
    <row r="21" spans="1:24" x14ac:dyDescent="0.25">
      <c r="A21" s="111">
        <f t="shared" si="6"/>
        <v>20429339441.192677</v>
      </c>
      <c r="B21">
        <v>2024</v>
      </c>
      <c r="C21">
        <v>18</v>
      </c>
      <c r="E21" s="109">
        <f t="shared" si="13"/>
        <v>0.35512033018945027</v>
      </c>
      <c r="F21" s="109">
        <f t="shared" si="7"/>
        <v>0.32870885226233387</v>
      </c>
      <c r="G21" s="109">
        <f t="shared" si="8"/>
        <v>0.78143539425545716</v>
      </c>
      <c r="H21" s="109">
        <f t="shared" si="9"/>
        <v>1.0415256205111516</v>
      </c>
      <c r="I21" s="7">
        <f t="shared" si="10"/>
        <v>2014</v>
      </c>
      <c r="J21" s="6">
        <f t="shared" si="11"/>
        <v>29686164.716476388</v>
      </c>
      <c r="K21" s="109"/>
      <c r="L21" s="7"/>
      <c r="M21" s="6">
        <f t="shared" si="4"/>
        <v>29715801.015444625</v>
      </c>
      <c r="N21" s="102"/>
      <c r="O21" s="6"/>
      <c r="P21" s="6">
        <f t="shared" si="5"/>
        <v>28753930.011831358</v>
      </c>
      <c r="Q21" s="102"/>
      <c r="R21" s="6"/>
      <c r="S21" s="6">
        <f t="shared" si="14"/>
        <v>28789918.582754228</v>
      </c>
      <c r="U21" s="6"/>
      <c r="V21" s="6">
        <f t="shared" si="12"/>
        <v>28163892.413466725</v>
      </c>
    </row>
    <row r="22" spans="1:24" x14ac:dyDescent="0.25">
      <c r="A22" s="111">
        <f t="shared" si="6"/>
        <v>40222604608.664101</v>
      </c>
      <c r="B22">
        <v>2025</v>
      </c>
      <c r="C22">
        <v>19</v>
      </c>
      <c r="E22" s="109">
        <f t="shared" si="13"/>
        <v>0.33444939233191623</v>
      </c>
      <c r="F22" s="109">
        <f t="shared" si="7"/>
        <v>0.30844237824024345</v>
      </c>
      <c r="G22" s="109">
        <f t="shared" si="8"/>
        <v>0.78143539425545372</v>
      </c>
      <c r="H22" s="109">
        <f t="shared" si="9"/>
        <v>1.0626037901855863</v>
      </c>
      <c r="I22" s="7">
        <f t="shared" si="10"/>
        <v>2015</v>
      </c>
      <c r="J22" s="6">
        <f t="shared" si="11"/>
        <v>53059231.879603937</v>
      </c>
      <c r="K22" s="109"/>
      <c r="L22" s="7"/>
      <c r="M22" s="6">
        <f t="shared" si="4"/>
        <v>53374294.318649866</v>
      </c>
      <c r="N22" s="102"/>
      <c r="O22" s="6"/>
      <c r="P22" s="6">
        <f t="shared" si="5"/>
        <v>51223268.647020616</v>
      </c>
      <c r="Q22" s="102"/>
      <c r="R22" s="6"/>
      <c r="S22" s="6">
        <f t="shared" si="14"/>
        <v>52379719.508919567</v>
      </c>
      <c r="U22" s="6"/>
      <c r="V22" s="6">
        <f t="shared" si="12"/>
        <v>50310227.041090891</v>
      </c>
    </row>
    <row r="23" spans="1:24" x14ac:dyDescent="0.25">
      <c r="I23" s="7">
        <f t="shared" si="10"/>
        <v>2016</v>
      </c>
      <c r="J23" s="6">
        <f t="shared" si="11"/>
        <v>89948162.677267432</v>
      </c>
      <c r="L23" s="102">
        <f>J23/J17</f>
        <v>70.181318310411797</v>
      </c>
      <c r="M23" s="6">
        <f t="shared" si="4"/>
        <v>90126236.735695705</v>
      </c>
      <c r="O23" s="102">
        <f>M23/M17</f>
        <v>95.207126885399461</v>
      </c>
      <c r="P23" s="6">
        <f t="shared" si="5"/>
        <v>91250943.777258277</v>
      </c>
      <c r="Q23" s="102"/>
      <c r="R23" s="102">
        <f>P23/P17</f>
        <v>31.961007482255987</v>
      </c>
      <c r="S23" s="6">
        <f t="shared" si="14"/>
        <v>90814583.645694256</v>
      </c>
      <c r="U23" s="102">
        <f>S23/S17</f>
        <v>29.957703611522565</v>
      </c>
      <c r="V23" s="6">
        <f t="shared" si="12"/>
        <v>91739354.187596411</v>
      </c>
      <c r="X23" s="102">
        <f>V23/V17</f>
        <v>25.289094996461699</v>
      </c>
    </row>
    <row r="24" spans="1:24" x14ac:dyDescent="0.25">
      <c r="I24" s="105">
        <f t="shared" si="10"/>
        <v>2017</v>
      </c>
      <c r="J24" s="10">
        <f xml:space="preserve"> $K$5*$K$6^(1/C14)*C14^$K$7</f>
        <v>145884253.96666074</v>
      </c>
      <c r="K24" s="102"/>
      <c r="L24" s="10"/>
      <c r="M24" s="10">
        <f t="shared" si="4"/>
        <v>144766238.58014065</v>
      </c>
      <c r="N24" s="102"/>
      <c r="O24" s="10"/>
      <c r="P24" s="10">
        <f t="shared" si="5"/>
        <v>162557661.00402251</v>
      </c>
      <c r="Q24" s="102"/>
      <c r="R24" s="10"/>
      <c r="S24" s="10">
        <f t="shared" si="14"/>
        <v>149644664.88902336</v>
      </c>
      <c r="U24" s="6"/>
      <c r="V24" s="10">
        <f t="shared" si="12"/>
        <v>170409630.43029454</v>
      </c>
    </row>
    <row r="25" spans="1:24" x14ac:dyDescent="0.25">
      <c r="I25" s="105">
        <f t="shared" si="10"/>
        <v>2018</v>
      </c>
      <c r="J25" s="10">
        <f t="shared" si="11"/>
        <v>227895499.83439809</v>
      </c>
      <c r="K25" s="102"/>
      <c r="L25" s="10"/>
      <c r="M25" s="10">
        <f t="shared" si="4"/>
        <v>223132394.3277351</v>
      </c>
      <c r="N25" s="102"/>
      <c r="O25" s="10"/>
      <c r="P25" s="10">
        <f t="shared" si="5"/>
        <v>289585970.91994578</v>
      </c>
      <c r="Q25" s="102"/>
      <c r="R25" s="10"/>
      <c r="S25" s="10">
        <f t="shared" si="14"/>
        <v>235310207.35398573</v>
      </c>
      <c r="U25" s="6"/>
      <c r="V25" s="10">
        <f t="shared" si="12"/>
        <v>321913134.07949823</v>
      </c>
    </row>
    <row r="26" spans="1:24" x14ac:dyDescent="0.25">
      <c r="I26" s="105">
        <f t="shared" si="10"/>
        <v>2019</v>
      </c>
      <c r="J26" s="10">
        <f t="shared" si="11"/>
        <v>344738835.11005569</v>
      </c>
      <c r="K26" s="102">
        <v>2016</v>
      </c>
      <c r="L26" s="102">
        <v>2010</v>
      </c>
      <c r="M26" s="10">
        <f t="shared" si="4"/>
        <v>332207611.50002837</v>
      </c>
      <c r="N26" s="102">
        <v>2016</v>
      </c>
      <c r="O26" s="102">
        <v>2010</v>
      </c>
      <c r="P26" s="10">
        <f t="shared" si="5"/>
        <v>515878698.27662295</v>
      </c>
      <c r="Q26" s="102">
        <v>2016</v>
      </c>
      <c r="R26" s="102">
        <v>2010</v>
      </c>
      <c r="S26" s="10">
        <f t="shared" si="14"/>
        <v>355141545.37479281</v>
      </c>
      <c r="T26" s="102">
        <v>2016</v>
      </c>
      <c r="U26" s="102">
        <v>2010</v>
      </c>
      <c r="V26" s="10">
        <f t="shared" si="12"/>
        <v>617559833.02887738</v>
      </c>
      <c r="W26" s="102">
        <v>2016</v>
      </c>
      <c r="X26" s="102">
        <v>2010</v>
      </c>
    </row>
    <row r="27" spans="1:24" x14ac:dyDescent="0.25">
      <c r="I27" s="105">
        <f t="shared" si="10"/>
        <v>2020</v>
      </c>
      <c r="J27" s="10">
        <f t="shared" si="11"/>
        <v>507145812.83961815</v>
      </c>
      <c r="K27">
        <f>J27/D13</f>
        <v>5.6053849458423288</v>
      </c>
      <c r="L27">
        <f>J27/D7</f>
        <v>176.5211772072673</v>
      </c>
      <c r="M27" s="10">
        <f t="shared" si="4"/>
        <v>480220683.4382059</v>
      </c>
      <c r="N27">
        <f>M27/D13</f>
        <v>5.3077866788538524</v>
      </c>
      <c r="O27">
        <f>M27/D7</f>
        <v>167.14940400503374</v>
      </c>
      <c r="P27" s="10">
        <f t="shared" si="5"/>
        <v>919004572.25240624</v>
      </c>
      <c r="Q27">
        <f>P27/D13</f>
        <v>10.157580451310949</v>
      </c>
      <c r="R27">
        <f>P27/D7</f>
        <v>319.87598999295727</v>
      </c>
      <c r="S27" s="10">
        <f t="shared" si="14"/>
        <v>517359103.50479019</v>
      </c>
      <c r="T27">
        <f>S27/D13</f>
        <v>5.7182704795343371</v>
      </c>
      <c r="U27">
        <f>S27/D7</f>
        <v>180.07609582383154</v>
      </c>
      <c r="V27" s="10">
        <f t="shared" si="12"/>
        <v>1201708260.0504978</v>
      </c>
      <c r="W27">
        <f>V27/D13</f>
        <v>13.282249837507129</v>
      </c>
      <c r="X27">
        <f>V27/D7</f>
        <v>418.2760684467973</v>
      </c>
    </row>
    <row r="28" spans="1:24" x14ac:dyDescent="0.25">
      <c r="I28" s="105">
        <f t="shared" si="10"/>
        <v>2021</v>
      </c>
      <c r="J28" s="10">
        <f t="shared" si="11"/>
        <v>728081376.86631334</v>
      </c>
      <c r="L28" s="10"/>
      <c r="M28" s="10">
        <f t="shared" si="4"/>
        <v>676747128.03911579</v>
      </c>
      <c r="O28" s="10"/>
      <c r="P28" s="10">
        <f t="shared" si="5"/>
        <v>1637147272.4930329</v>
      </c>
      <c r="R28" s="10"/>
      <c r="S28" s="10">
        <f t="shared" si="14"/>
        <v>731073396.51645613</v>
      </c>
      <c r="U28" s="10"/>
      <c r="V28" s="10">
        <f t="shared" si="12"/>
        <v>2369498976.4401646</v>
      </c>
      <c r="X28" s="10"/>
    </row>
    <row r="29" spans="1:24" x14ac:dyDescent="0.25">
      <c r="I29" s="105">
        <f t="shared" si="10"/>
        <v>2022</v>
      </c>
      <c r="J29" s="10">
        <f t="shared" si="11"/>
        <v>1023015423.5959789</v>
      </c>
      <c r="L29" s="10"/>
      <c r="M29" s="10">
        <f t="shared" si="4"/>
        <v>932809811.05226696</v>
      </c>
      <c r="O29" s="10"/>
      <c r="P29" s="10">
        <f t="shared" si="5"/>
        <v>2916472096.8278723</v>
      </c>
      <c r="R29" s="10"/>
      <c r="S29" s="10">
        <f t="shared" si="14"/>
        <v>1006285029.4014028</v>
      </c>
      <c r="U29" s="10"/>
      <c r="V29" s="10">
        <f t="shared" si="12"/>
        <v>4730078970.0092306</v>
      </c>
      <c r="X29" s="10"/>
    </row>
    <row r="30" spans="1:24" x14ac:dyDescent="0.25">
      <c r="I30" s="105">
        <f t="shared" si="10"/>
        <v>2023</v>
      </c>
      <c r="J30" s="10">
        <f t="shared" si="11"/>
        <v>1410206874.6516588</v>
      </c>
      <c r="L30" s="10"/>
      <c r="M30" s="10">
        <f t="shared" ref="M30:M32" si="15">$M$5*C20^$M$6</f>
        <v>1260979369.8227077</v>
      </c>
      <c r="O30" s="10"/>
      <c r="P30" s="10">
        <f t="shared" ref="P30:P32" si="16">$P$5*EXP($P$6*C20)</f>
        <v>5195506619.6476002</v>
      </c>
      <c r="R30" s="10"/>
      <c r="S30" s="10">
        <f t="shared" si="14"/>
        <v>1353884697.3703759</v>
      </c>
      <c r="U30" s="10"/>
      <c r="V30" s="10">
        <f t="shared" si="12"/>
        <v>9552115031.7946587</v>
      </c>
      <c r="X30" s="10"/>
    </row>
    <row r="31" spans="1:24" x14ac:dyDescent="0.25">
      <c r="I31" s="105">
        <f t="shared" si="10"/>
        <v>2024</v>
      </c>
      <c r="J31" s="10">
        <f t="shared" si="11"/>
        <v>1911000005.6133885</v>
      </c>
      <c r="L31" s="10"/>
      <c r="M31" s="10">
        <f t="shared" si="15"/>
        <v>1675474451.2036109</v>
      </c>
      <c r="O31" s="10"/>
      <c r="P31" s="10">
        <f t="shared" si="16"/>
        <v>9255459383.3287601</v>
      </c>
      <c r="R31" s="10"/>
      <c r="S31" s="10">
        <f t="shared" si="14"/>
        <v>1785653185.8532534</v>
      </c>
      <c r="U31" s="10"/>
      <c r="V31" s="10">
        <f t="shared" si="12"/>
        <v>19500887567.478489</v>
      </c>
      <c r="X31" s="10"/>
    </row>
    <row r="32" spans="1:24" x14ac:dyDescent="0.25">
      <c r="I32" s="105">
        <f t="shared" si="10"/>
        <v>2025</v>
      </c>
      <c r="J32" s="10">
        <f t="shared" si="11"/>
        <v>2550132796.2370749</v>
      </c>
      <c r="K32">
        <f>J32/D13</f>
        <v>28.186126403939465</v>
      </c>
      <c r="L32">
        <f>J32/D7</f>
        <v>887.61936277483733</v>
      </c>
      <c r="M32" s="10">
        <f t="shared" si="15"/>
        <v>2192261775.6136193</v>
      </c>
      <c r="N32">
        <f>M32/D13</f>
        <v>24.230646972247232</v>
      </c>
      <c r="O32">
        <f>M32/D7</f>
        <v>763.05594876357679</v>
      </c>
      <c r="P32" s="10">
        <f t="shared" si="16"/>
        <v>16488002935.555609</v>
      </c>
      <c r="Q32">
        <f>P32/D13</f>
        <v>182.23871932310584</v>
      </c>
      <c r="R32">
        <f>P32/D7</f>
        <v>5738.9445289605055</v>
      </c>
      <c r="S32" s="10">
        <f t="shared" si="14"/>
        <v>2314261370.4990482</v>
      </c>
      <c r="T32">
        <f>S32/D13</f>
        <v>25.579084986041721</v>
      </c>
      <c r="U32">
        <f>S32/D7</f>
        <v>805.52009134892842</v>
      </c>
      <c r="V32" s="10">
        <f t="shared" si="12"/>
        <v>40222604608.664108</v>
      </c>
      <c r="W32">
        <f>V32/D13</f>
        <v>444.57269812316378</v>
      </c>
      <c r="X32">
        <f>V32/D7</f>
        <v>14000.197450332142</v>
      </c>
    </row>
    <row r="33" spans="4:19" x14ac:dyDescent="0.25">
      <c r="I33" s="7"/>
      <c r="J33" s="7"/>
      <c r="K33" s="7"/>
      <c r="L33" s="7"/>
      <c r="M33" s="6"/>
      <c r="N33" s="10"/>
      <c r="O33" s="6"/>
      <c r="P33" s="6"/>
      <c r="S33" s="10"/>
    </row>
    <row r="34" spans="4:19" x14ac:dyDescent="0.25">
      <c r="I34" s="7"/>
      <c r="J34" s="7"/>
      <c r="K34" s="7"/>
      <c r="L34" s="7"/>
      <c r="M34" s="7"/>
    </row>
    <row r="44" spans="4:19" ht="15.75" thickBot="1" x14ac:dyDescent="0.3"/>
    <row r="45" spans="4:19" ht="15.75" thickBot="1" x14ac:dyDescent="0.3">
      <c r="D45" s="112">
        <v>87.02</v>
      </c>
      <c r="E45">
        <f>D45*12</f>
        <v>1044.24</v>
      </c>
    </row>
    <row r="46" spans="4:19" ht="15.75" thickBot="1" x14ac:dyDescent="0.3">
      <c r="D46" s="113">
        <v>155.03</v>
      </c>
      <c r="E46">
        <f t="shared" ref="E46:E49" si="17">D46*12</f>
        <v>1860.3600000000001</v>
      </c>
    </row>
    <row r="47" spans="4:19" ht="15.75" thickBot="1" x14ac:dyDescent="0.3">
      <c r="D47" s="113">
        <v>276.17</v>
      </c>
      <c r="E47">
        <f t="shared" si="17"/>
        <v>3314.04</v>
      </c>
    </row>
    <row r="48" spans="4:19" ht="15.75" thickBot="1" x14ac:dyDescent="0.3">
      <c r="D48" s="113">
        <v>491.98</v>
      </c>
      <c r="E48">
        <f t="shared" si="17"/>
        <v>5903.76</v>
      </c>
    </row>
    <row r="49" spans="4:7" ht="15.75" thickBot="1" x14ac:dyDescent="0.3">
      <c r="D49" s="113">
        <v>876.43</v>
      </c>
      <c r="E49">
        <f t="shared" si="17"/>
        <v>10517.16</v>
      </c>
    </row>
    <row r="52" spans="4:7" x14ac:dyDescent="0.25">
      <c r="D52">
        <v>0.79530000000000001</v>
      </c>
      <c r="F52">
        <f>D52*1024*1024*E45</f>
        <v>870825666.28147197</v>
      </c>
      <c r="G52">
        <f>F52/1000000</f>
        <v>870.82566628147197</v>
      </c>
    </row>
    <row r="53" spans="4:7" x14ac:dyDescent="0.25">
      <c r="D53">
        <v>0.70140000000000002</v>
      </c>
      <c r="F53">
        <f t="shared" ref="F53:F55" si="18">D53*1024*1024*E46</f>
        <v>1368241213.5383041</v>
      </c>
      <c r="G53">
        <f t="shared" ref="G53:G56" si="19">F53/1000000</f>
        <v>1368.241213538304</v>
      </c>
    </row>
    <row r="54" spans="4:7" x14ac:dyDescent="0.25">
      <c r="D54">
        <v>0.4667</v>
      </c>
      <c r="F54">
        <f t="shared" si="18"/>
        <v>1621793144.045568</v>
      </c>
      <c r="G54">
        <f t="shared" si="19"/>
        <v>1621.7931440455679</v>
      </c>
    </row>
    <row r="55" spans="4:7" x14ac:dyDescent="0.25">
      <c r="D55">
        <v>0.3105</v>
      </c>
      <c r="F55">
        <f t="shared" si="18"/>
        <v>1922162994.7084801</v>
      </c>
      <c r="G55">
        <f t="shared" si="19"/>
        <v>1922.16299470848</v>
      </c>
    </row>
    <row r="56" spans="4:7" x14ac:dyDescent="0.25">
      <c r="D56">
        <v>0.27389999999999998</v>
      </c>
      <c r="F56">
        <f>D56*1024*1024*E49</f>
        <v>3020580584.4234238</v>
      </c>
      <c r="G56">
        <f t="shared" si="19"/>
        <v>3020.5805844234237</v>
      </c>
    </row>
  </sheetData>
  <mergeCells count="9">
    <mergeCell ref="J2:K2"/>
    <mergeCell ref="J3:K3"/>
    <mergeCell ref="M2:N2"/>
    <mergeCell ref="M3:N3"/>
    <mergeCell ref="U3:V3"/>
    <mergeCell ref="U2:V2"/>
    <mergeCell ref="S2:T2"/>
    <mergeCell ref="P2:Q2"/>
    <mergeCell ref="P3:Q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Revenues FI</vt:lpstr>
      <vt:lpstr>demand determinants</vt:lpstr>
      <vt:lpstr>mobile data traffic</vt:lpstr>
    </vt:vector>
  </TitlesOfParts>
  <Company>Aalto University School of Electrical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Michail Katsigiannis</dc:creator>
  <cp:lastModifiedBy>Michael Katsigiannis</cp:lastModifiedBy>
  <dcterms:created xsi:type="dcterms:W3CDTF">2013-05-05T13:18:06Z</dcterms:created>
  <dcterms:modified xsi:type="dcterms:W3CDTF">2017-10-24T08:05:42Z</dcterms:modified>
</cp:coreProperties>
</file>