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DPPI23-E13/Documentos compartidos/General/DPPI23-E13/Entrega/"/>
    </mc:Choice>
  </mc:AlternateContent>
  <xr:revisionPtr revIDLastSave="27" documentId="8_{D5BD1BB7-5826-4C10-AD4E-1DBAE51ABC7D}" xr6:coauthVersionLast="47" xr6:coauthVersionMax="47" xr10:uidLastSave="{B13A1907-AC11-4809-A958-71FC3AB937FA}"/>
  <bookViews>
    <workbookView xWindow="-120" yWindow="-120" windowWidth="29040" windowHeight="15840" xr2:uid="{00000000-000D-0000-FFFF-FFFF00000000}"/>
  </bookViews>
  <sheets>
    <sheet name="Costes" sheetId="1" r:id="rId1"/>
    <sheet name="Clien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00" i="1" l="1"/>
  <c r="X399" i="1"/>
  <c r="X398" i="1"/>
  <c r="X397" i="1"/>
  <c r="X396" i="1"/>
  <c r="Y396" i="1" s="1"/>
  <c r="X393" i="1"/>
  <c r="X392" i="1"/>
  <c r="X391" i="1"/>
  <c r="X389" i="1"/>
  <c r="X388" i="1"/>
  <c r="X387" i="1"/>
  <c r="X386" i="1"/>
  <c r="X385" i="1"/>
  <c r="X383" i="1"/>
  <c r="X381" i="1"/>
  <c r="X379" i="1"/>
  <c r="X377" i="1"/>
  <c r="X366" i="1"/>
  <c r="X365" i="1"/>
  <c r="X363" i="1"/>
  <c r="X362" i="1"/>
  <c r="X359" i="1"/>
  <c r="X358" i="1"/>
  <c r="X357" i="1"/>
  <c r="X354" i="1"/>
  <c r="X353" i="1"/>
  <c r="X352" i="1"/>
  <c r="X351" i="1"/>
  <c r="X348" i="1"/>
  <c r="X346" i="1"/>
  <c r="X345" i="1"/>
  <c r="X344" i="1"/>
  <c r="X342" i="1"/>
  <c r="X341" i="1"/>
  <c r="X340" i="1"/>
  <c r="X338" i="1"/>
  <c r="X337" i="1"/>
  <c r="X336" i="1"/>
  <c r="X334" i="1"/>
  <c r="X333" i="1"/>
  <c r="X332" i="1"/>
  <c r="X330" i="1"/>
  <c r="X329" i="1"/>
  <c r="X328" i="1"/>
  <c r="X326" i="1"/>
  <c r="X325" i="1"/>
  <c r="X324" i="1"/>
  <c r="X322" i="1"/>
  <c r="X321" i="1"/>
  <c r="X320" i="1"/>
  <c r="X318" i="1"/>
  <c r="X317" i="1"/>
  <c r="X316" i="1"/>
  <c r="X313" i="1"/>
  <c r="X312" i="1"/>
  <c r="X311" i="1"/>
  <c r="X310" i="1"/>
  <c r="X307" i="1"/>
  <c r="X306" i="1"/>
  <c r="X305" i="1"/>
  <c r="X304" i="1"/>
  <c r="X303" i="1"/>
  <c r="X302" i="1"/>
  <c r="X300" i="1"/>
  <c r="X299" i="1"/>
  <c r="X298" i="1"/>
  <c r="X297" i="1"/>
  <c r="X296" i="1"/>
  <c r="X293" i="1"/>
  <c r="X292" i="1"/>
  <c r="X291" i="1"/>
  <c r="X282" i="1"/>
  <c r="X281" i="1"/>
  <c r="X278" i="1"/>
  <c r="X276" i="1"/>
  <c r="X274" i="1"/>
  <c r="X272" i="1"/>
  <c r="X270" i="1"/>
  <c r="X269" i="1"/>
  <c r="X266" i="1"/>
  <c r="X264" i="1"/>
  <c r="X262" i="1"/>
  <c r="X260" i="1"/>
  <c r="X258" i="1"/>
  <c r="X253" i="1"/>
  <c r="X252" i="1"/>
  <c r="X255" i="1"/>
  <c r="X250" i="1"/>
  <c r="X247" i="1"/>
  <c r="X245" i="1"/>
  <c r="X243" i="1"/>
  <c r="X241" i="1"/>
  <c r="X240" i="1"/>
  <c r="X237" i="1"/>
  <c r="X234" i="1"/>
  <c r="X233" i="1"/>
  <c r="X220" i="1"/>
  <c r="X219" i="1"/>
  <c r="X218" i="1"/>
  <c r="X214" i="1"/>
  <c r="X213" i="1"/>
  <c r="X212" i="1"/>
  <c r="X211" i="1"/>
  <c r="X210" i="1"/>
  <c r="X206" i="1"/>
  <c r="X205" i="1"/>
  <c r="X204" i="1"/>
  <c r="Y203" i="1"/>
  <c r="X203" i="1"/>
  <c r="X190" i="1"/>
  <c r="X189" i="1"/>
  <c r="X188" i="1"/>
  <c r="X187" i="1"/>
  <c r="X186" i="1"/>
  <c r="X184" i="1"/>
  <c r="X183" i="1"/>
  <c r="X182" i="1"/>
  <c r="X179" i="1"/>
  <c r="X177" i="1"/>
  <c r="X175" i="1"/>
  <c r="X172" i="1"/>
  <c r="X170" i="1"/>
  <c r="X167" i="1"/>
  <c r="X166" i="1"/>
  <c r="X164" i="1"/>
  <c r="X163" i="1"/>
  <c r="X161" i="1"/>
  <c r="X160" i="1"/>
  <c r="X158" i="1"/>
  <c r="X157" i="1"/>
  <c r="X154" i="1"/>
  <c r="X153" i="1"/>
  <c r="X151" i="1"/>
  <c r="X150" i="1"/>
  <c r="X147" i="1"/>
  <c r="X146" i="1"/>
  <c r="X144" i="1"/>
  <c r="X143" i="1"/>
  <c r="X139" i="1"/>
  <c r="X137" i="1"/>
  <c r="X135" i="1"/>
  <c r="X133" i="1"/>
  <c r="X131" i="1"/>
  <c r="X128" i="1"/>
  <c r="X126" i="1"/>
  <c r="X124" i="1"/>
  <c r="X121" i="1"/>
  <c r="X120" i="1"/>
  <c r="X118" i="1"/>
  <c r="X117" i="1"/>
  <c r="X115" i="1"/>
  <c r="X114" i="1"/>
  <c r="X112" i="1"/>
  <c r="X111" i="1"/>
  <c r="X98" i="1"/>
  <c r="X97" i="1"/>
  <c r="X95" i="1"/>
  <c r="X94" i="1"/>
  <c r="X93" i="1"/>
  <c r="X91" i="1"/>
  <c r="X90" i="1"/>
  <c r="X89" i="1"/>
  <c r="X84" i="1"/>
  <c r="X80" i="1"/>
  <c r="X78" i="1"/>
  <c r="X77" i="1"/>
  <c r="X76" i="1"/>
  <c r="X73" i="1"/>
  <c r="X67" i="1"/>
  <c r="X69" i="1"/>
  <c r="Z355" i="1"/>
  <c r="Z295" i="1"/>
  <c r="V420" i="1"/>
  <c r="Y420" i="1" s="1"/>
  <c r="V419" i="1"/>
  <c r="Y419" i="1" s="1"/>
  <c r="V418" i="1"/>
  <c r="Y418" i="1" s="1"/>
  <c r="V417" i="1"/>
  <c r="Y417" i="1" s="1"/>
  <c r="V416" i="1"/>
  <c r="Y416" i="1" s="1"/>
  <c r="Y217" i="1"/>
  <c r="Y221" i="1"/>
  <c r="Y215" i="1"/>
  <c r="V415" i="1"/>
  <c r="Y415" i="1" s="1"/>
  <c r="V414" i="1"/>
  <c r="Y414" i="1" s="1"/>
  <c r="V424" i="1"/>
  <c r="Y424" i="1" s="1"/>
  <c r="V423" i="1"/>
  <c r="Y423" i="1" s="1"/>
  <c r="V422" i="1"/>
  <c r="Y422" i="1" s="1"/>
  <c r="Z421" i="1" s="1"/>
  <c r="V413" i="1"/>
  <c r="Y413" i="1" s="1"/>
  <c r="V412" i="1"/>
  <c r="Y412" i="1" s="1"/>
  <c r="V411" i="1"/>
  <c r="Y411" i="1" s="1"/>
  <c r="Z410" i="1" s="1"/>
  <c r="AA409" i="1" s="1"/>
  <c r="V440" i="1" s="1"/>
  <c r="AH85" i="1"/>
  <c r="AI85" i="1" s="1"/>
  <c r="AI86" i="1"/>
  <c r="AI87" i="1"/>
  <c r="AI80" i="1"/>
  <c r="AL58" i="1"/>
  <c r="AN58" i="1" s="1"/>
  <c r="AL59" i="1"/>
  <c r="AN59" i="1" s="1"/>
  <c r="AL61" i="1"/>
  <c r="AN61" i="1" s="1"/>
  <c r="AL62" i="1"/>
  <c r="AN62" i="1" s="1"/>
  <c r="AL63" i="1"/>
  <c r="AN63" i="1" s="1"/>
  <c r="AL64" i="1"/>
  <c r="AN64" i="1" s="1"/>
  <c r="AL65" i="1"/>
  <c r="AN65" i="1" s="1"/>
  <c r="AL66" i="1"/>
  <c r="AN66" i="1" s="1"/>
  <c r="AL67" i="1"/>
  <c r="AN67" i="1" s="1"/>
  <c r="AL68" i="1"/>
  <c r="AN68" i="1" s="1"/>
  <c r="AL69" i="1"/>
  <c r="AN69" i="1" s="1"/>
  <c r="AL70" i="1"/>
  <c r="AN70" i="1" s="1"/>
  <c r="AL57" i="1"/>
  <c r="AN57" i="1" s="1"/>
  <c r="AM76" i="1"/>
  <c r="AJ60" i="1"/>
  <c r="AI60" i="1"/>
  <c r="AH60" i="1"/>
  <c r="AG60" i="1"/>
  <c r="Y199" i="1"/>
  <c r="Z198" i="1" s="1"/>
  <c r="V471" i="1" s="1"/>
  <c r="Y201" i="1"/>
  <c r="Z200" i="1" s="1"/>
  <c r="V472" i="1" s="1"/>
  <c r="Y207" i="1"/>
  <c r="Y197" i="1"/>
  <c r="Z196" i="1" s="1"/>
  <c r="AA280" i="1"/>
  <c r="AA236" i="1"/>
  <c r="AA232" i="1"/>
  <c r="Y79" i="1"/>
  <c r="Y71" i="1"/>
  <c r="Y68" i="1"/>
  <c r="G44" i="1"/>
  <c r="K44" i="1" s="1"/>
  <c r="G45" i="1"/>
  <c r="K45" i="1" s="1"/>
  <c r="G46" i="1"/>
  <c r="I46" i="1" s="1"/>
  <c r="G47" i="1"/>
  <c r="G48" i="1"/>
  <c r="G49" i="1"/>
  <c r="G50" i="1"/>
  <c r="I50" i="1" s="1"/>
  <c r="J50" i="1" s="1"/>
  <c r="G51" i="1"/>
  <c r="I51" i="1" s="1"/>
  <c r="J51" i="1" s="1"/>
  <c r="G52" i="1"/>
  <c r="I52" i="1" s="1"/>
  <c r="J52" i="1" s="1"/>
  <c r="G53" i="1"/>
  <c r="I53" i="1" s="1"/>
  <c r="J53" i="1" s="1"/>
  <c r="G54" i="1"/>
  <c r="I54" i="1" s="1"/>
  <c r="J54" i="1" s="1"/>
  <c r="G55" i="1"/>
  <c r="I55" i="1" s="1"/>
  <c r="J55" i="1" s="1"/>
  <c r="G56" i="1"/>
  <c r="I56" i="1" s="1"/>
  <c r="J56" i="1" s="1"/>
  <c r="G43" i="1"/>
  <c r="I43" i="1" s="1"/>
  <c r="J43" i="1" s="1"/>
  <c r="C30" i="1"/>
  <c r="C31" i="1"/>
  <c r="C32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23" i="1"/>
  <c r="J23" i="1" s="1"/>
  <c r="C25" i="1"/>
  <c r="C23" i="1"/>
  <c r="C24" i="1"/>
  <c r="C26" i="1"/>
  <c r="C27" i="1"/>
  <c r="C28" i="1"/>
  <c r="C29" i="1"/>
  <c r="C33" i="1"/>
  <c r="C34" i="1"/>
  <c r="C35" i="1"/>
  <c r="C36" i="1"/>
  <c r="C37" i="1"/>
  <c r="C38" i="1"/>
  <c r="C39" i="1"/>
  <c r="H6" i="1"/>
  <c r="D3" i="1"/>
  <c r="E3" i="1" s="1"/>
  <c r="G3" i="1" s="1"/>
  <c r="H4" i="1"/>
  <c r="H5" i="1"/>
  <c r="H7" i="1"/>
  <c r="H8" i="1"/>
  <c r="H9" i="1"/>
  <c r="H10" i="1"/>
  <c r="H11" i="1"/>
  <c r="H12" i="1"/>
  <c r="H13" i="1"/>
  <c r="H14" i="1"/>
  <c r="H15" i="1"/>
  <c r="H16" i="1"/>
  <c r="H3" i="1"/>
  <c r="D4" i="1"/>
  <c r="E4" i="1" s="1"/>
  <c r="G4" i="1" s="1"/>
  <c r="D5" i="1"/>
  <c r="E5" i="1" s="1"/>
  <c r="G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L56" i="1" s="1"/>
  <c r="K56" i="1" s="1"/>
  <c r="B18" i="1"/>
  <c r="Y392" i="1" l="1"/>
  <c r="M56" i="1"/>
  <c r="AA184" i="1"/>
  <c r="AA183" i="1"/>
  <c r="AL60" i="1"/>
  <c r="AN60" i="1" s="1"/>
  <c r="AN72" i="1" s="1"/>
  <c r="X100" i="1" s="1"/>
  <c r="AI89" i="1"/>
  <c r="X102" i="1" s="1"/>
  <c r="AH78" i="1"/>
  <c r="AJ78" i="1" s="1"/>
  <c r="AH79" i="1"/>
  <c r="AJ79" i="1" s="1"/>
  <c r="AH80" i="1"/>
  <c r="AJ80" i="1" s="1"/>
  <c r="AH77" i="1"/>
  <c r="AJ77" i="1" s="1"/>
  <c r="V470" i="1"/>
  <c r="AA282" i="1"/>
  <c r="AA281" i="1"/>
  <c r="AA177" i="1"/>
  <c r="AB176" i="1" s="1"/>
  <c r="AA179" i="1"/>
  <c r="AB178" i="1" s="1"/>
  <c r="AA175" i="1"/>
  <c r="AB174" i="1" s="1"/>
  <c r="I45" i="1"/>
  <c r="J45" i="1" s="1"/>
  <c r="M45" i="1" s="1"/>
  <c r="L45" i="1"/>
  <c r="J34" i="1"/>
  <c r="L54" i="1"/>
  <c r="L50" i="1"/>
  <c r="K50" i="1" s="1"/>
  <c r="L53" i="1"/>
  <c r="L55" i="1"/>
  <c r="K55" i="1" s="1"/>
  <c r="Y400" i="1" s="1"/>
  <c r="L46" i="1"/>
  <c r="J46" i="1"/>
  <c r="L51" i="1"/>
  <c r="I49" i="1"/>
  <c r="J49" i="1" s="1"/>
  <c r="L43" i="1"/>
  <c r="I48" i="1"/>
  <c r="J48" i="1" s="1"/>
  <c r="L44" i="1"/>
  <c r="I44" i="1"/>
  <c r="J44" i="1" s="1"/>
  <c r="L52" i="1"/>
  <c r="K52" i="1" s="1"/>
  <c r="I47" i="1"/>
  <c r="J47" i="1" s="1"/>
  <c r="K43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I4" i="1"/>
  <c r="C41" i="1"/>
  <c r="E18" i="1"/>
  <c r="I3" i="1"/>
  <c r="AB279" i="1" l="1"/>
  <c r="AC173" i="1"/>
  <c r="Y388" i="1"/>
  <c r="Y399" i="1"/>
  <c r="Y387" i="1"/>
  <c r="Y398" i="1"/>
  <c r="M43" i="1"/>
  <c r="Y391" i="1"/>
  <c r="Y385" i="1"/>
  <c r="Z358" i="1"/>
  <c r="Z299" i="1"/>
  <c r="AA182" i="1"/>
  <c r="AB181" i="1" s="1"/>
  <c r="Z359" i="1"/>
  <c r="Z300" i="1"/>
  <c r="Z357" i="1"/>
  <c r="Z298" i="1"/>
  <c r="AA186" i="1"/>
  <c r="Y210" i="1"/>
  <c r="M52" i="1"/>
  <c r="Y205" i="1"/>
  <c r="M55" i="1"/>
  <c r="Y206" i="1"/>
  <c r="M50" i="1"/>
  <c r="Y204" i="1"/>
  <c r="Z202" i="1" s="1"/>
  <c r="AA195" i="1" s="1"/>
  <c r="AJ82" i="1"/>
  <c r="X101" i="1" s="1"/>
  <c r="AA99" i="1" s="1"/>
  <c r="V455" i="1"/>
  <c r="K46" i="1"/>
  <c r="Z296" i="1" s="1"/>
  <c r="K54" i="1"/>
  <c r="Y389" i="1" s="1"/>
  <c r="K51" i="1"/>
  <c r="L48" i="1"/>
  <c r="J58" i="1"/>
  <c r="K53" i="1"/>
  <c r="X72" i="1"/>
  <c r="Y72" i="1" s="1"/>
  <c r="Y76" i="1"/>
  <c r="X86" i="1"/>
  <c r="Y86" i="1" s="1"/>
  <c r="Y77" i="1"/>
  <c r="X82" i="1"/>
  <c r="Y82" i="1" s="1"/>
  <c r="X87" i="1"/>
  <c r="Y87" i="1" s="1"/>
  <c r="X74" i="1"/>
  <c r="Y74" i="1" s="1"/>
  <c r="X83" i="1"/>
  <c r="Y83" i="1" s="1"/>
  <c r="Y80" i="1"/>
  <c r="P3" i="1"/>
  <c r="P4" i="1" s="1"/>
  <c r="P5" i="1" s="1"/>
  <c r="L49" i="1"/>
  <c r="M44" i="1"/>
  <c r="I18" i="1"/>
  <c r="P13" i="1" s="1"/>
  <c r="L47" i="1"/>
  <c r="G18" i="1"/>
  <c r="P12" i="1" s="1"/>
  <c r="V473" i="1" l="1"/>
  <c r="Z85" i="1"/>
  <c r="AA356" i="1"/>
  <c r="Z366" i="1"/>
  <c r="Z365" i="1"/>
  <c r="AA364" i="1" s="1"/>
  <c r="Z363" i="1"/>
  <c r="Z362" i="1"/>
  <c r="Z354" i="1"/>
  <c r="Z353" i="1"/>
  <c r="Z352" i="1"/>
  <c r="Z351" i="1"/>
  <c r="Z313" i="1"/>
  <c r="Z312" i="1"/>
  <c r="Z311" i="1"/>
  <c r="Z310" i="1"/>
  <c r="Z307" i="1"/>
  <c r="Z306" i="1"/>
  <c r="Z305" i="1"/>
  <c r="Z304" i="1"/>
  <c r="AA170" i="1"/>
  <c r="AB169" i="1" s="1"/>
  <c r="M51" i="1"/>
  <c r="Z303" i="1"/>
  <c r="Z302" i="1"/>
  <c r="Y278" i="1"/>
  <c r="Z277" i="1" s="1"/>
  <c r="Y276" i="1"/>
  <c r="Z275" i="1" s="1"/>
  <c r="Y274" i="1"/>
  <c r="Z273" i="1" s="1"/>
  <c r="Y272" i="1"/>
  <c r="Z271" i="1" s="1"/>
  <c r="Y270" i="1"/>
  <c r="Y269" i="1"/>
  <c r="Z268" i="1" s="1"/>
  <c r="Y266" i="1"/>
  <c r="Z265" i="1" s="1"/>
  <c r="Y264" i="1"/>
  <c r="Z263" i="1" s="1"/>
  <c r="Y262" i="1"/>
  <c r="Z261" i="1" s="1"/>
  <c r="Y260" i="1"/>
  <c r="Z259" i="1" s="1"/>
  <c r="Y258" i="1"/>
  <c r="Z257" i="1" s="1"/>
  <c r="Y255" i="1"/>
  <c r="Z254" i="1" s="1"/>
  <c r="Y252" i="1"/>
  <c r="Y250" i="1"/>
  <c r="Z249" i="1" s="1"/>
  <c r="Z247" i="1"/>
  <c r="AA246" i="1" s="1"/>
  <c r="Z245" i="1"/>
  <c r="AA244" i="1" s="1"/>
  <c r="Z243" i="1"/>
  <c r="AA242" i="1" s="1"/>
  <c r="Z241" i="1"/>
  <c r="Z240" i="1"/>
  <c r="AA239" i="1" s="1"/>
  <c r="AA172" i="1"/>
  <c r="AB171" i="1" s="1"/>
  <c r="M54" i="1"/>
  <c r="Y253" i="1"/>
  <c r="Z251" i="1" s="1"/>
  <c r="AA234" i="1"/>
  <c r="M46" i="1"/>
  <c r="AA237" i="1"/>
  <c r="Z167" i="1"/>
  <c r="AA165" i="1" s="1"/>
  <c r="Z166" i="1"/>
  <c r="AA111" i="1"/>
  <c r="Z164" i="1"/>
  <c r="Z163" i="1"/>
  <c r="Y161" i="1"/>
  <c r="Y160" i="1"/>
  <c r="Z159" i="1" s="1"/>
  <c r="Y158" i="1"/>
  <c r="Y157" i="1"/>
  <c r="Y154" i="1"/>
  <c r="Y153" i="1"/>
  <c r="Z152" i="1" s="1"/>
  <c r="Y151" i="1"/>
  <c r="Y144" i="1"/>
  <c r="Y143" i="1"/>
  <c r="Z142" i="1" s="1"/>
  <c r="Z139" i="1"/>
  <c r="AA138" i="1" s="1"/>
  <c r="Z137" i="1"/>
  <c r="AA136" i="1" s="1"/>
  <c r="Z135" i="1"/>
  <c r="AA134" i="1" s="1"/>
  <c r="Z133" i="1"/>
  <c r="AA132" i="1" s="1"/>
  <c r="Z131" i="1"/>
  <c r="AA130" i="1" s="1"/>
  <c r="AB129" i="1" s="1"/>
  <c r="Z128" i="1"/>
  <c r="Z126" i="1"/>
  <c r="AA125" i="1" s="1"/>
  <c r="Z124" i="1"/>
  <c r="AA123" i="1" s="1"/>
  <c r="AA121" i="1"/>
  <c r="AA120" i="1"/>
  <c r="AB119" i="1" s="1"/>
  <c r="AA118" i="1"/>
  <c r="AA117" i="1"/>
  <c r="AA115" i="1"/>
  <c r="AA114" i="1"/>
  <c r="AA112" i="1"/>
  <c r="Y211" i="1"/>
  <c r="Y214" i="1"/>
  <c r="Y213" i="1"/>
  <c r="Y212" i="1"/>
  <c r="M53" i="1"/>
  <c r="AA190" i="1"/>
  <c r="AA189" i="1"/>
  <c r="AA188" i="1"/>
  <c r="AA187" i="1"/>
  <c r="AM84" i="1"/>
  <c r="P14" i="1"/>
  <c r="P15" i="1" s="1"/>
  <c r="P16" i="1" s="1"/>
  <c r="K48" i="1"/>
  <c r="Y397" i="1" s="1"/>
  <c r="Z395" i="1" s="1"/>
  <c r="AA394" i="1" s="1"/>
  <c r="Y150" i="1"/>
  <c r="Z149" i="1" s="1"/>
  <c r="Y146" i="1"/>
  <c r="Y147" i="1"/>
  <c r="K49" i="1"/>
  <c r="K47" i="1"/>
  <c r="Y393" i="1" s="1"/>
  <c r="Z390" i="1" s="1"/>
  <c r="AA361" i="1" l="1"/>
  <c r="AB360" i="1" s="1"/>
  <c r="AA309" i="1"/>
  <c r="AA301" i="1"/>
  <c r="AA267" i="1"/>
  <c r="AA256" i="1"/>
  <c r="AA248" i="1"/>
  <c r="AB238" i="1" s="1"/>
  <c r="V454" i="1" s="1"/>
  <c r="AB185" i="1"/>
  <c r="AC180" i="1" s="1"/>
  <c r="AA162" i="1"/>
  <c r="Z156" i="1"/>
  <c r="AA155" i="1"/>
  <c r="AB122" i="1"/>
  <c r="AB116" i="1"/>
  <c r="AB113" i="1"/>
  <c r="Z209" i="1"/>
  <c r="AB110" i="1"/>
  <c r="AB235" i="1"/>
  <c r="V453" i="1" s="1"/>
  <c r="AC168" i="1"/>
  <c r="AA350" i="1"/>
  <c r="AB349" i="1" s="1"/>
  <c r="Z297" i="1"/>
  <c r="AA294" i="1" s="1"/>
  <c r="Y386" i="1"/>
  <c r="Z384" i="1" s="1"/>
  <c r="Y383" i="1"/>
  <c r="Z382" i="1" s="1"/>
  <c r="Y381" i="1"/>
  <c r="Z380" i="1" s="1"/>
  <c r="Y379" i="1"/>
  <c r="Z378" i="1" s="1"/>
  <c r="Y377" i="1"/>
  <c r="Z376" i="1" s="1"/>
  <c r="Z348" i="1"/>
  <c r="AA347" i="1" s="1"/>
  <c r="Y344" i="1"/>
  <c r="Y340" i="1"/>
  <c r="Y336" i="1"/>
  <c r="Y332" i="1"/>
  <c r="AA233" i="1"/>
  <c r="Y328" i="1"/>
  <c r="Y324" i="1"/>
  <c r="Y320" i="1"/>
  <c r="Y316" i="1"/>
  <c r="Y346" i="1"/>
  <c r="Y345" i="1"/>
  <c r="Y342" i="1"/>
  <c r="Y341" i="1"/>
  <c r="Y338" i="1"/>
  <c r="Y337" i="1"/>
  <c r="Y334" i="1"/>
  <c r="Y333" i="1"/>
  <c r="Y330" i="1"/>
  <c r="Y329" i="1"/>
  <c r="Y326" i="1"/>
  <c r="Y325" i="1"/>
  <c r="Y322" i="1"/>
  <c r="Y321" i="1"/>
  <c r="Y318" i="1"/>
  <c r="Y317" i="1"/>
  <c r="Y293" i="1"/>
  <c r="M47" i="1"/>
  <c r="Y73" i="1"/>
  <c r="Z70" i="1" s="1"/>
  <c r="Y98" i="1"/>
  <c r="Y97" i="1"/>
  <c r="Z96" i="1" s="1"/>
  <c r="Y95" i="1"/>
  <c r="Y94" i="1"/>
  <c r="Y91" i="1"/>
  <c r="Y90" i="1"/>
  <c r="Y219" i="1"/>
  <c r="Y220" i="1"/>
  <c r="Y93" i="1"/>
  <c r="Y89" i="1"/>
  <c r="Y84" i="1"/>
  <c r="Z81" i="1" s="1"/>
  <c r="Y78" i="1"/>
  <c r="Z75" i="1" s="1"/>
  <c r="Y69" i="1"/>
  <c r="Y218" i="1"/>
  <c r="M49" i="1"/>
  <c r="Y292" i="1"/>
  <c r="M48" i="1"/>
  <c r="Y291" i="1"/>
  <c r="V449" i="1"/>
  <c r="Y449" i="1" s="1"/>
  <c r="E7" i="2" s="1"/>
  <c r="X103" i="1"/>
  <c r="AA103" i="1" s="1"/>
  <c r="V450" i="1" s="1"/>
  <c r="Z145" i="1"/>
  <c r="AA141" i="1" s="1"/>
  <c r="Y67" i="1"/>
  <c r="M58" i="1"/>
  <c r="AA375" i="1" l="1"/>
  <c r="V434" i="1" s="1"/>
  <c r="V482" i="1" s="1"/>
  <c r="Z216" i="1"/>
  <c r="AA208" i="1" s="1"/>
  <c r="Z92" i="1"/>
  <c r="Z88" i="1"/>
  <c r="Z66" i="1"/>
  <c r="AB140" i="1"/>
  <c r="AC109" i="1" s="1"/>
  <c r="Z290" i="1"/>
  <c r="AA289" i="1" s="1"/>
  <c r="AB288" i="1" s="1"/>
  <c r="AB231" i="1"/>
  <c r="V452" i="1" s="1"/>
  <c r="Z335" i="1"/>
  <c r="Z343" i="1"/>
  <c r="Z315" i="1"/>
  <c r="Z319" i="1"/>
  <c r="Z323" i="1"/>
  <c r="Z327" i="1"/>
  <c r="Z331" i="1"/>
  <c r="Z339" i="1"/>
  <c r="P17" i="1"/>
  <c r="P18" i="1" s="1"/>
  <c r="R458" i="1" l="1"/>
  <c r="V437" i="1"/>
  <c r="R457" i="1"/>
  <c r="AA65" i="1"/>
  <c r="V439" i="1"/>
  <c r="V474" i="1"/>
  <c r="AC230" i="1"/>
  <c r="V436" i="1" s="1"/>
  <c r="AA314" i="1"/>
  <c r="V435" i="1" l="1"/>
  <c r="V448" i="1"/>
  <c r="R459" i="1"/>
  <c r="R460" i="1" s="1"/>
  <c r="V463" i="1" s="1"/>
  <c r="AB308" i="1"/>
  <c r="AC287" i="1" s="1"/>
  <c r="R466" i="1"/>
  <c r="V460" i="1" l="1"/>
  <c r="V462" i="1"/>
  <c r="V461" i="1"/>
  <c r="V457" i="1"/>
  <c r="V459" i="1"/>
  <c r="V458" i="1"/>
  <c r="V438" i="1"/>
  <c r="V442" i="1" s="1"/>
  <c r="V479" i="1" s="1"/>
  <c r="V485" i="1" s="1"/>
  <c r="Y479" i="1" s="1"/>
  <c r="R465" i="1"/>
  <c r="R467" i="1" s="1"/>
  <c r="R468" i="1" s="1"/>
  <c r="V466" i="1" l="1"/>
  <c r="V468" i="1"/>
  <c r="V465" i="1"/>
  <c r="V467" i="1"/>
  <c r="Y482" i="1" l="1"/>
  <c r="Y485" i="1" s="1"/>
  <c r="Y474" i="1" s="1"/>
  <c r="E32" i="2" s="1"/>
  <c r="Y466" i="1" l="1"/>
  <c r="E24" i="2" s="1"/>
  <c r="Y471" i="1"/>
  <c r="E29" i="2" s="1"/>
  <c r="Y463" i="1"/>
  <c r="E21" i="2" s="1"/>
  <c r="Y459" i="1"/>
  <c r="E17" i="2" s="1"/>
  <c r="Y472" i="1"/>
  <c r="E30" i="2" s="1"/>
  <c r="Y460" i="1"/>
  <c r="E18" i="2" s="1"/>
  <c r="Y461" i="1"/>
  <c r="E19" i="2" s="1"/>
  <c r="Y457" i="1"/>
  <c r="E15" i="2" s="1"/>
  <c r="Y458" i="1"/>
  <c r="E16" i="2" s="1"/>
  <c r="Y454" i="1"/>
  <c r="E12" i="2" s="1"/>
  <c r="Y465" i="1"/>
  <c r="E23" i="2" s="1"/>
  <c r="Y453" i="1"/>
  <c r="E11" i="2" s="1"/>
  <c r="Y473" i="1"/>
  <c r="E31" i="2" s="1"/>
  <c r="Y470" i="1"/>
  <c r="E28" i="2" s="1"/>
  <c r="Y455" i="1"/>
  <c r="E13" i="2" s="1"/>
  <c r="Y468" i="1"/>
  <c r="E26" i="2" s="1"/>
  <c r="Y448" i="1"/>
  <c r="E6" i="2" s="1"/>
  <c r="Y462" i="1"/>
  <c r="E20" i="2" s="1"/>
  <c r="Y452" i="1"/>
  <c r="E10" i="2" s="1"/>
  <c r="Y467" i="1"/>
  <c r="E25" i="2" s="1"/>
  <c r="Y450" i="1"/>
  <c r="E8" i="2" s="1"/>
  <c r="F5" i="2" l="1"/>
  <c r="L5" i="2" s="1"/>
  <c r="F22" i="2"/>
  <c r="L8" i="2" s="1"/>
  <c r="F27" i="2"/>
  <c r="L9" i="2" s="1"/>
  <c r="F14" i="2"/>
  <c r="L7" i="2" s="1"/>
  <c r="F9" i="2"/>
  <c r="L6" i="2" s="1"/>
  <c r="Z447" i="1"/>
  <c r="F35" i="2" l="1"/>
  <c r="L11" i="2"/>
</calcChain>
</file>

<file path=xl/sharedStrings.xml><?xml version="1.0" encoding="utf-8"?>
<sst xmlns="http://schemas.openxmlformats.org/spreadsheetml/2006/main" count="860" uniqueCount="358">
  <si>
    <t>Personal</t>
  </si>
  <si>
    <t>Productividad del personal</t>
  </si>
  <si>
    <t>Número</t>
  </si>
  <si>
    <t>Sueldo Bruto Año</t>
  </si>
  <si>
    <t>Coste Salarial Año</t>
  </si>
  <si>
    <t>Total</t>
  </si>
  <si>
    <t>Productividad (%)</t>
  </si>
  <si>
    <t>Coste Directo</t>
  </si>
  <si>
    <t>CI (%)</t>
  </si>
  <si>
    <t>Coste Indirecto</t>
  </si>
  <si>
    <t>Jefe de proyecto</t>
  </si>
  <si>
    <t>Costes directos más indirectos</t>
  </si>
  <si>
    <t>Secretario</t>
  </si>
  <si>
    <t>Beneficios deseados (25%)</t>
  </si>
  <si>
    <t>Personal de departamento de finanzas</t>
  </si>
  <si>
    <t>Necesidades de facturación</t>
  </si>
  <si>
    <t>Arquitecto de software</t>
  </si>
  <si>
    <t>Analista de sistemas</t>
  </si>
  <si>
    <t>Administrador de sistemas</t>
  </si>
  <si>
    <t>Técnico de sistemas</t>
  </si>
  <si>
    <t>Jefe de equipo de diseño</t>
  </si>
  <si>
    <t>Diseñador</t>
  </si>
  <si>
    <t>Nº</t>
  </si>
  <si>
    <t>CONCEPTO</t>
  </si>
  <si>
    <t>IMPORTE</t>
  </si>
  <si>
    <t>Jefe de equipo de desarrollo</t>
  </si>
  <si>
    <t>Total de los costes directos</t>
  </si>
  <si>
    <t>Desarrollador</t>
  </si>
  <si>
    <t>Total de los costes indirectos</t>
  </si>
  <si>
    <t>Experto en seguridad</t>
  </si>
  <si>
    <t>Suma de los costes directos e indirectos</t>
  </si>
  <si>
    <t>Jefe de equipo de pruebas</t>
  </si>
  <si>
    <t>Beneficio deseado (25%)</t>
  </si>
  <si>
    <t>Tester</t>
  </si>
  <si>
    <t>Coste total</t>
  </si>
  <si>
    <t>Facturación posible en función de las horas de producción y de los precios por hora calculados</t>
  </si>
  <si>
    <t>TOTAL</t>
  </si>
  <si>
    <t>Margen entre el coste total y la facturación (relación entre 5 y 6)</t>
  </si>
  <si>
    <t>Costes indirectos</t>
  </si>
  <si>
    <t>Coste de los medios de producción</t>
  </si>
  <si>
    <t>Servicio</t>
  </si>
  <si>
    <t>Coste mes</t>
  </si>
  <si>
    <t>Coste año</t>
  </si>
  <si>
    <t>Equipo / Licencia</t>
  </si>
  <si>
    <t>Unidades</t>
  </si>
  <si>
    <t>Precio</t>
  </si>
  <si>
    <t>Coste Total</t>
  </si>
  <si>
    <t>Coste Año</t>
  </si>
  <si>
    <t>Tipo</t>
  </si>
  <si>
    <t>Plazo</t>
  </si>
  <si>
    <t>Limpieza</t>
  </si>
  <si>
    <t>CPD</t>
  </si>
  <si>
    <t>Amortización</t>
  </si>
  <si>
    <t>Asesoría</t>
  </si>
  <si>
    <t>Equipos de administración</t>
  </si>
  <si>
    <t>Formación</t>
  </si>
  <si>
    <t>Equipos de desarrollo</t>
  </si>
  <si>
    <t>Control de calidad</t>
  </si>
  <si>
    <t>Portátiles</t>
  </si>
  <si>
    <t>Tributos y tasas diversas</t>
  </si>
  <si>
    <t>Licencias de software</t>
  </si>
  <si>
    <t>Alquiler</t>
  </si>
  <si>
    <t>Hipoteca de oficina y almacén</t>
  </si>
  <si>
    <t>Equipo de conexión a internet</t>
  </si>
  <si>
    <t>Gastos de mantenimiento, reparación y conservación</t>
  </si>
  <si>
    <t>Telefonía móvil</t>
  </si>
  <si>
    <t>Conexión a internet</t>
  </si>
  <si>
    <t>Telefonía fija</t>
  </si>
  <si>
    <t>Consumos de electricidad</t>
  </si>
  <si>
    <t>Equipos de impresión / escaneo</t>
  </si>
  <si>
    <t>Consumos de calefacción</t>
  </si>
  <si>
    <t>Soporte de Cloud</t>
  </si>
  <si>
    <t>Consumos de agua</t>
  </si>
  <si>
    <t>Auditorías</t>
  </si>
  <si>
    <t>Primas de seguros</t>
  </si>
  <si>
    <t>Gastos en comunicaciones</t>
  </si>
  <si>
    <t>Dietas del personal</t>
  </si>
  <si>
    <t>Gastos en material de oficina</t>
  </si>
  <si>
    <t>Dotación amortización del Inmovilizado</t>
  </si>
  <si>
    <t>Número de horas productivas por perfil y en total</t>
  </si>
  <si>
    <t>Precios por hora y facturación</t>
  </si>
  <si>
    <t>Horas / año</t>
  </si>
  <si>
    <t>Horas productivas / año (por persona)</t>
  </si>
  <si>
    <t>Horas productivas (Total empresa)</t>
  </si>
  <si>
    <t>Precio / hora</t>
  </si>
  <si>
    <t>Precio / hora (sin beneficios)</t>
  </si>
  <si>
    <t>Facturación</t>
  </si>
  <si>
    <t>ADQUISICIÓN DE HARDWARE</t>
  </si>
  <si>
    <t>Por almacén (5)</t>
  </si>
  <si>
    <t>Almacén zona III</t>
  </si>
  <si>
    <t>Almacen zona V</t>
  </si>
  <si>
    <t>Almacen zona IV</t>
  </si>
  <si>
    <t>Centro de datos</t>
  </si>
  <si>
    <t>Unidades totales</t>
  </si>
  <si>
    <t>Precio unitario</t>
  </si>
  <si>
    <t>Precio total</t>
  </si>
  <si>
    <t>Switch gama baja</t>
  </si>
  <si>
    <t>Router</t>
  </si>
  <si>
    <t>Cableado</t>
  </si>
  <si>
    <t>Puntos de red</t>
  </si>
  <si>
    <t>Monitor</t>
  </si>
  <si>
    <t>Adquisición e instalación de hardware</t>
  </si>
  <si>
    <t>Teléfonos IPVOID</t>
  </si>
  <si>
    <t>L1</t>
  </si>
  <si>
    <t>L2</t>
  </si>
  <si>
    <t>L3</t>
  </si>
  <si>
    <t>Descripción</t>
  </si>
  <si>
    <t>Cantidad</t>
  </si>
  <si>
    <t>Subtotal (3)</t>
  </si>
  <si>
    <t>Subtotal (2)</t>
  </si>
  <si>
    <t>Servidor básico</t>
  </si>
  <si>
    <t>Adquisición del hardware y soporte</t>
  </si>
  <si>
    <t>Servidor potente</t>
  </si>
  <si>
    <t>Estudio de necesidades</t>
  </si>
  <si>
    <t>Servidor central</t>
  </si>
  <si>
    <t>horas</t>
  </si>
  <si>
    <t>incremento del SAI 10 kVA</t>
  </si>
  <si>
    <t>Consultor de tecnología</t>
  </si>
  <si>
    <t>Cabina SAN o SAS 12TB</t>
  </si>
  <si>
    <t>Portales RFID</t>
  </si>
  <si>
    <t>Oferta de adquisición</t>
  </si>
  <si>
    <t>Lectores RFID</t>
  </si>
  <si>
    <t>Jefe de Proyecto</t>
  </si>
  <si>
    <t>hora</t>
  </si>
  <si>
    <t>TOTAL ALMACENES</t>
  </si>
  <si>
    <t>Estudio de ofertas</t>
  </si>
  <si>
    <t>Cada vehículo</t>
  </si>
  <si>
    <t>Nº Vehículos</t>
  </si>
  <si>
    <t>Ordenadores de a bordo</t>
  </si>
  <si>
    <t>Tablet/móvil</t>
  </si>
  <si>
    <t>Tarifa datos</t>
  </si>
  <si>
    <t>Lector RFID</t>
  </si>
  <si>
    <t>Elaboración del pedido / contrato</t>
  </si>
  <si>
    <t>TOTAL VEHÍCULOS</t>
  </si>
  <si>
    <t>TOTAL ADQUISICIÓN</t>
  </si>
  <si>
    <t>Solicitud del pedido</t>
  </si>
  <si>
    <t>Servicio de cloud</t>
  </si>
  <si>
    <t>Etiquetas RFID</t>
  </si>
  <si>
    <t>Impresoras RFID</t>
  </si>
  <si>
    <t>Instalación de los servidores en los racks</t>
  </si>
  <si>
    <t>TOTAL OTROS</t>
  </si>
  <si>
    <t>Técnico de sistemas 1</t>
  </si>
  <si>
    <t>Técnico de sistemas 2</t>
  </si>
  <si>
    <t>Conexión de los servidores a la red</t>
  </si>
  <si>
    <t>Instalación de software</t>
  </si>
  <si>
    <t>Hardware adquirido</t>
  </si>
  <si>
    <t>Hardware para almacenes</t>
  </si>
  <si>
    <t>Hardware para vehículos</t>
  </si>
  <si>
    <t>Otros</t>
  </si>
  <si>
    <t>Instalación de hardware</t>
  </si>
  <si>
    <t>Desarrollo de software</t>
  </si>
  <si>
    <t>L4</t>
  </si>
  <si>
    <t>L5</t>
  </si>
  <si>
    <t>Subtotal (5)</t>
  </si>
  <si>
    <t>Subtotal (4)</t>
  </si>
  <si>
    <t>Desarrollo de módulos y aplicaciones</t>
  </si>
  <si>
    <t>Módulo de comercio electrónico</t>
  </si>
  <si>
    <t xml:space="preserve">   Desarrollador 2</t>
  </si>
  <si>
    <t xml:space="preserve">   Desarrollador 3</t>
  </si>
  <si>
    <t>Gestión de almacén</t>
  </si>
  <si>
    <t>Módulo de suministro</t>
  </si>
  <si>
    <t>Módulo de picking y distribución</t>
  </si>
  <si>
    <t>Gestión de usuario</t>
  </si>
  <si>
    <t xml:space="preserve">   Sistema de mensajería</t>
  </si>
  <si>
    <t xml:space="preserve">      Desarrollador 1</t>
  </si>
  <si>
    <t xml:space="preserve">   Permisos</t>
  </si>
  <si>
    <t xml:space="preserve">   Posicionamiento</t>
  </si>
  <si>
    <t>Módulos de soporte y control de infraestructuras</t>
  </si>
  <si>
    <t xml:space="preserve">   API de usuarios</t>
  </si>
  <si>
    <t xml:space="preserve">   APIs de Picking</t>
  </si>
  <si>
    <t xml:space="preserve">      Desarrollador 4</t>
  </si>
  <si>
    <t xml:space="preserve">   API de compra</t>
  </si>
  <si>
    <t xml:space="preserve">   API de mensajería</t>
  </si>
  <si>
    <t xml:space="preserve">   API de transportista</t>
  </si>
  <si>
    <t>Aplicaciones de usuario</t>
  </si>
  <si>
    <t xml:space="preserve">   App de cliente</t>
  </si>
  <si>
    <t xml:space="preserve">      Desarrollo versión Android</t>
  </si>
  <si>
    <t xml:space="preserve">         Desarrollador 1</t>
  </si>
  <si>
    <t xml:space="preserve">         Desarrollador 2</t>
  </si>
  <si>
    <t xml:space="preserve">      Desarrollo versión iOS</t>
  </si>
  <si>
    <t xml:space="preserve">         Desarrollador 3</t>
  </si>
  <si>
    <t xml:space="preserve">         Desarrollador 4</t>
  </si>
  <si>
    <t xml:space="preserve">   App de transportista</t>
  </si>
  <si>
    <t xml:space="preserve">   App de gestión</t>
  </si>
  <si>
    <t xml:space="preserve">   Dashboard de gestión</t>
  </si>
  <si>
    <t xml:space="preserve">      Desarrollador 2</t>
  </si>
  <si>
    <t xml:space="preserve">   Desarrollo sitio web</t>
  </si>
  <si>
    <t xml:space="preserve">      Desarrollador 3</t>
  </si>
  <si>
    <t>Integración</t>
  </si>
  <si>
    <t xml:space="preserve">   Crear vistas de relación de módulos</t>
  </si>
  <si>
    <t xml:space="preserve">   Relacionar módulos</t>
  </si>
  <si>
    <t xml:space="preserve">      Diseñador 2</t>
  </si>
  <si>
    <t>Pruebas</t>
  </si>
  <si>
    <t xml:space="preserve">   Pruebas unitarias</t>
  </si>
  <si>
    <t xml:space="preserve">      Tester 1</t>
  </si>
  <si>
    <t xml:space="preserve">   Pruebas de carga</t>
  </si>
  <si>
    <t xml:space="preserve">      Tester 2</t>
  </si>
  <si>
    <t xml:space="preserve">   Pruebas de usabilidad</t>
  </si>
  <si>
    <t>Pruebas de aceptación</t>
  </si>
  <si>
    <t>Ejecución de pruebas de aceptación</t>
  </si>
  <si>
    <t xml:space="preserve">   Jefe de equipo de pruebas</t>
  </si>
  <si>
    <t xml:space="preserve">   Tester 1</t>
  </si>
  <si>
    <t xml:space="preserve">   Tester 2</t>
  </si>
  <si>
    <t>Subsanación de faltas</t>
  </si>
  <si>
    <t xml:space="preserve">   Jefe de equipo de desarrollo</t>
  </si>
  <si>
    <t xml:space="preserve">   Desarrollador 1</t>
  </si>
  <si>
    <t xml:space="preserve">   Desarrollador 4</t>
  </si>
  <si>
    <t>Formación del personal</t>
  </si>
  <si>
    <t>Elaboración del plan de formación</t>
  </si>
  <si>
    <t xml:space="preserve">   Formador</t>
  </si>
  <si>
    <t>Elaboración del material didáctico</t>
  </si>
  <si>
    <t>Realización de la sesión de capacitación</t>
  </si>
  <si>
    <t>Análisis de resultados de la sesión de capacitación</t>
  </si>
  <si>
    <t xml:space="preserve">   Jefe de proyecto</t>
  </si>
  <si>
    <t xml:space="preserve">   Jefe de equipo de diseño</t>
  </si>
  <si>
    <t>Elaboración de manuales del sistema</t>
  </si>
  <si>
    <t>Manual de usuario</t>
  </si>
  <si>
    <t>Manual de instalación</t>
  </si>
  <si>
    <t xml:space="preserve">   Consultor de tecnología</t>
  </si>
  <si>
    <t xml:space="preserve">   Administrador de sistemas</t>
  </si>
  <si>
    <t xml:space="preserve">   Técnico de sistemas 1</t>
  </si>
  <si>
    <t xml:space="preserve">   Técnico de sistemas 2</t>
  </si>
  <si>
    <t>Diseño del sistema</t>
  </si>
  <si>
    <t>Diseño de infraestructura</t>
  </si>
  <si>
    <t xml:space="preserve">   Experto en seguridad</t>
  </si>
  <si>
    <t>Diseño de arquitectura del sistema</t>
  </si>
  <si>
    <t xml:space="preserve">   Arquitecto de software</t>
  </si>
  <si>
    <t>Diseño de los módulos</t>
  </si>
  <si>
    <t xml:space="preserve">   Módulo de comercio electrónico</t>
  </si>
  <si>
    <t xml:space="preserve">      Diseñador 1</t>
  </si>
  <si>
    <t xml:space="preserve">   Gestión de almacén</t>
  </si>
  <si>
    <t xml:space="preserve">      Diseñador 3</t>
  </si>
  <si>
    <t xml:space="preserve">   Módulo de suministro</t>
  </si>
  <si>
    <t xml:space="preserve">      Diseñador 4</t>
  </si>
  <si>
    <t xml:space="preserve">   Módulo de picking y distribución</t>
  </si>
  <si>
    <t xml:space="preserve">   Gestión de usuario</t>
  </si>
  <si>
    <t xml:space="preserve">      Sistema de mensajería</t>
  </si>
  <si>
    <t xml:space="preserve">         Diseñador 2</t>
  </si>
  <si>
    <t xml:space="preserve">      Permisos</t>
  </si>
  <si>
    <t xml:space="preserve">         Experto en seguridad</t>
  </si>
  <si>
    <t xml:space="preserve">      Posicionamiento</t>
  </si>
  <si>
    <t xml:space="preserve">         Diseñador 4</t>
  </si>
  <si>
    <t xml:space="preserve">   Módulos de soporte y control de infraestructuras</t>
  </si>
  <si>
    <t xml:space="preserve">      API de usuarios</t>
  </si>
  <si>
    <t xml:space="preserve">      APIs de Picking</t>
  </si>
  <si>
    <t xml:space="preserve">         Diseñador 1</t>
  </si>
  <si>
    <t xml:space="preserve">      API de compra</t>
  </si>
  <si>
    <t xml:space="preserve">      API de mensajería</t>
  </si>
  <si>
    <t xml:space="preserve">      API de transportista</t>
  </si>
  <si>
    <t xml:space="preserve">   Aplicaciones de usuario. Sitio web de compras</t>
  </si>
  <si>
    <t xml:space="preserve">      App de cliente</t>
  </si>
  <si>
    <t xml:space="preserve">         Diseñador 3</t>
  </si>
  <si>
    <t xml:space="preserve">      App de transportista</t>
  </si>
  <si>
    <t xml:space="preserve">      App de gestión</t>
  </si>
  <si>
    <t xml:space="preserve">      Diseño de dashboard de gestión</t>
  </si>
  <si>
    <t xml:space="preserve">      Diseño sitio web</t>
  </si>
  <si>
    <t>Diseño de pruebas</t>
  </si>
  <si>
    <t>Instalación del sistema</t>
  </si>
  <si>
    <t>Prueba de funcionamiento</t>
  </si>
  <si>
    <t xml:space="preserve">   Puesta en marcha regional</t>
  </si>
  <si>
    <t xml:space="preserve">      Instalación en almacén central</t>
  </si>
  <si>
    <t xml:space="preserve">         Administrador de sistemas</t>
  </si>
  <si>
    <t xml:space="preserve">         Técnico de sistemas 1</t>
  </si>
  <si>
    <t xml:space="preserve">         Técnico de sistemas 2</t>
  </si>
  <si>
    <t xml:space="preserve">   Análisis de funcionamiento regional</t>
  </si>
  <si>
    <t xml:space="preserve">      Consultor de tecnología</t>
  </si>
  <si>
    <t xml:space="preserve">      Arquitecto de software</t>
  </si>
  <si>
    <t xml:space="preserve">      Analista de sistemas</t>
  </si>
  <si>
    <t xml:space="preserve">      Jefe de equipo de diseño</t>
  </si>
  <si>
    <t xml:space="preserve">      Jefe de equipo de desarrollo</t>
  </si>
  <si>
    <t xml:space="preserve">      Jefe de equipo de pruebas</t>
  </si>
  <si>
    <t xml:space="preserve">   Corrección de puntos débiles</t>
  </si>
  <si>
    <t>Despliegue final</t>
  </si>
  <si>
    <t xml:space="preserve">   Depliegue de sistema de ventas en Cloud</t>
  </si>
  <si>
    <t xml:space="preserve">   Instalación en equipos locales</t>
  </si>
  <si>
    <t xml:space="preserve">      Instalación en almacén central y zona IV (Oviedo)</t>
  </si>
  <si>
    <t xml:space="preserve">      Instalación en almacén en área de distribución V (Gijón)</t>
  </si>
  <si>
    <t xml:space="preserve">      Instalación en almacén en área de distribución III (Avilés)</t>
  </si>
  <si>
    <t xml:space="preserve">      Instalación en almacén en área de distribución I</t>
  </si>
  <si>
    <t xml:space="preserve">      Instalación en almacén en área de distribución II</t>
  </si>
  <si>
    <t xml:space="preserve">      Instalación en almacén en área de distribución VI</t>
  </si>
  <si>
    <t xml:space="preserve">      Instalación en almacén en área de distribución VII</t>
  </si>
  <si>
    <t xml:space="preserve">      Instalación en almacén en área de distribución VIII</t>
  </si>
  <si>
    <t xml:space="preserve">   Configurar servidor de Cloud para hacer backups periódicas en servidores locales</t>
  </si>
  <si>
    <t xml:space="preserve">      Administrador de sistemas</t>
  </si>
  <si>
    <t>Periodo de adaptación</t>
  </si>
  <si>
    <t xml:space="preserve">   Seguimiento del funcionamiento</t>
  </si>
  <si>
    <t xml:space="preserve">      Formador</t>
  </si>
  <si>
    <t xml:space="preserve">   Recopilación de posibles mejoras</t>
  </si>
  <si>
    <t>Adaptaciones finales</t>
  </si>
  <si>
    <t xml:space="preserve">   Subsanación de errores</t>
  </si>
  <si>
    <t xml:space="preserve">   Implementación de mejoras</t>
  </si>
  <si>
    <t xml:space="preserve">   Release de versión final</t>
  </si>
  <si>
    <t>Inicio del proyecto</t>
  </si>
  <si>
    <t>Estudio del sistema</t>
  </si>
  <si>
    <t>Antecedentes</t>
  </si>
  <si>
    <t xml:space="preserve">   Analista de sistemas</t>
  </si>
  <si>
    <t>Estudio de la situación actual</t>
  </si>
  <si>
    <t>Definición del alcance</t>
  </si>
  <si>
    <t>Objeto</t>
  </si>
  <si>
    <t>Obtención de requisitos</t>
  </si>
  <si>
    <t>Estudio de presupuesto</t>
  </si>
  <si>
    <t xml:space="preserve">   Personal de departamento de finanzas</t>
  </si>
  <si>
    <t>Planificación del sistema</t>
  </si>
  <si>
    <t>Elaboración de planificación</t>
  </si>
  <si>
    <t xml:space="preserve">   Jefe de equpo de diseño</t>
  </si>
  <si>
    <t xml:space="preserve">   Jefe de equpo de desarrollo</t>
  </si>
  <si>
    <t>Otros costes</t>
  </si>
  <si>
    <t>Viajes y dietas</t>
  </si>
  <si>
    <t>Kilometraje</t>
  </si>
  <si>
    <t>22km * 4 personas * 1 día</t>
  </si>
  <si>
    <t>km</t>
  </si>
  <si>
    <t>22km * 2 personas * 1 día</t>
  </si>
  <si>
    <t>22km * 9 personas * 14 días</t>
  </si>
  <si>
    <t>22km * 3 personas * 6 días</t>
  </si>
  <si>
    <t>22km * 6 personas * 5 días</t>
  </si>
  <si>
    <t>22km * 1 personas * 1 días</t>
  </si>
  <si>
    <t>22km * 2 personas * 4 días</t>
  </si>
  <si>
    <t>22km * 1 personas * 7 días</t>
  </si>
  <si>
    <t>22km * 2 personas * 14 días</t>
  </si>
  <si>
    <t>22km * 4 personas * 16 días</t>
  </si>
  <si>
    <t>Dietas</t>
  </si>
  <si>
    <t>4 personas * 1 día</t>
  </si>
  <si>
    <t>dietas</t>
  </si>
  <si>
    <t>2 personas * 1 día</t>
  </si>
  <si>
    <t>9 personas * 14 días</t>
  </si>
  <si>
    <t>Presupuesto de costes</t>
  </si>
  <si>
    <t>Código</t>
  </si>
  <si>
    <t>Total Coste</t>
  </si>
  <si>
    <t>Partidas para el cliente</t>
  </si>
  <si>
    <t>P2</t>
  </si>
  <si>
    <t>P3</t>
  </si>
  <si>
    <t>Total desarrollo</t>
  </si>
  <si>
    <t>P4</t>
  </si>
  <si>
    <t>Total módulos</t>
  </si>
  <si>
    <t>Valor a promediar</t>
  </si>
  <si>
    <t>Porcentaje</t>
  </si>
  <si>
    <t>Total instalación</t>
  </si>
  <si>
    <t>P5</t>
  </si>
  <si>
    <t>Total incluido</t>
  </si>
  <si>
    <t>Despliegue de sistema de ventas en Cloud</t>
  </si>
  <si>
    <t>Promediar</t>
  </si>
  <si>
    <t>Instalación en almacenes</t>
  </si>
  <si>
    <t>P6</t>
  </si>
  <si>
    <t>Plan de formación</t>
  </si>
  <si>
    <t>Material didáctico</t>
  </si>
  <si>
    <t>Sesión de capacitación</t>
  </si>
  <si>
    <t>Resultados de la sesión de capacitación</t>
  </si>
  <si>
    <t>Presupuesto costes</t>
  </si>
  <si>
    <t>Total sin hardware</t>
  </si>
  <si>
    <t>Beneficio (25%)</t>
  </si>
  <si>
    <t>Presupuesto de cliente</t>
  </si>
  <si>
    <t>Presupuesto de cliente (Resumen)</t>
  </si>
  <si>
    <t>Partida</t>
  </si>
  <si>
    <t>Item</t>
  </si>
  <si>
    <t>Importe</t>
  </si>
  <si>
    <t>Cod.</t>
  </si>
  <si>
    <t>TOTAL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</si>
</sst>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[$€-C0A]_-;\-* #,##0.00\ [$€-C0A]_-;_-* &quot;-&quot;??\ [$€-C0A]_-;_-@_-"/>
    <numFmt numFmtId="166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2DAFA"/>
        <bgColor indexed="64"/>
      </patternFill>
    </fill>
    <fill>
      <patternFill patternType="solid">
        <fgColor rgb="FF779ECB"/>
        <bgColor indexed="64"/>
      </patternFill>
    </fill>
    <fill>
      <patternFill patternType="solid">
        <fgColor rgb="FF80CEE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2" borderId="3" xfId="0" applyFont="1" applyFill="1" applyBorder="1"/>
    <xf numFmtId="0" fontId="0" fillId="0" borderId="3" xfId="0" applyBorder="1"/>
    <xf numFmtId="0" fontId="1" fillId="2" borderId="3" xfId="0" applyFont="1" applyFill="1" applyBorder="1" applyAlignment="1">
      <alignment horizontal="right"/>
    </xf>
    <xf numFmtId="0" fontId="0" fillId="2" borderId="3" xfId="0" applyFill="1" applyBorder="1"/>
    <xf numFmtId="10" fontId="0" fillId="0" borderId="3" xfId="0" applyNumberFormat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/>
    <xf numFmtId="164" fontId="1" fillId="2" borderId="5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43" fontId="0" fillId="0" borderId="3" xfId="0" applyNumberFormat="1" applyBorder="1"/>
    <xf numFmtId="0" fontId="1" fillId="0" borderId="3" xfId="0" applyFont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wrapText="1"/>
    </xf>
    <xf numFmtId="10" fontId="0" fillId="0" borderId="0" xfId="2" applyNumberFormat="1" applyFont="1" applyBorder="1"/>
    <xf numFmtId="165" fontId="0" fillId="0" borderId="3" xfId="0" applyNumberFormat="1" applyBorder="1"/>
    <xf numFmtId="165" fontId="0" fillId="0" borderId="9" xfId="0" applyNumberFormat="1" applyBorder="1"/>
    <xf numFmtId="10" fontId="0" fillId="0" borderId="3" xfId="2" applyNumberFormat="1" applyFont="1" applyBorder="1"/>
    <xf numFmtId="165" fontId="1" fillId="0" borderId="3" xfId="0" applyNumberFormat="1" applyFont="1" applyBorder="1"/>
    <xf numFmtId="1" fontId="1" fillId="0" borderId="3" xfId="0" applyNumberFormat="1" applyFont="1" applyBorder="1"/>
    <xf numFmtId="165" fontId="0" fillId="0" borderId="3" xfId="1" applyNumberFormat="1" applyFont="1" applyBorder="1"/>
    <xf numFmtId="166" fontId="0" fillId="0" borderId="3" xfId="0" applyNumberFormat="1" applyBorder="1"/>
    <xf numFmtId="0" fontId="4" fillId="0" borderId="1" xfId="0" applyFont="1" applyBorder="1" applyAlignment="1">
      <alignment horizontal="center"/>
    </xf>
    <xf numFmtId="166" fontId="0" fillId="0" borderId="1" xfId="0" applyNumberForma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66" fontId="4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1" fillId="2" borderId="3" xfId="0" applyNumberFormat="1" applyFont="1" applyFill="1" applyBorder="1"/>
    <xf numFmtId="165" fontId="0" fillId="0" borderId="10" xfId="0" applyNumberFormat="1" applyBorder="1"/>
    <xf numFmtId="165" fontId="0" fillId="0" borderId="12" xfId="0" applyNumberFormat="1" applyBorder="1"/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4" xfId="0" applyBorder="1"/>
    <xf numFmtId="165" fontId="0" fillId="0" borderId="13" xfId="0" applyNumberFormat="1" applyBorder="1"/>
    <xf numFmtId="165" fontId="0" fillId="3" borderId="3" xfId="0" applyNumberFormat="1" applyFill="1" applyBorder="1"/>
    <xf numFmtId="0" fontId="6" fillId="2" borderId="3" xfId="0" applyFont="1" applyFill="1" applyBorder="1"/>
    <xf numFmtId="0" fontId="1" fillId="2" borderId="3" xfId="0" applyFont="1" applyFill="1" applyBorder="1" applyAlignment="1">
      <alignment horizontal="center"/>
    </xf>
    <xf numFmtId="165" fontId="7" fillId="0" borderId="3" xfId="0" applyNumberFormat="1" applyFont="1" applyBorder="1"/>
    <xf numFmtId="0" fontId="1" fillId="4" borderId="3" xfId="0" applyFont="1" applyFill="1" applyBorder="1"/>
    <xf numFmtId="165" fontId="1" fillId="0" borderId="3" xfId="1" applyNumberFormat="1" applyFont="1" applyBorder="1"/>
    <xf numFmtId="43" fontId="1" fillId="2" borderId="3" xfId="0" applyNumberFormat="1" applyFont="1" applyFill="1" applyBorder="1"/>
    <xf numFmtId="0" fontId="1" fillId="0" borderId="1" xfId="0" applyFont="1" applyBorder="1"/>
    <xf numFmtId="0" fontId="1" fillId="0" borderId="0" xfId="0" applyFont="1"/>
    <xf numFmtId="165" fontId="0" fillId="0" borderId="0" xfId="1" applyNumberFormat="1" applyFont="1" applyBorder="1"/>
    <xf numFmtId="166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166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10" xfId="0" applyBorder="1"/>
    <xf numFmtId="0" fontId="4" fillId="0" borderId="1" xfId="0" applyFont="1" applyBorder="1"/>
    <xf numFmtId="166" fontId="4" fillId="0" borderId="1" xfId="0" applyNumberFormat="1" applyFont="1" applyBorder="1"/>
    <xf numFmtId="0" fontId="0" fillId="0" borderId="12" xfId="0" applyBorder="1"/>
    <xf numFmtId="0" fontId="0" fillId="3" borderId="12" xfId="0" applyFill="1" applyBorder="1"/>
    <xf numFmtId="0" fontId="0" fillId="0" borderId="19" xfId="0" applyBorder="1"/>
    <xf numFmtId="166" fontId="0" fillId="0" borderId="9" xfId="0" applyNumberFormat="1" applyBorder="1"/>
    <xf numFmtId="0" fontId="0" fillId="0" borderId="13" xfId="0" applyBorder="1"/>
    <xf numFmtId="0" fontId="0" fillId="0" borderId="11" xfId="0" applyBorder="1"/>
    <xf numFmtId="166" fontId="0" fillId="0" borderId="14" xfId="0" applyNumberFormat="1" applyBorder="1"/>
    <xf numFmtId="165" fontId="0" fillId="0" borderId="14" xfId="0" applyNumberFormat="1" applyBorder="1"/>
    <xf numFmtId="165" fontId="0" fillId="0" borderId="11" xfId="0" applyNumberFormat="1" applyBorder="1"/>
    <xf numFmtId="0" fontId="0" fillId="0" borderId="20" xfId="0" applyBorder="1"/>
    <xf numFmtId="165" fontId="0" fillId="0" borderId="20" xfId="0" applyNumberFormat="1" applyBorder="1"/>
    <xf numFmtId="165" fontId="1" fillId="0" borderId="12" xfId="0" applyNumberFormat="1" applyFont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1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Medium9"/>
  <colors>
    <mruColors>
      <color rgb="FF779ECB"/>
      <color rgb="FFB2DAFA"/>
      <color rgb="FF80CEE1"/>
      <color rgb="FF1F8BFF"/>
      <color rgb="FF0C96CC"/>
      <color rgb="FF24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8"/>
  <sheetViews>
    <sheetView tabSelected="1" zoomScale="85" zoomScaleNormal="85" workbookViewId="0">
      <selection activeCell="A3" sqref="A3"/>
    </sheetView>
  </sheetViews>
  <sheetFormatPr baseColWidth="10" defaultColWidth="9.140625" defaultRowHeight="15" x14ac:dyDescent="0.25"/>
  <cols>
    <col min="1" max="1" width="47.5703125" customWidth="1"/>
    <col min="2" max="2" width="11.28515625" bestFit="1" customWidth="1"/>
    <col min="3" max="3" width="16.5703125" bestFit="1" customWidth="1"/>
    <col min="4" max="4" width="16.85546875" bestFit="1" customWidth="1"/>
    <col min="5" max="5" width="21.28515625" customWidth="1"/>
    <col min="6" max="6" width="35.5703125" customWidth="1"/>
    <col min="7" max="7" width="18.85546875" customWidth="1"/>
    <col min="8" max="8" width="13.5703125" bestFit="1" customWidth="1"/>
    <col min="9" max="9" width="20.42578125" customWidth="1"/>
    <col min="10" max="10" width="17.42578125" customWidth="1"/>
    <col min="11" max="11" width="13.5703125" customWidth="1"/>
    <col min="12" max="12" width="11" customWidth="1"/>
    <col min="13" max="13" width="18.7109375" customWidth="1"/>
    <col min="15" max="15" width="65" customWidth="1"/>
    <col min="16" max="16" width="19.7109375" customWidth="1"/>
    <col min="17" max="17" width="17" customWidth="1"/>
    <col min="18" max="18" width="14.42578125" customWidth="1"/>
    <col min="19" max="19" width="9" customWidth="1"/>
    <col min="20" max="20" width="8.28515625" customWidth="1"/>
    <col min="21" max="21" width="75" bestFit="1" customWidth="1"/>
    <col min="22" max="22" width="18.28515625" customWidth="1"/>
    <col min="23" max="23" width="9.5703125" bestFit="1" customWidth="1"/>
    <col min="24" max="24" width="12.7109375" bestFit="1" customWidth="1"/>
    <col min="25" max="25" width="19.85546875" customWidth="1"/>
    <col min="26" max="26" width="18" customWidth="1"/>
    <col min="27" max="27" width="20.28515625" customWidth="1"/>
    <col min="28" max="28" width="14.42578125" customWidth="1"/>
    <col min="29" max="29" width="14.28515625" customWidth="1"/>
    <col min="32" max="32" width="31.42578125" customWidth="1"/>
    <col min="33" max="33" width="15" bestFit="1" customWidth="1"/>
    <col min="34" max="34" width="15.5703125" bestFit="1" customWidth="1"/>
    <col min="35" max="35" width="15.140625" bestFit="1" customWidth="1"/>
    <col min="36" max="36" width="18" customWidth="1"/>
    <col min="37" max="37" width="15.28515625" bestFit="1" customWidth="1"/>
    <col min="38" max="38" width="19.140625" bestFit="1" customWidth="1"/>
    <col min="39" max="39" width="18.28515625" customWidth="1"/>
    <col min="40" max="40" width="17.42578125" customWidth="1"/>
  </cols>
  <sheetData>
    <row r="1" spans="1:16" x14ac:dyDescent="0.25">
      <c r="A1" s="86" t="s">
        <v>0</v>
      </c>
      <c r="B1" s="86"/>
      <c r="C1" s="86"/>
      <c r="D1" s="86"/>
      <c r="E1" s="86"/>
      <c r="F1" s="86" t="s">
        <v>1</v>
      </c>
      <c r="G1" s="86"/>
      <c r="H1" s="86"/>
      <c r="I1" s="86"/>
    </row>
    <row r="2" spans="1:16" x14ac:dyDescent="0.25">
      <c r="A2" s="8" t="s">
        <v>0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16" x14ac:dyDescent="0.25">
      <c r="A3" s="5" t="s">
        <v>10</v>
      </c>
      <c r="B3" s="1">
        <v>1</v>
      </c>
      <c r="C3" s="2">
        <v>48000</v>
      </c>
      <c r="D3" s="2">
        <f>C3+(C3*0.236)+(C3*0.055)+(C3*0.035)+(C3*0.006)+(C3*0.002)</f>
        <v>64032</v>
      </c>
      <c r="E3" s="2">
        <f>D3*B3</f>
        <v>64032</v>
      </c>
      <c r="F3" s="3">
        <v>0</v>
      </c>
      <c r="G3" s="2">
        <f t="shared" ref="G3:G5" si="0">E3*F3</f>
        <v>0</v>
      </c>
      <c r="H3" s="3">
        <f>1-F3</f>
        <v>1</v>
      </c>
      <c r="I3" s="2">
        <f>E3*H3</f>
        <v>64032</v>
      </c>
      <c r="O3" s="26" t="s">
        <v>11</v>
      </c>
      <c r="P3" s="35">
        <f>E18+C41+J34</f>
        <v>1241336.6000000001</v>
      </c>
    </row>
    <row r="4" spans="1:16" x14ac:dyDescent="0.25">
      <c r="A4" s="5" t="s">
        <v>12</v>
      </c>
      <c r="B4" s="1">
        <v>1</v>
      </c>
      <c r="C4" s="2">
        <v>22000</v>
      </c>
      <c r="D4" s="2">
        <f t="shared" ref="D4:D16" si="1">C4+(C4*0.236)+(C4*0.055)+(C4*0.035)+(C4*0.006)+(C4*0.002)</f>
        <v>29348</v>
      </c>
      <c r="E4" s="2">
        <f>D4*B4</f>
        <v>29348</v>
      </c>
      <c r="F4" s="3">
        <v>0</v>
      </c>
      <c r="G4" s="2">
        <f t="shared" si="0"/>
        <v>0</v>
      </c>
      <c r="H4" s="3">
        <f t="shared" ref="H4:H16" si="2">1-F4</f>
        <v>1</v>
      </c>
      <c r="I4" s="2">
        <f t="shared" ref="I4:I16" si="3">E4*H4</f>
        <v>29348</v>
      </c>
      <c r="O4" s="26" t="s">
        <v>13</v>
      </c>
      <c r="P4" s="35">
        <f>P3*0.25</f>
        <v>310334.15000000002</v>
      </c>
    </row>
    <row r="5" spans="1:16" x14ac:dyDescent="0.25">
      <c r="A5" s="5" t="s">
        <v>14</v>
      </c>
      <c r="B5" s="1">
        <v>1</v>
      </c>
      <c r="C5" s="2">
        <v>44800</v>
      </c>
      <c r="D5" s="2">
        <f t="shared" si="1"/>
        <v>59763.200000000004</v>
      </c>
      <c r="E5" s="2">
        <f t="shared" ref="E5:E16" si="4">D5*B5</f>
        <v>59763.200000000004</v>
      </c>
      <c r="F5" s="3">
        <v>0</v>
      </c>
      <c r="G5" s="2">
        <f t="shared" si="0"/>
        <v>0</v>
      </c>
      <c r="H5" s="3">
        <f t="shared" si="2"/>
        <v>1</v>
      </c>
      <c r="I5" s="2">
        <f t="shared" si="3"/>
        <v>59763.200000000004</v>
      </c>
      <c r="O5" s="26" t="s">
        <v>15</v>
      </c>
      <c r="P5" s="35">
        <f>P3+P4</f>
        <v>1551670.75</v>
      </c>
    </row>
    <row r="6" spans="1:16" x14ac:dyDescent="0.25">
      <c r="A6" s="5" t="s">
        <v>16</v>
      </c>
      <c r="B6" s="1">
        <v>1</v>
      </c>
      <c r="C6" s="2">
        <v>46000</v>
      </c>
      <c r="D6" s="2">
        <f t="shared" si="1"/>
        <v>61364</v>
      </c>
      <c r="E6" s="2">
        <f t="shared" si="4"/>
        <v>61364</v>
      </c>
      <c r="F6" s="3">
        <v>0.75</v>
      </c>
      <c r="G6" s="2">
        <f>E6*F6</f>
        <v>46023</v>
      </c>
      <c r="H6" s="3">
        <f>1-F6</f>
        <v>0.25</v>
      </c>
      <c r="I6" s="2">
        <f>E6*H6</f>
        <v>15341</v>
      </c>
    </row>
    <row r="7" spans="1:16" x14ac:dyDescent="0.25">
      <c r="A7" s="5" t="s">
        <v>17</v>
      </c>
      <c r="B7" s="1">
        <v>1</v>
      </c>
      <c r="C7" s="2">
        <v>35200</v>
      </c>
      <c r="D7" s="2">
        <f t="shared" si="1"/>
        <v>46956.799999999996</v>
      </c>
      <c r="E7" s="2">
        <f t="shared" si="4"/>
        <v>46956.799999999996</v>
      </c>
      <c r="F7" s="3">
        <v>0.75</v>
      </c>
      <c r="G7" s="2">
        <f t="shared" ref="G7:G16" si="5">E7*F7</f>
        <v>35217.599999999999</v>
      </c>
      <c r="H7" s="3">
        <f t="shared" si="2"/>
        <v>0.25</v>
      </c>
      <c r="I7" s="2">
        <f t="shared" si="3"/>
        <v>11739.199999999999</v>
      </c>
    </row>
    <row r="8" spans="1:16" x14ac:dyDescent="0.25">
      <c r="A8" s="5" t="s">
        <v>18</v>
      </c>
      <c r="B8" s="1">
        <v>1</v>
      </c>
      <c r="C8" s="2">
        <v>36500</v>
      </c>
      <c r="D8" s="2">
        <f t="shared" si="1"/>
        <v>48691</v>
      </c>
      <c r="E8" s="2">
        <f t="shared" si="4"/>
        <v>48691</v>
      </c>
      <c r="F8" s="3">
        <v>0.25</v>
      </c>
      <c r="G8" s="2">
        <f t="shared" si="5"/>
        <v>12172.75</v>
      </c>
      <c r="H8" s="3">
        <f t="shared" si="2"/>
        <v>0.75</v>
      </c>
      <c r="I8" s="2">
        <f t="shared" si="3"/>
        <v>36518.25</v>
      </c>
    </row>
    <row r="9" spans="1:16" x14ac:dyDescent="0.25">
      <c r="A9" s="5" t="s">
        <v>19</v>
      </c>
      <c r="B9" s="1">
        <v>2</v>
      </c>
      <c r="C9" s="2">
        <v>32000</v>
      </c>
      <c r="D9" s="2">
        <f t="shared" si="1"/>
        <v>42688</v>
      </c>
      <c r="E9" s="2">
        <f t="shared" si="4"/>
        <v>85376</v>
      </c>
      <c r="F9" s="3">
        <v>0.7</v>
      </c>
      <c r="G9" s="2">
        <f t="shared" si="5"/>
        <v>59763.199999999997</v>
      </c>
      <c r="H9" s="3">
        <f t="shared" si="2"/>
        <v>0.30000000000000004</v>
      </c>
      <c r="I9" s="2">
        <f t="shared" si="3"/>
        <v>25612.800000000003</v>
      </c>
    </row>
    <row r="10" spans="1:16" x14ac:dyDescent="0.25">
      <c r="A10" s="5" t="s">
        <v>20</v>
      </c>
      <c r="B10" s="1">
        <v>1</v>
      </c>
      <c r="C10" s="2">
        <v>41000</v>
      </c>
      <c r="D10" s="2">
        <f t="shared" si="1"/>
        <v>54694</v>
      </c>
      <c r="E10" s="2">
        <f t="shared" si="4"/>
        <v>54694</v>
      </c>
      <c r="F10" s="3">
        <v>0.25</v>
      </c>
      <c r="G10" s="2">
        <f t="shared" si="5"/>
        <v>13673.5</v>
      </c>
      <c r="H10" s="3">
        <f t="shared" si="2"/>
        <v>0.75</v>
      </c>
      <c r="I10" s="2">
        <f t="shared" si="3"/>
        <v>41020.5</v>
      </c>
    </row>
    <row r="11" spans="1:16" x14ac:dyDescent="0.25">
      <c r="A11" s="5" t="s">
        <v>21</v>
      </c>
      <c r="B11" s="1">
        <v>4</v>
      </c>
      <c r="C11" s="2">
        <v>27000</v>
      </c>
      <c r="D11" s="2">
        <f t="shared" si="1"/>
        <v>36018</v>
      </c>
      <c r="E11" s="2">
        <f t="shared" si="4"/>
        <v>144072</v>
      </c>
      <c r="F11" s="3">
        <v>0.85</v>
      </c>
      <c r="G11" s="2">
        <f t="shared" si="5"/>
        <v>122461.2</v>
      </c>
      <c r="H11" s="3">
        <f t="shared" si="2"/>
        <v>0.15000000000000002</v>
      </c>
      <c r="I11" s="2">
        <f t="shared" si="3"/>
        <v>21610.800000000003</v>
      </c>
      <c r="N11" s="27" t="s">
        <v>22</v>
      </c>
      <c r="O11" s="27" t="s">
        <v>23</v>
      </c>
      <c r="P11" s="27" t="s">
        <v>24</v>
      </c>
    </row>
    <row r="12" spans="1:16" x14ac:dyDescent="0.25">
      <c r="A12" s="5" t="s">
        <v>25</v>
      </c>
      <c r="B12" s="1">
        <v>1</v>
      </c>
      <c r="C12" s="2">
        <v>43000</v>
      </c>
      <c r="D12" s="2">
        <f t="shared" si="1"/>
        <v>57362</v>
      </c>
      <c r="E12" s="2">
        <f t="shared" si="4"/>
        <v>57362</v>
      </c>
      <c r="F12" s="3">
        <v>0.25</v>
      </c>
      <c r="G12" s="2">
        <f t="shared" si="5"/>
        <v>14340.5</v>
      </c>
      <c r="H12" s="3">
        <f t="shared" si="2"/>
        <v>0.75</v>
      </c>
      <c r="I12" s="2">
        <f t="shared" si="3"/>
        <v>43021.5</v>
      </c>
      <c r="N12" s="27">
        <v>1</v>
      </c>
      <c r="O12" s="14" t="s">
        <v>26</v>
      </c>
      <c r="P12" s="32">
        <f>G18+J34</f>
        <v>619062.61</v>
      </c>
    </row>
    <row r="13" spans="1:16" x14ac:dyDescent="0.25">
      <c r="A13" s="5" t="s">
        <v>27</v>
      </c>
      <c r="B13" s="1">
        <v>4</v>
      </c>
      <c r="C13" s="2">
        <v>35000</v>
      </c>
      <c r="D13" s="2">
        <f t="shared" si="1"/>
        <v>46690</v>
      </c>
      <c r="E13" s="2">
        <f t="shared" si="4"/>
        <v>186760</v>
      </c>
      <c r="F13" s="3">
        <v>0.85</v>
      </c>
      <c r="G13" s="2">
        <f t="shared" si="5"/>
        <v>158746</v>
      </c>
      <c r="H13" s="3">
        <f t="shared" si="2"/>
        <v>0.15000000000000002</v>
      </c>
      <c r="I13" s="2">
        <f t="shared" si="3"/>
        <v>28014.000000000004</v>
      </c>
      <c r="N13" s="27">
        <v>2</v>
      </c>
      <c r="O13" s="14" t="s">
        <v>28</v>
      </c>
      <c r="P13" s="32">
        <f>I18+C41</f>
        <v>622273.99</v>
      </c>
    </row>
    <row r="14" spans="1:16" x14ac:dyDescent="0.25">
      <c r="A14" s="5" t="s">
        <v>29</v>
      </c>
      <c r="B14" s="1">
        <v>1</v>
      </c>
      <c r="C14" s="2">
        <v>42700</v>
      </c>
      <c r="D14" s="2">
        <f t="shared" si="1"/>
        <v>56961.799999999996</v>
      </c>
      <c r="E14" s="2">
        <f t="shared" si="4"/>
        <v>56961.799999999996</v>
      </c>
      <c r="F14" s="3">
        <v>0.7</v>
      </c>
      <c r="G14" s="2">
        <f t="shared" si="5"/>
        <v>39873.259999999995</v>
      </c>
      <c r="H14" s="3">
        <f t="shared" si="2"/>
        <v>0.30000000000000004</v>
      </c>
      <c r="I14" s="2">
        <f t="shared" si="3"/>
        <v>17088.54</v>
      </c>
      <c r="N14" s="27">
        <v>3</v>
      </c>
      <c r="O14" s="14" t="s">
        <v>30</v>
      </c>
      <c r="P14" s="32">
        <f>P12+P13</f>
        <v>1241336.6000000001</v>
      </c>
    </row>
    <row r="15" spans="1:16" x14ac:dyDescent="0.25">
      <c r="A15" s="5" t="s">
        <v>31</v>
      </c>
      <c r="B15" s="1">
        <v>1</v>
      </c>
      <c r="C15" s="2">
        <v>42000</v>
      </c>
      <c r="D15" s="2">
        <f t="shared" si="1"/>
        <v>56028</v>
      </c>
      <c r="E15" s="2">
        <f t="shared" si="4"/>
        <v>56028</v>
      </c>
      <c r="F15" s="3">
        <v>0.25</v>
      </c>
      <c r="G15" s="2">
        <f t="shared" si="5"/>
        <v>14007</v>
      </c>
      <c r="H15" s="3">
        <f t="shared" si="2"/>
        <v>0.75</v>
      </c>
      <c r="I15" s="2">
        <f t="shared" si="3"/>
        <v>42021</v>
      </c>
      <c r="N15" s="27">
        <v>4</v>
      </c>
      <c r="O15" s="14" t="s">
        <v>32</v>
      </c>
      <c r="P15" s="32">
        <f>P14*0.25</f>
        <v>310334.15000000002</v>
      </c>
    </row>
    <row r="16" spans="1:16" x14ac:dyDescent="0.25">
      <c r="A16" s="5" t="s">
        <v>33</v>
      </c>
      <c r="B16" s="1">
        <v>2</v>
      </c>
      <c r="C16" s="2">
        <v>29600</v>
      </c>
      <c r="D16" s="2">
        <f t="shared" si="1"/>
        <v>39486.399999999994</v>
      </c>
      <c r="E16" s="2">
        <f t="shared" si="4"/>
        <v>78972.799999999988</v>
      </c>
      <c r="F16" s="3">
        <v>0.75</v>
      </c>
      <c r="G16" s="2">
        <f t="shared" si="5"/>
        <v>59229.599999999991</v>
      </c>
      <c r="H16" s="3">
        <f t="shared" si="2"/>
        <v>0.25</v>
      </c>
      <c r="I16" s="2">
        <f t="shared" si="3"/>
        <v>19743.199999999997</v>
      </c>
      <c r="N16" s="27">
        <v>5</v>
      </c>
      <c r="O16" s="14" t="s">
        <v>34</v>
      </c>
      <c r="P16" s="32">
        <f>P14+P15</f>
        <v>1551670.75</v>
      </c>
    </row>
    <row r="17" spans="1:19" ht="30.75" thickBot="1" x14ac:dyDescent="0.3">
      <c r="A17" s="4"/>
      <c r="B17" s="1"/>
      <c r="C17" s="1"/>
      <c r="D17" s="1"/>
      <c r="E17" s="20"/>
      <c r="F17" s="1"/>
      <c r="G17" s="1"/>
      <c r="H17" s="1"/>
      <c r="I17" s="1"/>
      <c r="N17" s="28">
        <v>6</v>
      </c>
      <c r="O17" s="30" t="s">
        <v>35</v>
      </c>
      <c r="P17" s="33">
        <f>M58</f>
        <v>1589994.5999999999</v>
      </c>
    </row>
    <row r="18" spans="1:19" ht="15.75" thickBot="1" x14ac:dyDescent="0.3">
      <c r="A18" s="6" t="s">
        <v>36</v>
      </c>
      <c r="B18" s="4">
        <f>SUM(B3:B16)</f>
        <v>22</v>
      </c>
      <c r="C18" s="4"/>
      <c r="D18" s="18"/>
      <c r="E18" s="21">
        <f>SUM(E3:E16)</f>
        <v>1030381.6000000001</v>
      </c>
      <c r="F18" s="19"/>
      <c r="G18" s="7">
        <f>SUM(G3:G16)</f>
        <v>575507.61</v>
      </c>
      <c r="H18" s="4"/>
      <c r="I18" s="7">
        <f>SUM(I3:I16)</f>
        <v>454873.99</v>
      </c>
      <c r="N18" s="27">
        <v>7</v>
      </c>
      <c r="O18" s="14" t="s">
        <v>37</v>
      </c>
      <c r="P18" s="34">
        <f>1-P16/P17</f>
        <v>2.4103132174159492E-2</v>
      </c>
    </row>
    <row r="19" spans="1:19" x14ac:dyDescent="0.25">
      <c r="S19" s="31"/>
    </row>
    <row r="21" spans="1:19" x14ac:dyDescent="0.25">
      <c r="A21" s="86" t="s">
        <v>38</v>
      </c>
      <c r="B21" s="86"/>
      <c r="C21" s="86"/>
      <c r="F21" s="86" t="s">
        <v>39</v>
      </c>
      <c r="G21" s="86"/>
      <c r="H21" s="86"/>
      <c r="I21" s="86"/>
      <c r="J21" s="86"/>
      <c r="K21" s="86"/>
      <c r="L21" s="86"/>
    </row>
    <row r="22" spans="1:19" x14ac:dyDescent="0.25">
      <c r="A22" s="4" t="s">
        <v>40</v>
      </c>
      <c r="B22" s="4" t="s">
        <v>41</v>
      </c>
      <c r="C22" s="4" t="s">
        <v>42</v>
      </c>
      <c r="F22" s="4" t="s">
        <v>43</v>
      </c>
      <c r="G22" s="4" t="s">
        <v>44</v>
      </c>
      <c r="H22" s="4" t="s">
        <v>45</v>
      </c>
      <c r="I22" s="4" t="s">
        <v>46</v>
      </c>
      <c r="J22" s="4" t="s">
        <v>47</v>
      </c>
      <c r="K22" s="4" t="s">
        <v>48</v>
      </c>
      <c r="L22" s="4" t="s">
        <v>49</v>
      </c>
    </row>
    <row r="23" spans="1:19" x14ac:dyDescent="0.25">
      <c r="A23" s="4" t="s">
        <v>50</v>
      </c>
      <c r="B23" s="2">
        <v>600</v>
      </c>
      <c r="C23" s="2">
        <f>12*B23</f>
        <v>7200</v>
      </c>
      <c r="F23" s="1" t="s">
        <v>51</v>
      </c>
      <c r="G23" s="1">
        <v>1</v>
      </c>
      <c r="H23" s="2">
        <v>200000</v>
      </c>
      <c r="I23" s="2">
        <f>G23*H23</f>
        <v>200000</v>
      </c>
      <c r="J23" s="2">
        <f>IF(L23&gt;0.1, I23/L23, I23)</f>
        <v>25000</v>
      </c>
      <c r="K23" s="1" t="s">
        <v>52</v>
      </c>
      <c r="L23" s="1">
        <v>8</v>
      </c>
    </row>
    <row r="24" spans="1:19" x14ac:dyDescent="0.25">
      <c r="A24" s="4" t="s">
        <v>53</v>
      </c>
      <c r="B24" s="2">
        <v>2000</v>
      </c>
      <c r="C24" s="2">
        <f t="shared" ref="C24:C39" si="6">12*B24</f>
        <v>24000</v>
      </c>
      <c r="F24" s="1" t="s">
        <v>54</v>
      </c>
      <c r="G24" s="1">
        <v>3</v>
      </c>
      <c r="H24" s="2">
        <v>1000</v>
      </c>
      <c r="I24" s="2">
        <f t="shared" ref="I24:I32" si="7">G24*H24</f>
        <v>3000</v>
      </c>
      <c r="J24" s="2">
        <f t="shared" ref="J24:J32" si="8">IF(L24&gt;0.1, I24/L24, I24)</f>
        <v>750</v>
      </c>
      <c r="K24" s="1" t="s">
        <v>52</v>
      </c>
      <c r="L24" s="1">
        <v>4</v>
      </c>
    </row>
    <row r="25" spans="1:19" x14ac:dyDescent="0.25">
      <c r="A25" s="4" t="s">
        <v>55</v>
      </c>
      <c r="B25" s="2">
        <v>1200</v>
      </c>
      <c r="C25" s="2">
        <f t="shared" si="6"/>
        <v>14400</v>
      </c>
      <c r="F25" s="1" t="s">
        <v>56</v>
      </c>
      <c r="G25" s="1">
        <v>19</v>
      </c>
      <c r="H25" s="2">
        <v>1400</v>
      </c>
      <c r="I25" s="2">
        <f t="shared" si="7"/>
        <v>26600</v>
      </c>
      <c r="J25" s="2">
        <f t="shared" si="8"/>
        <v>6650</v>
      </c>
      <c r="K25" s="1" t="s">
        <v>52</v>
      </c>
      <c r="L25" s="1">
        <v>4</v>
      </c>
    </row>
    <row r="26" spans="1:19" x14ac:dyDescent="0.25">
      <c r="A26" s="4" t="s">
        <v>57</v>
      </c>
      <c r="B26" s="2">
        <v>550</v>
      </c>
      <c r="C26" s="2">
        <f t="shared" si="6"/>
        <v>6600</v>
      </c>
      <c r="F26" s="1" t="s">
        <v>58</v>
      </c>
      <c r="G26" s="1">
        <v>6</v>
      </c>
      <c r="H26" s="2">
        <v>1200</v>
      </c>
      <c r="I26" s="2">
        <f t="shared" si="7"/>
        <v>7200</v>
      </c>
      <c r="J26" s="2">
        <f t="shared" si="8"/>
        <v>1800</v>
      </c>
      <c r="K26" s="1" t="s">
        <v>52</v>
      </c>
      <c r="L26" s="1">
        <v>4</v>
      </c>
    </row>
    <row r="27" spans="1:19" x14ac:dyDescent="0.25">
      <c r="A27" s="4" t="s">
        <v>59</v>
      </c>
      <c r="B27" s="2">
        <v>800</v>
      </c>
      <c r="C27" s="2">
        <f t="shared" si="6"/>
        <v>9600</v>
      </c>
      <c r="F27" s="1" t="s">
        <v>60</v>
      </c>
      <c r="G27" s="1">
        <v>20</v>
      </c>
      <c r="H27" s="2">
        <v>175</v>
      </c>
      <c r="I27" s="2">
        <f t="shared" si="7"/>
        <v>3500</v>
      </c>
      <c r="J27" s="2">
        <f t="shared" si="8"/>
        <v>3500</v>
      </c>
      <c r="K27" s="1" t="s">
        <v>61</v>
      </c>
      <c r="L27" s="1"/>
    </row>
    <row r="28" spans="1:19" x14ac:dyDescent="0.25">
      <c r="A28" s="4" t="s">
        <v>62</v>
      </c>
      <c r="B28" s="2">
        <v>2500</v>
      </c>
      <c r="C28" s="2">
        <f t="shared" si="6"/>
        <v>30000</v>
      </c>
      <c r="F28" s="1" t="s">
        <v>63</v>
      </c>
      <c r="G28" s="1">
        <v>5</v>
      </c>
      <c r="H28" s="2">
        <v>200</v>
      </c>
      <c r="I28" s="2">
        <f t="shared" si="7"/>
        <v>1000</v>
      </c>
      <c r="J28" s="2">
        <f t="shared" si="8"/>
        <v>1000</v>
      </c>
      <c r="K28" s="1" t="s">
        <v>61</v>
      </c>
      <c r="L28" s="1"/>
    </row>
    <row r="29" spans="1:19" x14ac:dyDescent="0.25">
      <c r="A29" s="4" t="s">
        <v>64</v>
      </c>
      <c r="B29" s="2">
        <v>500</v>
      </c>
      <c r="C29" s="2">
        <f t="shared" si="6"/>
        <v>6000</v>
      </c>
      <c r="F29" s="1" t="s">
        <v>65</v>
      </c>
      <c r="G29" s="1">
        <v>20</v>
      </c>
      <c r="H29" s="2">
        <v>400</v>
      </c>
      <c r="I29" s="2">
        <f t="shared" si="7"/>
        <v>8000</v>
      </c>
      <c r="J29" s="2">
        <f t="shared" si="8"/>
        <v>2000</v>
      </c>
      <c r="K29" s="1" t="s">
        <v>52</v>
      </c>
      <c r="L29" s="1">
        <v>4</v>
      </c>
    </row>
    <row r="30" spans="1:19" x14ac:dyDescent="0.25">
      <c r="A30" s="4" t="s">
        <v>66</v>
      </c>
      <c r="B30" s="2">
        <v>120</v>
      </c>
      <c r="C30" s="2">
        <f t="shared" si="6"/>
        <v>1440</v>
      </c>
      <c r="F30" s="1" t="s">
        <v>67</v>
      </c>
      <c r="G30" s="1">
        <v>3</v>
      </c>
      <c r="H30" s="2">
        <v>80</v>
      </c>
      <c r="I30" s="2">
        <f t="shared" si="7"/>
        <v>240</v>
      </c>
      <c r="J30" s="2">
        <f t="shared" si="8"/>
        <v>30</v>
      </c>
      <c r="K30" s="1" t="s">
        <v>52</v>
      </c>
      <c r="L30" s="1">
        <v>8</v>
      </c>
    </row>
    <row r="31" spans="1:19" x14ac:dyDescent="0.25">
      <c r="A31" s="4" t="s">
        <v>68</v>
      </c>
      <c r="B31" s="2">
        <v>800</v>
      </c>
      <c r="C31" s="2">
        <f t="shared" si="6"/>
        <v>9600</v>
      </c>
      <c r="F31" s="1" t="s">
        <v>69</v>
      </c>
      <c r="G31" s="1">
        <v>3</v>
      </c>
      <c r="H31" s="2">
        <v>650</v>
      </c>
      <c r="I31" s="2">
        <f t="shared" si="7"/>
        <v>1950</v>
      </c>
      <c r="J31" s="2">
        <f t="shared" si="8"/>
        <v>325</v>
      </c>
      <c r="K31" s="1" t="s">
        <v>52</v>
      </c>
      <c r="L31" s="1">
        <v>6</v>
      </c>
    </row>
    <row r="32" spans="1:19" x14ac:dyDescent="0.25">
      <c r="A32" s="4" t="s">
        <v>70</v>
      </c>
      <c r="B32" s="2">
        <v>600</v>
      </c>
      <c r="C32" s="2">
        <f t="shared" si="6"/>
        <v>7200</v>
      </c>
      <c r="F32" s="1" t="s">
        <v>71</v>
      </c>
      <c r="G32" s="1">
        <v>1</v>
      </c>
      <c r="H32" s="2">
        <v>2500</v>
      </c>
      <c r="I32" s="2">
        <f t="shared" si="7"/>
        <v>2500</v>
      </c>
      <c r="J32" s="2">
        <f t="shared" si="8"/>
        <v>2500</v>
      </c>
      <c r="K32" s="1" t="s">
        <v>61</v>
      </c>
      <c r="L32" s="1"/>
    </row>
    <row r="33" spans="1:13" ht="15.75" thickBot="1" x14ac:dyDescent="0.3">
      <c r="A33" s="4" t="s">
        <v>72</v>
      </c>
      <c r="B33" s="2">
        <v>60</v>
      </c>
      <c r="C33" s="2">
        <f t="shared" si="6"/>
        <v>720</v>
      </c>
      <c r="F33" s="1"/>
      <c r="G33" s="1"/>
      <c r="H33" s="1"/>
      <c r="I33" s="1"/>
      <c r="J33" s="20"/>
      <c r="K33" s="1"/>
      <c r="L33" s="1"/>
    </row>
    <row r="34" spans="1:13" ht="15.75" thickBot="1" x14ac:dyDescent="0.3">
      <c r="A34" s="4" t="s">
        <v>73</v>
      </c>
      <c r="B34" s="2">
        <v>775</v>
      </c>
      <c r="C34" s="2">
        <f t="shared" si="6"/>
        <v>9300</v>
      </c>
      <c r="F34" s="6" t="s">
        <v>36</v>
      </c>
      <c r="G34" s="10"/>
      <c r="H34" s="10"/>
      <c r="I34" s="22"/>
      <c r="J34" s="21">
        <f>SUM(J23:J32)</f>
        <v>43555</v>
      </c>
      <c r="K34" s="23"/>
      <c r="L34" s="10"/>
    </row>
    <row r="35" spans="1:13" x14ac:dyDescent="0.25">
      <c r="A35" s="4" t="s">
        <v>74</v>
      </c>
      <c r="B35" s="2">
        <v>700</v>
      </c>
      <c r="C35" s="2">
        <f t="shared" si="6"/>
        <v>8400</v>
      </c>
    </row>
    <row r="36" spans="1:13" x14ac:dyDescent="0.25">
      <c r="A36" s="4" t="s">
        <v>75</v>
      </c>
      <c r="B36" s="2">
        <v>1175</v>
      </c>
      <c r="C36" s="2">
        <f t="shared" si="6"/>
        <v>14100</v>
      </c>
    </row>
    <row r="37" spans="1:13" x14ac:dyDescent="0.25">
      <c r="A37" s="4" t="s">
        <v>76</v>
      </c>
      <c r="B37" s="2">
        <v>120</v>
      </c>
      <c r="C37" s="2">
        <f t="shared" si="6"/>
        <v>1440</v>
      </c>
    </row>
    <row r="38" spans="1:13" x14ac:dyDescent="0.25">
      <c r="A38" s="4" t="s">
        <v>77</v>
      </c>
      <c r="B38" s="2">
        <v>50</v>
      </c>
      <c r="C38" s="2">
        <f t="shared" si="6"/>
        <v>600</v>
      </c>
    </row>
    <row r="39" spans="1:13" x14ac:dyDescent="0.25">
      <c r="A39" s="4" t="s">
        <v>78</v>
      </c>
      <c r="B39" s="2">
        <v>1400</v>
      </c>
      <c r="C39" s="2">
        <f t="shared" si="6"/>
        <v>16800</v>
      </c>
    </row>
    <row r="40" spans="1:13" ht="15.75" thickBot="1" x14ac:dyDescent="0.3">
      <c r="A40" s="4"/>
      <c r="B40" s="1"/>
      <c r="C40" s="20"/>
    </row>
    <row r="41" spans="1:13" ht="15.75" thickBot="1" x14ac:dyDescent="0.3">
      <c r="A41" s="6" t="s">
        <v>36</v>
      </c>
      <c r="B41" s="18"/>
      <c r="C41" s="21">
        <f>SUM(C23:C39)</f>
        <v>167400</v>
      </c>
      <c r="F41" s="87" t="s">
        <v>79</v>
      </c>
      <c r="G41" s="87"/>
      <c r="H41" s="87"/>
      <c r="I41" s="87"/>
      <c r="J41" s="87"/>
      <c r="K41" s="88" t="s">
        <v>80</v>
      </c>
      <c r="L41" s="89"/>
      <c r="M41" s="90"/>
    </row>
    <row r="42" spans="1:13" ht="45" x14ac:dyDescent="0.25">
      <c r="F42" s="11" t="s">
        <v>0</v>
      </c>
      <c r="G42" s="12" t="s">
        <v>6</v>
      </c>
      <c r="H42" s="11" t="s">
        <v>81</v>
      </c>
      <c r="I42" s="12" t="s">
        <v>82</v>
      </c>
      <c r="J42" s="12" t="s">
        <v>83</v>
      </c>
      <c r="K42" s="12" t="s">
        <v>84</v>
      </c>
      <c r="L42" s="12" t="s">
        <v>85</v>
      </c>
      <c r="M42" s="11" t="s">
        <v>86</v>
      </c>
    </row>
    <row r="43" spans="1:13" x14ac:dyDescent="0.25">
      <c r="F43" s="13" t="s">
        <v>10</v>
      </c>
      <c r="G43" s="17">
        <f>F3</f>
        <v>0</v>
      </c>
      <c r="H43" s="14"/>
      <c r="I43" s="14">
        <f>H43*G43</f>
        <v>0</v>
      </c>
      <c r="J43" s="14">
        <f>I43*B3</f>
        <v>0</v>
      </c>
      <c r="K43" s="24">
        <f>IF(G43&gt;0,L43*1.25,0)</f>
        <v>0</v>
      </c>
      <c r="L43" s="24">
        <f>IF(G43&gt;0,(E3/B3)/H43,0)</f>
        <v>0</v>
      </c>
      <c r="M43" s="24">
        <f>K43*J43</f>
        <v>0</v>
      </c>
    </row>
    <row r="44" spans="1:13" x14ac:dyDescent="0.25">
      <c r="F44" s="13" t="s">
        <v>12</v>
      </c>
      <c r="G44" s="17">
        <f t="shared" ref="G44:G56" si="9">F4</f>
        <v>0</v>
      </c>
      <c r="H44" s="14"/>
      <c r="I44" s="14">
        <f t="shared" ref="I44:I56" si="10">H44*G44</f>
        <v>0</v>
      </c>
      <c r="J44" s="14">
        <f t="shared" ref="J44:J56" si="11">I44*B4</f>
        <v>0</v>
      </c>
      <c r="K44" s="24">
        <f t="shared" ref="K44:K55" si="12">IF(G44&gt;0,L44*1.25,0)</f>
        <v>0</v>
      </c>
      <c r="L44" s="24">
        <f t="shared" ref="L44:L45" si="13">IF(G44&gt;0,(E4/B4)/H44,0)</f>
        <v>0</v>
      </c>
      <c r="M44" s="24">
        <f t="shared" ref="M44:M56" si="14">K44*J44</f>
        <v>0</v>
      </c>
    </row>
    <row r="45" spans="1:13" x14ac:dyDescent="0.25">
      <c r="F45" s="13" t="s">
        <v>14</v>
      </c>
      <c r="G45" s="17">
        <f t="shared" si="9"/>
        <v>0</v>
      </c>
      <c r="H45" s="14"/>
      <c r="I45" s="14">
        <f t="shared" si="10"/>
        <v>0</v>
      </c>
      <c r="J45" s="14">
        <f t="shared" si="11"/>
        <v>0</v>
      </c>
      <c r="K45" s="24">
        <f t="shared" si="12"/>
        <v>0</v>
      </c>
      <c r="L45" s="24">
        <f t="shared" si="13"/>
        <v>0</v>
      </c>
      <c r="M45" s="24">
        <f t="shared" si="14"/>
        <v>0</v>
      </c>
    </row>
    <row r="46" spans="1:13" x14ac:dyDescent="0.25">
      <c r="F46" s="13" t="s">
        <v>16</v>
      </c>
      <c r="G46" s="17">
        <f t="shared" si="9"/>
        <v>0.75</v>
      </c>
      <c r="H46" s="14">
        <v>1776</v>
      </c>
      <c r="I46" s="14">
        <f t="shared" si="10"/>
        <v>1332</v>
      </c>
      <c r="J46" s="14">
        <f t="shared" si="11"/>
        <v>1332</v>
      </c>
      <c r="K46" s="24">
        <f t="shared" si="12"/>
        <v>83.500187687687685</v>
      </c>
      <c r="L46" s="24">
        <f>IF(G46&gt;0,((E6/B6)/I46)*1.45,0)</f>
        <v>66.800150150150145</v>
      </c>
      <c r="M46" s="24">
        <f>K46*J46</f>
        <v>111222.25</v>
      </c>
    </row>
    <row r="47" spans="1:13" x14ac:dyDescent="0.25">
      <c r="F47" s="13" t="s">
        <v>17</v>
      </c>
      <c r="G47" s="17">
        <f t="shared" si="9"/>
        <v>0.75</v>
      </c>
      <c r="H47" s="14">
        <v>1776</v>
      </c>
      <c r="I47" s="14">
        <f>H47*G47</f>
        <v>1332</v>
      </c>
      <c r="J47" s="14">
        <f t="shared" si="11"/>
        <v>1332</v>
      </c>
      <c r="K47" s="24">
        <f t="shared" si="12"/>
        <v>63.895795795795784</v>
      </c>
      <c r="L47" s="24">
        <f t="shared" ref="L47:L56" si="15">IF(G47&gt;0,((E7/B7)/I47)*1.45,0)</f>
        <v>51.116636636636628</v>
      </c>
      <c r="M47" s="24">
        <f t="shared" si="14"/>
        <v>85109.199999999983</v>
      </c>
    </row>
    <row r="48" spans="1:13" x14ac:dyDescent="0.25">
      <c r="F48" s="13" t="s">
        <v>18</v>
      </c>
      <c r="G48" s="17">
        <f t="shared" si="9"/>
        <v>0.25</v>
      </c>
      <c r="H48" s="14">
        <v>1776</v>
      </c>
      <c r="I48" s="14">
        <f t="shared" si="10"/>
        <v>444</v>
      </c>
      <c r="J48" s="14">
        <f t="shared" si="11"/>
        <v>444</v>
      </c>
      <c r="K48" s="24">
        <f t="shared" si="12"/>
        <v>198.76675112612611</v>
      </c>
      <c r="L48" s="24">
        <f t="shared" si="15"/>
        <v>159.01340090090088</v>
      </c>
      <c r="M48" s="24">
        <f t="shared" si="14"/>
        <v>88252.4375</v>
      </c>
    </row>
    <row r="49" spans="6:40" x14ac:dyDescent="0.25">
      <c r="F49" s="13" t="s">
        <v>19</v>
      </c>
      <c r="G49" s="17">
        <f t="shared" si="9"/>
        <v>0.7</v>
      </c>
      <c r="H49" s="14">
        <v>1776</v>
      </c>
      <c r="I49" s="14">
        <f t="shared" si="10"/>
        <v>1243.1999999999998</v>
      </c>
      <c r="J49" s="14">
        <f t="shared" si="11"/>
        <v>2486.3999999999996</v>
      </c>
      <c r="K49" s="24">
        <f t="shared" si="12"/>
        <v>62.236164736164739</v>
      </c>
      <c r="L49" s="24">
        <f t="shared" si="15"/>
        <v>49.788931788931791</v>
      </c>
      <c r="M49" s="24">
        <f t="shared" si="14"/>
        <v>154743.99999999997</v>
      </c>
    </row>
    <row r="50" spans="6:40" x14ac:dyDescent="0.25">
      <c r="F50" s="13" t="s">
        <v>20</v>
      </c>
      <c r="G50" s="17">
        <f t="shared" si="9"/>
        <v>0.25</v>
      </c>
      <c r="H50" s="14">
        <v>1776</v>
      </c>
      <c r="I50" s="14">
        <f t="shared" si="10"/>
        <v>444</v>
      </c>
      <c r="J50" s="14">
        <f t="shared" si="11"/>
        <v>444</v>
      </c>
      <c r="K50" s="24">
        <f t="shared" si="12"/>
        <v>223.27224099099098</v>
      </c>
      <c r="L50" s="24">
        <f t="shared" si="15"/>
        <v>178.61779279279278</v>
      </c>
      <c r="M50" s="24">
        <f t="shared" si="14"/>
        <v>99132.875</v>
      </c>
    </row>
    <row r="51" spans="6:40" ht="15.75" thickBot="1" x14ac:dyDescent="0.3">
      <c r="F51" s="13" t="s">
        <v>21</v>
      </c>
      <c r="G51" s="17">
        <f t="shared" si="9"/>
        <v>0.85</v>
      </c>
      <c r="H51" s="14">
        <v>1776</v>
      </c>
      <c r="I51" s="14">
        <f t="shared" si="10"/>
        <v>1509.6</v>
      </c>
      <c r="J51" s="14">
        <f t="shared" si="11"/>
        <v>6038.4</v>
      </c>
      <c r="K51" s="24">
        <f t="shared" si="12"/>
        <v>43.244982114467412</v>
      </c>
      <c r="L51" s="24">
        <f t="shared" si="15"/>
        <v>34.595985691573929</v>
      </c>
      <c r="M51" s="24">
        <f t="shared" si="14"/>
        <v>261130.5</v>
      </c>
    </row>
    <row r="52" spans="6:40" ht="15.75" thickBot="1" x14ac:dyDescent="0.3">
      <c r="F52" s="13" t="s">
        <v>25</v>
      </c>
      <c r="G52" s="17">
        <f t="shared" si="9"/>
        <v>0.25</v>
      </c>
      <c r="H52" s="14">
        <v>1776</v>
      </c>
      <c r="I52" s="14">
        <f t="shared" si="10"/>
        <v>444</v>
      </c>
      <c r="J52" s="14">
        <f t="shared" si="11"/>
        <v>444</v>
      </c>
      <c r="K52" s="24">
        <f t="shared" si="12"/>
        <v>234.1635698198198</v>
      </c>
      <c r="L52" s="24">
        <f t="shared" si="15"/>
        <v>187.33085585585584</v>
      </c>
      <c r="M52" s="24">
        <f t="shared" si="14"/>
        <v>103968.62499999999</v>
      </c>
      <c r="AF52" s="91" t="s">
        <v>87</v>
      </c>
      <c r="AG52" s="92"/>
      <c r="AH52" s="92"/>
      <c r="AI52" s="92"/>
      <c r="AJ52" s="92"/>
      <c r="AK52" s="92"/>
      <c r="AL52" s="92"/>
      <c r="AM52" s="92"/>
      <c r="AN52" s="93"/>
    </row>
    <row r="53" spans="6:40" x14ac:dyDescent="0.25">
      <c r="F53" s="13" t="s">
        <v>27</v>
      </c>
      <c r="G53" s="17">
        <f t="shared" si="9"/>
        <v>0.85</v>
      </c>
      <c r="H53" s="14">
        <v>1776</v>
      </c>
      <c r="I53" s="14">
        <f t="shared" si="10"/>
        <v>1509.6</v>
      </c>
      <c r="J53" s="14">
        <f t="shared" si="11"/>
        <v>6038.4</v>
      </c>
      <c r="K53" s="24">
        <f t="shared" si="12"/>
        <v>56.058310148383683</v>
      </c>
      <c r="L53" s="24">
        <f t="shared" si="15"/>
        <v>44.846648118706945</v>
      </c>
      <c r="M53" s="24">
        <f t="shared" si="14"/>
        <v>338502.5</v>
      </c>
    </row>
    <row r="54" spans="6:40" x14ac:dyDescent="0.25">
      <c r="F54" s="13" t="s">
        <v>29</v>
      </c>
      <c r="G54" s="17">
        <f t="shared" si="9"/>
        <v>0.7</v>
      </c>
      <c r="H54" s="14">
        <v>1776</v>
      </c>
      <c r="I54" s="14">
        <f t="shared" si="10"/>
        <v>1243.1999999999998</v>
      </c>
      <c r="J54" s="14">
        <f t="shared" si="11"/>
        <v>1243.1999999999998</v>
      </c>
      <c r="K54" s="24">
        <f t="shared" si="12"/>
        <v>83.046382319819827</v>
      </c>
      <c r="L54" s="24">
        <f t="shared" si="15"/>
        <v>66.437105855855862</v>
      </c>
      <c r="M54" s="24">
        <f t="shared" si="14"/>
        <v>103243.2625</v>
      </c>
    </row>
    <row r="55" spans="6:40" x14ac:dyDescent="0.25">
      <c r="F55" s="13" t="s">
        <v>31</v>
      </c>
      <c r="G55" s="17">
        <f t="shared" si="9"/>
        <v>0.25</v>
      </c>
      <c r="H55" s="14">
        <v>1776</v>
      </c>
      <c r="I55" s="14">
        <f t="shared" si="10"/>
        <v>444</v>
      </c>
      <c r="J55" s="14">
        <f t="shared" si="11"/>
        <v>444</v>
      </c>
      <c r="K55" s="24">
        <f t="shared" si="12"/>
        <v>228.71790540540542</v>
      </c>
      <c r="L55" s="24">
        <f t="shared" si="15"/>
        <v>182.97432432432433</v>
      </c>
      <c r="M55" s="24">
        <f t="shared" si="14"/>
        <v>101550.75</v>
      </c>
    </row>
    <row r="56" spans="6:40" x14ac:dyDescent="0.25">
      <c r="F56" s="13" t="s">
        <v>33</v>
      </c>
      <c r="G56" s="17">
        <f t="shared" si="9"/>
        <v>0.75</v>
      </c>
      <c r="H56" s="14">
        <v>1776</v>
      </c>
      <c r="I56" s="14">
        <f t="shared" si="10"/>
        <v>1332</v>
      </c>
      <c r="J56" s="14">
        <f t="shared" si="11"/>
        <v>2664</v>
      </c>
      <c r="K56" s="24">
        <f t="shared" ref="K56" si="16">L56*1.25</f>
        <v>53.73055555555554</v>
      </c>
      <c r="L56" s="24">
        <f t="shared" si="15"/>
        <v>42.984444444444435</v>
      </c>
      <c r="M56" s="24">
        <f t="shared" si="14"/>
        <v>143138.19999999995</v>
      </c>
      <c r="AF56" s="14"/>
      <c r="AG56" s="59" t="s">
        <v>88</v>
      </c>
      <c r="AH56" s="59" t="s">
        <v>89</v>
      </c>
      <c r="AI56" s="59" t="s">
        <v>90</v>
      </c>
      <c r="AJ56" s="59" t="s">
        <v>91</v>
      </c>
      <c r="AK56" s="59" t="s">
        <v>92</v>
      </c>
      <c r="AL56" s="59" t="s">
        <v>93</v>
      </c>
      <c r="AM56" s="59" t="s">
        <v>94</v>
      </c>
      <c r="AN56" s="59" t="s">
        <v>95</v>
      </c>
    </row>
    <row r="57" spans="6:40" x14ac:dyDescent="0.25">
      <c r="F57" s="16"/>
      <c r="G57" s="14"/>
      <c r="H57" s="14"/>
      <c r="I57" s="14"/>
      <c r="J57" s="14"/>
      <c r="K57" s="14"/>
      <c r="L57" s="14"/>
      <c r="M57" s="14"/>
      <c r="AF57" s="59" t="s">
        <v>58</v>
      </c>
      <c r="AG57" s="14">
        <v>2</v>
      </c>
      <c r="AH57" s="14">
        <v>4</v>
      </c>
      <c r="AI57" s="14">
        <v>5</v>
      </c>
      <c r="AJ57" s="14">
        <v>5</v>
      </c>
      <c r="AK57" s="14"/>
      <c r="AL57" s="14">
        <f>AG57*5+SUM(AH57:AK57)</f>
        <v>24</v>
      </c>
      <c r="AM57" s="32">
        <v>750</v>
      </c>
      <c r="AN57" s="32">
        <f>AL57*AM57</f>
        <v>18000</v>
      </c>
    </row>
    <row r="58" spans="6:40" x14ac:dyDescent="0.25">
      <c r="F58" s="15" t="s">
        <v>36</v>
      </c>
      <c r="G58" s="16"/>
      <c r="H58" s="16"/>
      <c r="I58" s="16"/>
      <c r="J58" s="11">
        <f>SUM(J43:J56)</f>
        <v>22910.399999999998</v>
      </c>
      <c r="K58" s="11"/>
      <c r="L58" s="11"/>
      <c r="M58" s="61">
        <f>SUM(M43:M56)</f>
        <v>1589994.5999999999</v>
      </c>
      <c r="AF58" s="59" t="s">
        <v>96</v>
      </c>
      <c r="AG58" s="14">
        <v>1</v>
      </c>
      <c r="AH58" s="14">
        <v>1</v>
      </c>
      <c r="AI58" s="14">
        <v>1</v>
      </c>
      <c r="AJ58" s="14">
        <v>1</v>
      </c>
      <c r="AK58" s="14"/>
      <c r="AL58" s="14">
        <f t="shared" ref="AL58:AL70" si="17">AG58*5+SUM(AH58:AK58)</f>
        <v>8</v>
      </c>
      <c r="AM58" s="32">
        <v>23</v>
      </c>
      <c r="AN58" s="32">
        <f t="shared" ref="AN58:AN70" si="18">AL58*AM58</f>
        <v>184</v>
      </c>
    </row>
    <row r="59" spans="6:40" x14ac:dyDescent="0.25">
      <c r="AF59" s="59" t="s">
        <v>97</v>
      </c>
      <c r="AG59" s="14">
        <v>1</v>
      </c>
      <c r="AH59" s="14">
        <v>1</v>
      </c>
      <c r="AI59" s="14">
        <v>1</v>
      </c>
      <c r="AJ59" s="14">
        <v>1</v>
      </c>
      <c r="AK59" s="14"/>
      <c r="AL59" s="14">
        <f t="shared" si="17"/>
        <v>8</v>
      </c>
      <c r="AM59" s="32">
        <v>120</v>
      </c>
      <c r="AN59" s="32">
        <f t="shared" si="18"/>
        <v>960</v>
      </c>
    </row>
    <row r="60" spans="6:40" ht="15.75" x14ac:dyDescent="0.25">
      <c r="AF60" s="59" t="s">
        <v>98</v>
      </c>
      <c r="AG60" s="14">
        <f>40*AG61</f>
        <v>200</v>
      </c>
      <c r="AH60" s="14">
        <f>50*AH61</f>
        <v>500</v>
      </c>
      <c r="AI60" s="14">
        <f>AI61*60</f>
        <v>840</v>
      </c>
      <c r="AJ60" s="14">
        <f>AJ61*60</f>
        <v>840</v>
      </c>
      <c r="AK60" s="14"/>
      <c r="AL60" s="14">
        <f t="shared" si="17"/>
        <v>3180</v>
      </c>
      <c r="AM60" s="58">
        <v>0.35</v>
      </c>
      <c r="AN60" s="32">
        <f t="shared" si="18"/>
        <v>1113</v>
      </c>
    </row>
    <row r="61" spans="6:40" x14ac:dyDescent="0.25">
      <c r="AF61" s="59" t="s">
        <v>99</v>
      </c>
      <c r="AG61" s="14">
        <v>5</v>
      </c>
      <c r="AH61" s="14">
        <v>10</v>
      </c>
      <c r="AI61" s="14">
        <v>14</v>
      </c>
      <c r="AJ61" s="14">
        <v>14</v>
      </c>
      <c r="AK61" s="14"/>
      <c r="AL61" s="14">
        <f t="shared" si="17"/>
        <v>63</v>
      </c>
      <c r="AM61" s="32">
        <v>10</v>
      </c>
      <c r="AN61" s="32">
        <f t="shared" si="18"/>
        <v>630</v>
      </c>
    </row>
    <row r="62" spans="6:40" x14ac:dyDescent="0.25">
      <c r="AF62" s="59" t="s">
        <v>100</v>
      </c>
      <c r="AG62" s="14">
        <v>1</v>
      </c>
      <c r="AH62" s="14">
        <v>2</v>
      </c>
      <c r="AI62" s="14">
        <v>2</v>
      </c>
      <c r="AJ62" s="14">
        <v>2</v>
      </c>
      <c r="AK62" s="14"/>
      <c r="AL62" s="14">
        <f t="shared" si="17"/>
        <v>11</v>
      </c>
      <c r="AM62" s="32">
        <v>500</v>
      </c>
      <c r="AN62" s="32">
        <f t="shared" si="18"/>
        <v>5500</v>
      </c>
    </row>
    <row r="63" spans="6:40" x14ac:dyDescent="0.25">
      <c r="R63" s="88" t="s">
        <v>101</v>
      </c>
      <c r="S63" s="89"/>
      <c r="T63" s="89"/>
      <c r="U63" s="89"/>
      <c r="V63" s="89"/>
      <c r="W63" s="89"/>
      <c r="X63" s="89"/>
      <c r="Y63" s="89"/>
      <c r="Z63" s="89"/>
      <c r="AA63" s="90"/>
      <c r="AF63" s="59" t="s">
        <v>102</v>
      </c>
      <c r="AG63" s="14">
        <v>2</v>
      </c>
      <c r="AH63" s="14">
        <v>4</v>
      </c>
      <c r="AI63" s="14">
        <v>5</v>
      </c>
      <c r="AJ63" s="14">
        <v>5</v>
      </c>
      <c r="AK63" s="14"/>
      <c r="AL63" s="14">
        <f t="shared" si="17"/>
        <v>24</v>
      </c>
      <c r="AM63" s="32">
        <v>60</v>
      </c>
      <c r="AN63" s="32">
        <f t="shared" si="18"/>
        <v>1440</v>
      </c>
    </row>
    <row r="64" spans="6:40" x14ac:dyDescent="0.25">
      <c r="R64" s="27" t="s">
        <v>103</v>
      </c>
      <c r="S64" s="27" t="s">
        <v>104</v>
      </c>
      <c r="T64" s="27" t="s">
        <v>105</v>
      </c>
      <c r="U64" s="27" t="s">
        <v>106</v>
      </c>
      <c r="V64" s="27" t="s">
        <v>107</v>
      </c>
      <c r="W64" s="27" t="s">
        <v>44</v>
      </c>
      <c r="X64" s="27" t="s">
        <v>45</v>
      </c>
      <c r="Y64" s="27" t="s">
        <v>108</v>
      </c>
      <c r="Z64" s="27" t="s">
        <v>109</v>
      </c>
      <c r="AA64" s="27" t="s">
        <v>5</v>
      </c>
      <c r="AF64" s="59" t="s">
        <v>110</v>
      </c>
      <c r="AG64" s="14">
        <v>1</v>
      </c>
      <c r="AH64" s="14">
        <v>0</v>
      </c>
      <c r="AI64" s="14">
        <v>0</v>
      </c>
      <c r="AJ64" s="14">
        <v>0</v>
      </c>
      <c r="AK64" s="14"/>
      <c r="AL64" s="14">
        <f t="shared" si="17"/>
        <v>5</v>
      </c>
      <c r="AM64" s="32">
        <v>1500</v>
      </c>
      <c r="AN64" s="32">
        <f t="shared" si="18"/>
        <v>7500</v>
      </c>
    </row>
    <row r="65" spans="18:40" x14ac:dyDescent="0.25">
      <c r="R65" s="25">
        <v>1</v>
      </c>
      <c r="S65" s="25"/>
      <c r="T65" s="25"/>
      <c r="U65" s="11" t="s">
        <v>111</v>
      </c>
      <c r="V65" s="14"/>
      <c r="W65" s="14"/>
      <c r="X65" s="37"/>
      <c r="Y65" s="37"/>
      <c r="Z65" s="37"/>
      <c r="AA65" s="37">
        <f>Z66+Z70+Z75+Z81+Z85+Z88+Z92+Z96</f>
        <v>25197.403710725008</v>
      </c>
      <c r="AF65" s="59" t="s">
        <v>112</v>
      </c>
      <c r="AG65" s="14">
        <v>0</v>
      </c>
      <c r="AH65" s="14">
        <v>1</v>
      </c>
      <c r="AI65" s="14">
        <v>1</v>
      </c>
      <c r="AJ65" s="14">
        <v>0</v>
      </c>
      <c r="AK65" s="14"/>
      <c r="AL65" s="14">
        <f t="shared" si="17"/>
        <v>2</v>
      </c>
      <c r="AM65" s="32">
        <v>6000</v>
      </c>
      <c r="AN65" s="32">
        <f t="shared" si="18"/>
        <v>12000</v>
      </c>
    </row>
    <row r="66" spans="18:40" x14ac:dyDescent="0.25">
      <c r="R66" s="25"/>
      <c r="S66" s="36">
        <v>1</v>
      </c>
      <c r="T66" s="25"/>
      <c r="U66" s="25" t="s">
        <v>113</v>
      </c>
      <c r="V66" s="14"/>
      <c r="W66" s="14"/>
      <c r="X66" s="37"/>
      <c r="Y66" s="37"/>
      <c r="Z66" s="37">
        <f>SUM(Y67:Y69)</f>
        <v>5879.1745045045036</v>
      </c>
      <c r="AA66" s="37"/>
      <c r="AF66" s="59" t="s">
        <v>114</v>
      </c>
      <c r="AG66" s="14"/>
      <c r="AH66" s="14"/>
      <c r="AI66" s="14"/>
      <c r="AJ66" s="14"/>
      <c r="AK66" s="14">
        <v>2</v>
      </c>
      <c r="AL66" s="14">
        <f t="shared" si="17"/>
        <v>2</v>
      </c>
      <c r="AM66" s="32">
        <v>6000</v>
      </c>
      <c r="AN66" s="32">
        <f t="shared" si="18"/>
        <v>12000</v>
      </c>
    </row>
    <row r="67" spans="18:40" x14ac:dyDescent="0.25">
      <c r="R67" s="25"/>
      <c r="S67" s="25"/>
      <c r="T67" s="25">
        <v>1</v>
      </c>
      <c r="U67" s="14" t="s">
        <v>17</v>
      </c>
      <c r="V67" s="14">
        <v>24</v>
      </c>
      <c r="W67" s="14" t="s">
        <v>115</v>
      </c>
      <c r="X67" s="37">
        <f>L47</f>
        <v>51.116636636636628</v>
      </c>
      <c r="Y67" s="37">
        <f>V67*X67</f>
        <v>1226.7992792792791</v>
      </c>
      <c r="Z67" s="37"/>
      <c r="AA67" s="37"/>
      <c r="AF67" s="59" t="s">
        <v>116</v>
      </c>
      <c r="AG67" s="14"/>
      <c r="AH67" s="14"/>
      <c r="AI67" s="14"/>
      <c r="AJ67" s="14"/>
      <c r="AK67" s="14">
        <v>2</v>
      </c>
      <c r="AL67" s="14">
        <f t="shared" si="17"/>
        <v>2</v>
      </c>
      <c r="AM67" s="32">
        <v>2000</v>
      </c>
      <c r="AN67" s="32">
        <f t="shared" si="18"/>
        <v>4000</v>
      </c>
    </row>
    <row r="68" spans="18:40" x14ac:dyDescent="0.25">
      <c r="R68" s="25"/>
      <c r="S68" s="25"/>
      <c r="T68" s="25">
        <v>2</v>
      </c>
      <c r="U68" s="14" t="s">
        <v>117</v>
      </c>
      <c r="V68" s="14">
        <v>1</v>
      </c>
      <c r="W68" s="14"/>
      <c r="X68" s="37">
        <v>200</v>
      </c>
      <c r="Y68" s="37">
        <f>V68*X68</f>
        <v>200</v>
      </c>
      <c r="Z68" s="37"/>
      <c r="AA68" s="37"/>
      <c r="AF68" s="59" t="s">
        <v>118</v>
      </c>
      <c r="AG68" s="14"/>
      <c r="AH68" s="14"/>
      <c r="AI68" s="14"/>
      <c r="AJ68" s="14"/>
      <c r="AK68" s="14">
        <v>1</v>
      </c>
      <c r="AL68" s="14">
        <f t="shared" si="17"/>
        <v>1</v>
      </c>
      <c r="AM68" s="32">
        <v>3000</v>
      </c>
      <c r="AN68" s="32">
        <f t="shared" si="18"/>
        <v>3000</v>
      </c>
    </row>
    <row r="69" spans="18:40" x14ac:dyDescent="0.25">
      <c r="R69" s="25"/>
      <c r="S69" s="25"/>
      <c r="T69" s="25">
        <v>3</v>
      </c>
      <c r="U69" s="14" t="s">
        <v>18</v>
      </c>
      <c r="V69" s="14">
        <v>28</v>
      </c>
      <c r="W69" s="14" t="s">
        <v>115</v>
      </c>
      <c r="X69" s="37">
        <f>L48</f>
        <v>159.01340090090088</v>
      </c>
      <c r="Y69" s="37">
        <f>V69*X69</f>
        <v>4452.3752252252243</v>
      </c>
      <c r="Z69" s="37"/>
      <c r="AA69" s="37"/>
      <c r="AF69" s="59" t="s">
        <v>119</v>
      </c>
      <c r="AG69" s="14">
        <v>1</v>
      </c>
      <c r="AH69" s="14">
        <v>1</v>
      </c>
      <c r="AI69" s="14">
        <v>1</v>
      </c>
      <c r="AJ69" s="14">
        <v>2</v>
      </c>
      <c r="AK69" s="14"/>
      <c r="AL69" s="14">
        <f t="shared" si="17"/>
        <v>9</v>
      </c>
      <c r="AM69" s="32">
        <v>3000</v>
      </c>
      <c r="AN69" s="32">
        <f t="shared" si="18"/>
        <v>27000</v>
      </c>
    </row>
    <row r="70" spans="18:40" x14ac:dyDescent="0.25">
      <c r="R70" s="25"/>
      <c r="S70" s="25">
        <v>2</v>
      </c>
      <c r="T70" s="25"/>
      <c r="U70" s="25" t="s">
        <v>120</v>
      </c>
      <c r="V70" s="14"/>
      <c r="W70" s="14"/>
      <c r="X70" s="37"/>
      <c r="Y70" s="37"/>
      <c r="Z70" s="37">
        <f>SUM(Y71:Y74)</f>
        <v>819.91085165165146</v>
      </c>
      <c r="AA70" s="37"/>
      <c r="AF70" s="59" t="s">
        <v>121</v>
      </c>
      <c r="AG70" s="14">
        <v>1</v>
      </c>
      <c r="AH70" s="14">
        <v>2</v>
      </c>
      <c r="AI70" s="14">
        <v>2</v>
      </c>
      <c r="AJ70" s="14">
        <v>4</v>
      </c>
      <c r="AK70" s="14"/>
      <c r="AL70" s="14">
        <f t="shared" si="17"/>
        <v>13</v>
      </c>
      <c r="AM70" s="32">
        <v>170</v>
      </c>
      <c r="AN70" s="32">
        <f t="shared" si="18"/>
        <v>2210</v>
      </c>
    </row>
    <row r="71" spans="18:40" x14ac:dyDescent="0.25">
      <c r="R71" s="25"/>
      <c r="S71" s="25"/>
      <c r="T71" s="25">
        <v>1</v>
      </c>
      <c r="U71" s="14" t="s">
        <v>14</v>
      </c>
      <c r="V71" s="14">
        <v>4</v>
      </c>
      <c r="W71" s="14" t="s">
        <v>115</v>
      </c>
      <c r="X71" s="37">
        <v>0</v>
      </c>
      <c r="Y71" s="37">
        <f>V71*X71</f>
        <v>0</v>
      </c>
      <c r="Z71" s="37"/>
      <c r="AA71" s="37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8:40" x14ac:dyDescent="0.25">
      <c r="R72" s="25"/>
      <c r="S72" s="25"/>
      <c r="T72" s="25">
        <v>2</v>
      </c>
      <c r="U72" s="14" t="s">
        <v>122</v>
      </c>
      <c r="V72" s="14">
        <v>1</v>
      </c>
      <c r="W72" s="14" t="s">
        <v>123</v>
      </c>
      <c r="X72" s="37">
        <f>L43</f>
        <v>0</v>
      </c>
      <c r="Y72" s="37">
        <f>V72*X72</f>
        <v>0</v>
      </c>
      <c r="Z72" s="37"/>
      <c r="AA72" s="37"/>
      <c r="AF72" s="97" t="s">
        <v>124</v>
      </c>
      <c r="AG72" s="97"/>
      <c r="AH72" s="97"/>
      <c r="AI72" s="97"/>
      <c r="AJ72" s="97"/>
      <c r="AK72" s="97"/>
      <c r="AL72" s="97"/>
      <c r="AM72" s="97"/>
      <c r="AN72" s="35">
        <f>SUM(AN57:AN70)</f>
        <v>95537</v>
      </c>
    </row>
    <row r="73" spans="18:40" x14ac:dyDescent="0.25">
      <c r="R73" s="25"/>
      <c r="S73" s="25"/>
      <c r="T73" s="25">
        <v>3</v>
      </c>
      <c r="U73" s="14" t="s">
        <v>17</v>
      </c>
      <c r="V73" s="14">
        <v>16.04</v>
      </c>
      <c r="W73" s="14" t="s">
        <v>115</v>
      </c>
      <c r="X73" s="37">
        <f>L47</f>
        <v>51.116636636636628</v>
      </c>
      <c r="Y73" s="37">
        <f>V73*X73</f>
        <v>819.91085165165146</v>
      </c>
      <c r="Z73" s="37"/>
      <c r="AA73" s="37"/>
    </row>
    <row r="74" spans="18:40" x14ac:dyDescent="0.25">
      <c r="R74" s="25"/>
      <c r="S74" s="25"/>
      <c r="T74" s="25">
        <v>4</v>
      </c>
      <c r="U74" s="14" t="s">
        <v>12</v>
      </c>
      <c r="V74" s="14">
        <v>8</v>
      </c>
      <c r="W74" s="14" t="s">
        <v>115</v>
      </c>
      <c r="X74" s="37">
        <f>L44</f>
        <v>0</v>
      </c>
      <c r="Y74" s="37">
        <f>V74*X74</f>
        <v>0</v>
      </c>
      <c r="Z74" s="37"/>
      <c r="AA74" s="37"/>
    </row>
    <row r="75" spans="18:40" x14ac:dyDescent="0.25">
      <c r="R75" s="25"/>
      <c r="S75" s="25">
        <v>3</v>
      </c>
      <c r="T75" s="25"/>
      <c r="U75" s="25" t="s">
        <v>125</v>
      </c>
      <c r="V75" s="14"/>
      <c r="W75" s="14"/>
      <c r="X75" s="37"/>
      <c r="Y75" s="37"/>
      <c r="Z75" s="37">
        <f>SUM(Y76:Y80)</f>
        <v>4046.321621621621</v>
      </c>
      <c r="AA75" s="37"/>
    </row>
    <row r="76" spans="18:40" x14ac:dyDescent="0.25">
      <c r="R76" s="25"/>
      <c r="S76" s="25"/>
      <c r="T76" s="25">
        <v>1</v>
      </c>
      <c r="U76" s="14" t="s">
        <v>122</v>
      </c>
      <c r="V76" s="14">
        <v>4</v>
      </c>
      <c r="W76" s="14" t="s">
        <v>115</v>
      </c>
      <c r="X76" s="37">
        <f>L43</f>
        <v>0</v>
      </c>
      <c r="Y76" s="37">
        <f>V76*X76</f>
        <v>0</v>
      </c>
      <c r="Z76" s="37"/>
      <c r="AA76" s="37"/>
      <c r="AF76" s="14"/>
      <c r="AG76" s="59" t="s">
        <v>126</v>
      </c>
      <c r="AH76" s="59" t="s">
        <v>5</v>
      </c>
      <c r="AI76" s="59" t="s">
        <v>45</v>
      </c>
      <c r="AJ76" s="59" t="s">
        <v>95</v>
      </c>
      <c r="AL76" s="59" t="s">
        <v>127</v>
      </c>
      <c r="AM76" s="14">
        <f>9*2+5+4+3*5</f>
        <v>42</v>
      </c>
    </row>
    <row r="77" spans="18:40" x14ac:dyDescent="0.25">
      <c r="R77" s="25"/>
      <c r="S77" s="25"/>
      <c r="T77" s="25">
        <v>2</v>
      </c>
      <c r="U77" s="14" t="s">
        <v>14</v>
      </c>
      <c r="V77" s="14">
        <v>6</v>
      </c>
      <c r="W77" s="14" t="s">
        <v>115</v>
      </c>
      <c r="X77" s="37">
        <f>L45</f>
        <v>0</v>
      </c>
      <c r="Y77" s="37">
        <f>V77*X77</f>
        <v>0</v>
      </c>
      <c r="Z77" s="37"/>
      <c r="AA77" s="37"/>
      <c r="AF77" s="59" t="s">
        <v>128</v>
      </c>
      <c r="AG77" s="14">
        <v>1</v>
      </c>
      <c r="AH77" s="14">
        <f>AG77*$AM$76</f>
        <v>42</v>
      </c>
      <c r="AI77" s="37"/>
      <c r="AJ77" s="37">
        <f>AI77*AH77</f>
        <v>0</v>
      </c>
    </row>
    <row r="78" spans="18:40" x14ac:dyDescent="0.25">
      <c r="R78" s="25"/>
      <c r="S78" s="25"/>
      <c r="T78" s="25">
        <v>3</v>
      </c>
      <c r="U78" s="14" t="s">
        <v>18</v>
      </c>
      <c r="V78" s="14">
        <v>24</v>
      </c>
      <c r="W78" s="14" t="s">
        <v>115</v>
      </c>
      <c r="X78" s="37">
        <f>L48</f>
        <v>159.01340090090088</v>
      </c>
      <c r="Y78" s="37">
        <f>V78*X78</f>
        <v>3816.321621621621</v>
      </c>
      <c r="Z78" s="37"/>
      <c r="AA78" s="37"/>
      <c r="AF78" s="59" t="s">
        <v>129</v>
      </c>
      <c r="AG78" s="14">
        <v>1</v>
      </c>
      <c r="AH78" s="14">
        <f>AG78*$AM$76</f>
        <v>42</v>
      </c>
      <c r="AI78" s="37">
        <v>220</v>
      </c>
      <c r="AJ78" s="37">
        <f t="shared" ref="AJ78:AJ80" si="19">AI78*AH78</f>
        <v>9240</v>
      </c>
    </row>
    <row r="79" spans="18:40" x14ac:dyDescent="0.25">
      <c r="R79" s="25"/>
      <c r="S79" s="25"/>
      <c r="T79" s="25">
        <v>4</v>
      </c>
      <c r="U79" s="14" t="s">
        <v>117</v>
      </c>
      <c r="V79" s="14">
        <v>1</v>
      </c>
      <c r="W79" s="14"/>
      <c r="X79" s="37">
        <v>230</v>
      </c>
      <c r="Y79" s="37">
        <f>V79*X79</f>
        <v>230</v>
      </c>
      <c r="Z79" s="37"/>
      <c r="AA79" s="37"/>
      <c r="AF79" s="59" t="s">
        <v>130</v>
      </c>
      <c r="AG79" s="14">
        <v>1</v>
      </c>
      <c r="AH79" s="14">
        <f>AG79*$AM$76</f>
        <v>42</v>
      </c>
      <c r="AI79" s="37"/>
      <c r="AJ79" s="37">
        <f t="shared" si="19"/>
        <v>0</v>
      </c>
    </row>
    <row r="80" spans="18:40" x14ac:dyDescent="0.25">
      <c r="R80" s="25"/>
      <c r="S80" s="25"/>
      <c r="T80" s="25">
        <v>5</v>
      </c>
      <c r="U80" s="14" t="s">
        <v>12</v>
      </c>
      <c r="V80" s="14">
        <v>15</v>
      </c>
      <c r="W80" s="14" t="s">
        <v>115</v>
      </c>
      <c r="X80" s="37">
        <f>L44</f>
        <v>0</v>
      </c>
      <c r="Y80" s="37">
        <f>V80*X80</f>
        <v>0</v>
      </c>
      <c r="Z80" s="37"/>
      <c r="AA80" s="37"/>
      <c r="AF80" s="59" t="s">
        <v>131</v>
      </c>
      <c r="AG80" s="14">
        <v>1</v>
      </c>
      <c r="AH80" s="14">
        <f>AG80*$AM$76</f>
        <v>42</v>
      </c>
      <c r="AI80" s="37">
        <f>AM70</f>
        <v>170</v>
      </c>
      <c r="AJ80" s="37">
        <f t="shared" si="19"/>
        <v>7140</v>
      </c>
    </row>
    <row r="81" spans="18:39" x14ac:dyDescent="0.25">
      <c r="R81" s="25"/>
      <c r="S81" s="25">
        <v>4</v>
      </c>
      <c r="T81" s="25"/>
      <c r="U81" s="25" t="s">
        <v>132</v>
      </c>
      <c r="V81" s="14"/>
      <c r="W81" s="14"/>
      <c r="X81" s="37"/>
      <c r="Y81" s="37"/>
      <c r="Z81" s="37">
        <f>SUM(Y82:Y84)</f>
        <v>3021.2546171171166</v>
      </c>
      <c r="AA81" s="37"/>
      <c r="AF81" s="14"/>
      <c r="AG81" s="14"/>
      <c r="AH81" s="14"/>
      <c r="AI81" s="37"/>
      <c r="AJ81" s="37"/>
    </row>
    <row r="82" spans="18:39" x14ac:dyDescent="0.25">
      <c r="R82" s="25"/>
      <c r="S82" s="25"/>
      <c r="T82" s="25">
        <v>1</v>
      </c>
      <c r="U82" s="14" t="s">
        <v>14</v>
      </c>
      <c r="V82" s="14">
        <v>3</v>
      </c>
      <c r="W82" s="14" t="s">
        <v>115</v>
      </c>
      <c r="X82" s="37">
        <f>L45</f>
        <v>0</v>
      </c>
      <c r="Y82" s="37">
        <f>V82*X82</f>
        <v>0</v>
      </c>
      <c r="Z82" s="37"/>
      <c r="AA82" s="37"/>
      <c r="AF82" s="97" t="s">
        <v>133</v>
      </c>
      <c r="AG82" s="97"/>
      <c r="AH82" s="97"/>
      <c r="AI82" s="97"/>
      <c r="AJ82" s="60">
        <f>SUM(AJ77:AJ80)</f>
        <v>16380</v>
      </c>
    </row>
    <row r="83" spans="18:39" x14ac:dyDescent="0.25">
      <c r="R83" s="25"/>
      <c r="S83" s="25"/>
      <c r="T83" s="25">
        <v>2</v>
      </c>
      <c r="U83" s="14" t="s">
        <v>12</v>
      </c>
      <c r="V83" s="14">
        <v>10</v>
      </c>
      <c r="W83" s="14" t="s">
        <v>115</v>
      </c>
      <c r="X83" s="37">
        <f>L44</f>
        <v>0</v>
      </c>
      <c r="Y83" s="37">
        <f>V83*X83</f>
        <v>0</v>
      </c>
      <c r="Z83" s="37"/>
      <c r="AA83" s="37"/>
    </row>
    <row r="84" spans="18:39" x14ac:dyDescent="0.25">
      <c r="R84" s="25"/>
      <c r="S84" s="25"/>
      <c r="T84" s="25">
        <v>3</v>
      </c>
      <c r="U84" s="14" t="s">
        <v>18</v>
      </c>
      <c r="V84" s="14">
        <v>19</v>
      </c>
      <c r="W84" s="14" t="s">
        <v>115</v>
      </c>
      <c r="X84" s="37">
        <f>L48</f>
        <v>159.01340090090088</v>
      </c>
      <c r="Y84" s="37">
        <f>V84*X84</f>
        <v>3021.2546171171166</v>
      </c>
      <c r="Z84" s="37"/>
      <c r="AA84" s="37"/>
      <c r="AF84" s="14"/>
      <c r="AG84" s="59" t="s">
        <v>44</v>
      </c>
      <c r="AH84" s="59" t="s">
        <v>94</v>
      </c>
      <c r="AI84" s="59" t="s">
        <v>95</v>
      </c>
      <c r="AL84" s="59" t="s">
        <v>134</v>
      </c>
      <c r="AM84" s="35">
        <f>AN72+AJ82+AI89</f>
        <v>118509</v>
      </c>
    </row>
    <row r="85" spans="18:39" x14ac:dyDescent="0.25">
      <c r="R85" s="25"/>
      <c r="S85" s="25">
        <v>5</v>
      </c>
      <c r="T85" s="25"/>
      <c r="U85" s="25" t="s">
        <v>135</v>
      </c>
      <c r="V85" s="14"/>
      <c r="W85" s="14"/>
      <c r="X85" s="37"/>
      <c r="Y85" s="37"/>
      <c r="Z85" s="37">
        <f>SUM(Y86:Y87)</f>
        <v>0</v>
      </c>
      <c r="AA85" s="37"/>
      <c r="AF85" s="59" t="s">
        <v>136</v>
      </c>
      <c r="AG85" s="14">
        <v>1</v>
      </c>
      <c r="AH85" s="32">
        <f>6570*0.6</f>
        <v>3942</v>
      </c>
      <c r="AI85" s="32">
        <f>AH85*AG85</f>
        <v>3942</v>
      </c>
    </row>
    <row r="86" spans="18:39" x14ac:dyDescent="0.25">
      <c r="R86" s="25"/>
      <c r="S86" s="25"/>
      <c r="T86" s="25">
        <v>1</v>
      </c>
      <c r="U86" s="14" t="s">
        <v>14</v>
      </c>
      <c r="V86" s="14">
        <v>4</v>
      </c>
      <c r="W86" s="14" t="s">
        <v>115</v>
      </c>
      <c r="X86" s="37">
        <f>L45</f>
        <v>0</v>
      </c>
      <c r="Y86" s="37">
        <f>V86*X86</f>
        <v>0</v>
      </c>
      <c r="Z86" s="37"/>
      <c r="AA86" s="37"/>
      <c r="AF86" s="59" t="s">
        <v>137</v>
      </c>
      <c r="AG86" s="14">
        <v>10000</v>
      </c>
      <c r="AH86" s="32">
        <v>0.1</v>
      </c>
      <c r="AI86" s="32">
        <f t="shared" ref="AI86:AI87" si="20">AH86*AG86</f>
        <v>1000</v>
      </c>
    </row>
    <row r="87" spans="18:39" x14ac:dyDescent="0.25">
      <c r="R87" s="25"/>
      <c r="S87" s="25"/>
      <c r="T87" s="25">
        <v>2</v>
      </c>
      <c r="U87" s="14" t="s">
        <v>12</v>
      </c>
      <c r="V87" s="14">
        <v>10</v>
      </c>
      <c r="W87" s="14" t="s">
        <v>115</v>
      </c>
      <c r="X87" s="37">
        <f>L44</f>
        <v>0</v>
      </c>
      <c r="Y87" s="37">
        <f>V87*X87</f>
        <v>0</v>
      </c>
      <c r="Z87" s="37"/>
      <c r="AA87" s="37"/>
      <c r="AF87" s="59" t="s">
        <v>138</v>
      </c>
      <c r="AG87" s="14">
        <v>2</v>
      </c>
      <c r="AH87" s="32">
        <v>825</v>
      </c>
      <c r="AI87" s="32">
        <f t="shared" si="20"/>
        <v>1650</v>
      </c>
    </row>
    <row r="88" spans="18:39" x14ac:dyDescent="0.25">
      <c r="R88" s="25"/>
      <c r="S88" s="25">
        <v>6</v>
      </c>
      <c r="T88" s="25"/>
      <c r="U88" s="25" t="s">
        <v>139</v>
      </c>
      <c r="V88" s="14"/>
      <c r="W88" s="14"/>
      <c r="X88" s="37"/>
      <c r="Y88" s="37"/>
      <c r="Z88" s="37">
        <f>SUM(Y89:Y91)</f>
        <v>3661.975933075933</v>
      </c>
      <c r="AA88" s="37"/>
      <c r="AF88" s="14"/>
      <c r="AG88" s="14"/>
      <c r="AH88" s="14"/>
      <c r="AI88" s="14"/>
    </row>
    <row r="89" spans="18:39" x14ac:dyDescent="0.25">
      <c r="R89" s="25"/>
      <c r="S89" s="25"/>
      <c r="T89" s="25">
        <v>1</v>
      </c>
      <c r="U89" s="14" t="s">
        <v>18</v>
      </c>
      <c r="V89" s="14">
        <v>8</v>
      </c>
      <c r="W89" s="14" t="s">
        <v>115</v>
      </c>
      <c r="X89" s="37">
        <f>L48</f>
        <v>159.01340090090088</v>
      </c>
      <c r="Y89" s="37">
        <f>V89*X89</f>
        <v>1272.107207207207</v>
      </c>
      <c r="Z89" s="37"/>
      <c r="AA89" s="37"/>
      <c r="AF89" s="97" t="s">
        <v>140</v>
      </c>
      <c r="AG89" s="97"/>
      <c r="AH89" s="97"/>
      <c r="AI89" s="35">
        <f>SUM(AI85:AI87)</f>
        <v>6592</v>
      </c>
    </row>
    <row r="90" spans="18:39" x14ac:dyDescent="0.25">
      <c r="R90" s="25"/>
      <c r="S90" s="25"/>
      <c r="T90" s="25">
        <v>2</v>
      </c>
      <c r="U90" s="14" t="s">
        <v>141</v>
      </c>
      <c r="V90" s="14">
        <v>24</v>
      </c>
      <c r="W90" s="14" t="s">
        <v>115</v>
      </c>
      <c r="X90" s="37">
        <f>L49</f>
        <v>49.788931788931791</v>
      </c>
      <c r="Y90" s="37">
        <f>V90*X90</f>
        <v>1194.934362934363</v>
      </c>
      <c r="Z90" s="37"/>
      <c r="AA90" s="37"/>
    </row>
    <row r="91" spans="18:39" x14ac:dyDescent="0.25">
      <c r="R91" s="25"/>
      <c r="S91" s="25"/>
      <c r="T91" s="25">
        <v>3</v>
      </c>
      <c r="U91" s="14" t="s">
        <v>142</v>
      </c>
      <c r="V91" s="14">
        <v>24</v>
      </c>
      <c r="W91" s="14" t="s">
        <v>115</v>
      </c>
      <c r="X91" s="37">
        <f>L49</f>
        <v>49.788931788931791</v>
      </c>
      <c r="Y91" s="37">
        <f>V91*X91</f>
        <v>1194.934362934363</v>
      </c>
      <c r="Z91" s="37"/>
      <c r="AA91" s="37"/>
    </row>
    <row r="92" spans="18:39" x14ac:dyDescent="0.25">
      <c r="R92" s="25"/>
      <c r="S92" s="25">
        <v>7</v>
      </c>
      <c r="T92" s="25"/>
      <c r="U92" s="25" t="s">
        <v>143</v>
      </c>
      <c r="V92" s="14"/>
      <c r="W92" s="14"/>
      <c r="X92" s="37"/>
      <c r="Y92" s="37"/>
      <c r="Z92" s="37">
        <f>SUM(Y93:Y95)</f>
        <v>4781.4302754182754</v>
      </c>
      <c r="AA92" s="37"/>
    </row>
    <row r="93" spans="18:39" x14ac:dyDescent="0.25">
      <c r="R93" s="25"/>
      <c r="S93" s="25"/>
      <c r="T93" s="25">
        <v>1</v>
      </c>
      <c r="U93" s="14" t="s">
        <v>18</v>
      </c>
      <c r="V93" s="14">
        <v>15.04</v>
      </c>
      <c r="W93" s="14" t="s">
        <v>115</v>
      </c>
      <c r="X93" s="37">
        <f>L48</f>
        <v>159.01340090090088</v>
      </c>
      <c r="Y93" s="37">
        <f>V93*X93</f>
        <v>2391.561549549549</v>
      </c>
      <c r="Z93" s="37"/>
      <c r="AA93" s="37"/>
    </row>
    <row r="94" spans="18:39" x14ac:dyDescent="0.25">
      <c r="R94" s="25"/>
      <c r="S94" s="25"/>
      <c r="T94" s="25">
        <v>2</v>
      </c>
      <c r="U94" s="14" t="s">
        <v>141</v>
      </c>
      <c r="V94" s="14">
        <v>24</v>
      </c>
      <c r="W94" s="14" t="s">
        <v>115</v>
      </c>
      <c r="X94" s="37">
        <f>L49</f>
        <v>49.788931788931791</v>
      </c>
      <c r="Y94" s="37">
        <f>V94*X94</f>
        <v>1194.934362934363</v>
      </c>
      <c r="Z94" s="37"/>
      <c r="AA94" s="37"/>
    </row>
    <row r="95" spans="18:39" x14ac:dyDescent="0.25">
      <c r="R95" s="25"/>
      <c r="S95" s="25"/>
      <c r="T95" s="25">
        <v>3</v>
      </c>
      <c r="U95" s="14" t="s">
        <v>142</v>
      </c>
      <c r="V95" s="14">
        <v>24</v>
      </c>
      <c r="W95" s="14" t="s">
        <v>115</v>
      </c>
      <c r="X95" s="37">
        <f>L49</f>
        <v>49.788931788931791</v>
      </c>
      <c r="Y95" s="37">
        <f>V95*X95</f>
        <v>1194.934362934363</v>
      </c>
      <c r="Z95" s="37"/>
      <c r="AA95" s="37"/>
      <c r="AD95" s="25"/>
    </row>
    <row r="96" spans="18:39" x14ac:dyDescent="0.25">
      <c r="R96" s="25"/>
      <c r="S96" s="25">
        <v>8</v>
      </c>
      <c r="T96" s="25"/>
      <c r="U96" s="25" t="s">
        <v>144</v>
      </c>
      <c r="V96" s="14"/>
      <c r="W96" s="14"/>
      <c r="X96" s="37"/>
      <c r="Y96" s="37"/>
      <c r="Z96" s="37">
        <f>SUM(Y97:Y98)</f>
        <v>2987.3359073359075</v>
      </c>
      <c r="AA96" s="37"/>
    </row>
    <row r="97" spans="16:29" x14ac:dyDescent="0.25">
      <c r="R97" s="25"/>
      <c r="S97" s="25"/>
      <c r="T97" s="25">
        <v>1</v>
      </c>
      <c r="U97" s="14" t="s">
        <v>141</v>
      </c>
      <c r="V97" s="14">
        <v>30</v>
      </c>
      <c r="W97" s="14" t="s">
        <v>115</v>
      </c>
      <c r="X97" s="37">
        <f>L49</f>
        <v>49.788931788931791</v>
      </c>
      <c r="Y97" s="37">
        <f>V97*X97</f>
        <v>1493.6679536679537</v>
      </c>
      <c r="Z97" s="37"/>
      <c r="AA97" s="37"/>
    </row>
    <row r="98" spans="16:29" x14ac:dyDescent="0.25">
      <c r="R98" s="25"/>
      <c r="S98" s="25"/>
      <c r="T98" s="25">
        <v>2</v>
      </c>
      <c r="U98" s="14" t="s">
        <v>142</v>
      </c>
      <c r="V98" s="14">
        <v>30</v>
      </c>
      <c r="W98" s="14" t="s">
        <v>115</v>
      </c>
      <c r="X98" s="37">
        <f>L49</f>
        <v>49.788931788931791</v>
      </c>
      <c r="Y98" s="37">
        <f>V98*X98</f>
        <v>1493.6679536679537</v>
      </c>
      <c r="Z98" s="37"/>
      <c r="AA98" s="37"/>
    </row>
    <row r="99" spans="16:29" x14ac:dyDescent="0.25">
      <c r="R99" s="25">
        <v>2</v>
      </c>
      <c r="S99" s="25"/>
      <c r="T99" s="25"/>
      <c r="U99" s="11" t="s">
        <v>145</v>
      </c>
      <c r="V99" s="14"/>
      <c r="W99" s="14"/>
      <c r="X99" s="37"/>
      <c r="Y99" s="37"/>
      <c r="Z99" s="37"/>
      <c r="AA99" s="37">
        <f>SUM(X100:X102)</f>
        <v>118509</v>
      </c>
    </row>
    <row r="100" spans="16:29" x14ac:dyDescent="0.25">
      <c r="R100" s="25"/>
      <c r="S100" s="25">
        <v>1</v>
      </c>
      <c r="T100" s="25"/>
      <c r="U100" s="14" t="s">
        <v>146</v>
      </c>
      <c r="V100" s="14"/>
      <c r="W100" s="14"/>
      <c r="X100" s="37">
        <f>AN72</f>
        <v>95537</v>
      </c>
      <c r="Y100" s="37"/>
      <c r="Z100" s="37"/>
      <c r="AA100" s="37"/>
    </row>
    <row r="101" spans="16:29" x14ac:dyDescent="0.25">
      <c r="R101" s="25"/>
      <c r="S101" s="25">
        <v>2</v>
      </c>
      <c r="T101" s="25"/>
      <c r="U101" s="14" t="s">
        <v>147</v>
      </c>
      <c r="V101" s="14"/>
      <c r="W101" s="14"/>
      <c r="X101" s="37">
        <f>AJ82</f>
        <v>16380</v>
      </c>
      <c r="Y101" s="37"/>
      <c r="Z101" s="37"/>
      <c r="AA101" s="37"/>
    </row>
    <row r="102" spans="16:29" x14ac:dyDescent="0.25">
      <c r="R102" s="25"/>
      <c r="S102" s="25">
        <v>3</v>
      </c>
      <c r="T102" s="25"/>
      <c r="U102" s="14" t="s">
        <v>148</v>
      </c>
      <c r="V102" s="14"/>
      <c r="W102" s="14"/>
      <c r="X102" s="37">
        <f>AI89</f>
        <v>6592</v>
      </c>
      <c r="Y102" s="37"/>
      <c r="Z102" s="37"/>
      <c r="AA102" s="37"/>
    </row>
    <row r="103" spans="16:29" x14ac:dyDescent="0.25">
      <c r="R103" s="25">
        <v>3</v>
      </c>
      <c r="S103" s="25"/>
      <c r="T103" s="25"/>
      <c r="U103" s="11" t="s">
        <v>149</v>
      </c>
      <c r="V103" s="14">
        <v>1</v>
      </c>
      <c r="W103" s="14"/>
      <c r="X103" s="37">
        <f>AA99*0.2</f>
        <v>23701.800000000003</v>
      </c>
      <c r="Y103" s="37"/>
      <c r="Z103" s="37"/>
      <c r="AA103" s="37">
        <f>X103</f>
        <v>23701.800000000003</v>
      </c>
    </row>
    <row r="104" spans="16:29" x14ac:dyDescent="0.25">
      <c r="R104" s="63"/>
      <c r="S104" s="63"/>
      <c r="T104" s="63"/>
      <c r="X104" s="64"/>
      <c r="Y104" s="64"/>
      <c r="Z104" s="64"/>
      <c r="AA104" s="64"/>
    </row>
    <row r="107" spans="16:29" x14ac:dyDescent="0.25">
      <c r="P107" s="86" t="s">
        <v>150</v>
      </c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</row>
    <row r="108" spans="16:29" x14ac:dyDescent="0.25">
      <c r="P108" s="50" t="s">
        <v>103</v>
      </c>
      <c r="Q108" s="50" t="s">
        <v>104</v>
      </c>
      <c r="R108" s="51" t="s">
        <v>105</v>
      </c>
      <c r="S108" s="51" t="s">
        <v>151</v>
      </c>
      <c r="T108" s="51" t="s">
        <v>152</v>
      </c>
      <c r="U108" s="51" t="s">
        <v>106</v>
      </c>
      <c r="V108" s="51" t="s">
        <v>107</v>
      </c>
      <c r="W108" s="51" t="s">
        <v>44</v>
      </c>
      <c r="X108" s="51" t="s">
        <v>45</v>
      </c>
      <c r="Y108" s="52" t="s">
        <v>153</v>
      </c>
      <c r="Z108" s="52" t="s">
        <v>154</v>
      </c>
      <c r="AA108" s="51" t="s">
        <v>108</v>
      </c>
      <c r="AB108" s="51" t="s">
        <v>109</v>
      </c>
      <c r="AC108" s="51" t="s">
        <v>5</v>
      </c>
    </row>
    <row r="109" spans="16:29" x14ac:dyDescent="0.25">
      <c r="P109" s="14">
        <v>1</v>
      </c>
      <c r="Q109" s="14"/>
      <c r="R109" s="14"/>
      <c r="S109" s="14"/>
      <c r="T109" s="14"/>
      <c r="U109" s="11" t="s">
        <v>155</v>
      </c>
      <c r="V109" s="14"/>
      <c r="W109" s="14"/>
      <c r="X109" s="48"/>
      <c r="Y109" s="14"/>
      <c r="Z109" s="14"/>
      <c r="AA109" s="49"/>
      <c r="AB109" s="32"/>
      <c r="AC109" s="32">
        <f>SUM(AB110:AB167)</f>
        <v>54354.13751987282</v>
      </c>
    </row>
    <row r="110" spans="16:29" x14ac:dyDescent="0.25">
      <c r="P110" s="14"/>
      <c r="Q110" s="14">
        <v>1</v>
      </c>
      <c r="R110" s="14"/>
      <c r="S110" s="14"/>
      <c r="T110" s="14"/>
      <c r="U110" s="25" t="s">
        <v>156</v>
      </c>
      <c r="V110" s="14"/>
      <c r="W110" s="14"/>
      <c r="X110" s="48"/>
      <c r="Y110" s="14"/>
      <c r="Z110" s="14"/>
      <c r="AA110" s="49"/>
      <c r="AB110" s="32">
        <f>AA111+AA112</f>
        <v>5381.5977742448331</v>
      </c>
      <c r="AC110" s="32"/>
    </row>
    <row r="111" spans="16:29" x14ac:dyDescent="0.25">
      <c r="P111" s="14"/>
      <c r="Q111" s="14"/>
      <c r="R111" s="14">
        <v>1</v>
      </c>
      <c r="S111" s="14"/>
      <c r="T111" s="14"/>
      <c r="U111" s="14" t="s">
        <v>157</v>
      </c>
      <c r="V111" s="14">
        <v>72</v>
      </c>
      <c r="W111" s="14" t="s">
        <v>115</v>
      </c>
      <c r="X111" s="48">
        <f>L53</f>
        <v>44.846648118706945</v>
      </c>
      <c r="Y111" s="14"/>
      <c r="Z111" s="14"/>
      <c r="AA111" s="49">
        <f>V111*X111</f>
        <v>3228.9586645468999</v>
      </c>
      <c r="AB111" s="32"/>
      <c r="AC111" s="32"/>
    </row>
    <row r="112" spans="16:29" x14ac:dyDescent="0.25">
      <c r="P112" s="14"/>
      <c r="Q112" s="14"/>
      <c r="R112" s="14">
        <v>2</v>
      </c>
      <c r="S112" s="14"/>
      <c r="T112" s="14"/>
      <c r="U112" s="14" t="s">
        <v>158</v>
      </c>
      <c r="V112" s="14">
        <v>48</v>
      </c>
      <c r="W112" s="14" t="s">
        <v>115</v>
      </c>
      <c r="X112" s="48">
        <f>L53</f>
        <v>44.846648118706945</v>
      </c>
      <c r="Y112" s="14"/>
      <c r="Z112" s="14"/>
      <c r="AA112" s="49">
        <f>V112*X112</f>
        <v>2152.6391096979332</v>
      </c>
      <c r="AB112" s="32"/>
      <c r="AC112" s="32"/>
    </row>
    <row r="113" spans="16:29" x14ac:dyDescent="0.25">
      <c r="P113" s="14"/>
      <c r="Q113" s="14">
        <v>2</v>
      </c>
      <c r="R113" s="14"/>
      <c r="S113" s="14"/>
      <c r="T113" s="14"/>
      <c r="U113" s="25" t="s">
        <v>159</v>
      </c>
      <c r="V113" s="14"/>
      <c r="W113" s="14"/>
      <c r="X113" s="48"/>
      <c r="Y113" s="14"/>
      <c r="Z113" s="14"/>
      <c r="AA113" s="49"/>
      <c r="AB113" s="32">
        <f>AA114+AA115</f>
        <v>1793.8659247482778</v>
      </c>
      <c r="AC113" s="32"/>
    </row>
    <row r="114" spans="16:29" x14ac:dyDescent="0.25">
      <c r="P114" s="14"/>
      <c r="Q114" s="14"/>
      <c r="R114" s="14">
        <v>1</v>
      </c>
      <c r="S114" s="14"/>
      <c r="T114" s="14"/>
      <c r="U114" s="14" t="s">
        <v>157</v>
      </c>
      <c r="V114" s="14">
        <v>32</v>
      </c>
      <c r="W114" s="14" t="s">
        <v>115</v>
      </c>
      <c r="X114" s="48">
        <f>L53</f>
        <v>44.846648118706945</v>
      </c>
      <c r="Y114" s="14"/>
      <c r="Z114" s="14"/>
      <c r="AA114" s="49">
        <f>V114*X114</f>
        <v>1435.0927397986222</v>
      </c>
      <c r="AB114" s="32"/>
      <c r="AC114" s="32"/>
    </row>
    <row r="115" spans="16:29" x14ac:dyDescent="0.25">
      <c r="P115" s="14"/>
      <c r="Q115" s="14"/>
      <c r="R115" s="14">
        <v>2</v>
      </c>
      <c r="S115" s="14"/>
      <c r="T115" s="14"/>
      <c r="U115" s="14" t="s">
        <v>158</v>
      </c>
      <c r="V115" s="14">
        <v>8</v>
      </c>
      <c r="W115" s="14" t="s">
        <v>115</v>
      </c>
      <c r="X115" s="48">
        <f>L53</f>
        <v>44.846648118706945</v>
      </c>
      <c r="Y115" s="14"/>
      <c r="Z115" s="14"/>
      <c r="AA115" s="49">
        <f>V115*X115</f>
        <v>358.77318494965556</v>
      </c>
      <c r="AB115" s="32"/>
      <c r="AC115" s="32"/>
    </row>
    <row r="116" spans="16:29" x14ac:dyDescent="0.25">
      <c r="P116" s="14"/>
      <c r="Q116" s="14">
        <v>3</v>
      </c>
      <c r="R116" s="14"/>
      <c r="S116" s="14"/>
      <c r="T116" s="14"/>
      <c r="U116" s="25" t="s">
        <v>160</v>
      </c>
      <c r="V116" s="14"/>
      <c r="W116" s="14"/>
      <c r="X116" s="48"/>
      <c r="Y116" s="14"/>
      <c r="Z116" s="14"/>
      <c r="AA116" s="49"/>
      <c r="AB116" s="32">
        <f>AA117+AA118</f>
        <v>2152.6391096979332</v>
      </c>
      <c r="AC116" s="32"/>
    </row>
    <row r="117" spans="16:29" x14ac:dyDescent="0.25">
      <c r="P117" s="14"/>
      <c r="Q117" s="14"/>
      <c r="R117" s="14">
        <v>1</v>
      </c>
      <c r="S117" s="14"/>
      <c r="T117" s="14"/>
      <c r="U117" s="14" t="s">
        <v>157</v>
      </c>
      <c r="V117" s="14">
        <v>16</v>
      </c>
      <c r="W117" s="14" t="s">
        <v>115</v>
      </c>
      <c r="X117" s="48">
        <f>L53</f>
        <v>44.846648118706945</v>
      </c>
      <c r="Y117" s="14"/>
      <c r="Z117" s="14"/>
      <c r="AA117" s="49">
        <f>V117*X117</f>
        <v>717.54636989931112</v>
      </c>
      <c r="AB117" s="32"/>
      <c r="AC117" s="32"/>
    </row>
    <row r="118" spans="16:29" x14ac:dyDescent="0.25">
      <c r="P118" s="14"/>
      <c r="Q118" s="14"/>
      <c r="R118" s="14">
        <v>2</v>
      </c>
      <c r="S118" s="14"/>
      <c r="T118" s="14"/>
      <c r="U118" s="14" t="s">
        <v>158</v>
      </c>
      <c r="V118" s="14">
        <v>32</v>
      </c>
      <c r="W118" s="14" t="s">
        <v>115</v>
      </c>
      <c r="X118" s="48">
        <f>L53</f>
        <v>44.846648118706945</v>
      </c>
      <c r="Y118" s="14"/>
      <c r="Z118" s="14"/>
      <c r="AA118" s="49">
        <f>V118*X118</f>
        <v>1435.0927397986222</v>
      </c>
      <c r="AB118" s="32"/>
      <c r="AC118" s="32"/>
    </row>
    <row r="119" spans="16:29" x14ac:dyDescent="0.25">
      <c r="P119" s="14"/>
      <c r="Q119" s="14">
        <v>4</v>
      </c>
      <c r="R119" s="14"/>
      <c r="S119" s="14"/>
      <c r="T119" s="14"/>
      <c r="U119" s="25" t="s">
        <v>161</v>
      </c>
      <c r="V119" s="14"/>
      <c r="W119" s="14"/>
      <c r="X119" s="48"/>
      <c r="Y119" s="14"/>
      <c r="Z119" s="14"/>
      <c r="AA119" s="49"/>
      <c r="AB119" s="32">
        <f>AA120+AA121</f>
        <v>1614.4793322734502</v>
      </c>
      <c r="AC119" s="32"/>
    </row>
    <row r="120" spans="16:29" x14ac:dyDescent="0.25">
      <c r="P120" s="14"/>
      <c r="Q120" s="14"/>
      <c r="R120" s="14">
        <v>1</v>
      </c>
      <c r="S120" s="14"/>
      <c r="T120" s="14"/>
      <c r="U120" s="14" t="s">
        <v>157</v>
      </c>
      <c r="V120" s="14">
        <v>28</v>
      </c>
      <c r="W120" s="14" t="s">
        <v>115</v>
      </c>
      <c r="X120" s="48">
        <f>L53</f>
        <v>44.846648118706945</v>
      </c>
      <c r="Y120" s="14"/>
      <c r="Z120" s="14"/>
      <c r="AA120" s="49">
        <f>V120*X120</f>
        <v>1255.7061473237945</v>
      </c>
      <c r="AB120" s="32"/>
      <c r="AC120" s="32"/>
    </row>
    <row r="121" spans="16:29" x14ac:dyDescent="0.25">
      <c r="P121" s="14"/>
      <c r="Q121" s="14"/>
      <c r="R121" s="14">
        <v>2</v>
      </c>
      <c r="S121" s="14"/>
      <c r="T121" s="14"/>
      <c r="U121" s="14" t="s">
        <v>158</v>
      </c>
      <c r="V121" s="14">
        <v>8</v>
      </c>
      <c r="W121" s="14" t="s">
        <v>115</v>
      </c>
      <c r="X121" s="48">
        <f>L53</f>
        <v>44.846648118706945</v>
      </c>
      <c r="Y121" s="14"/>
      <c r="Z121" s="14"/>
      <c r="AA121" s="49">
        <f>V121*X121</f>
        <v>358.77318494965556</v>
      </c>
      <c r="AB121" s="32"/>
      <c r="AC121" s="32"/>
    </row>
    <row r="122" spans="16:29" x14ac:dyDescent="0.25">
      <c r="P122" s="14"/>
      <c r="Q122" s="14">
        <v>5</v>
      </c>
      <c r="R122" s="14"/>
      <c r="S122" s="14"/>
      <c r="T122" s="14"/>
      <c r="U122" s="25" t="s">
        <v>162</v>
      </c>
      <c r="V122" s="14"/>
      <c r="W122" s="14"/>
      <c r="X122" s="48"/>
      <c r="Y122" s="14"/>
      <c r="Z122" s="14"/>
      <c r="AA122" s="49"/>
      <c r="AB122" s="32">
        <f>SUM(AA123:AA128)</f>
        <v>5740.3709591944889</v>
      </c>
      <c r="AC122" s="32"/>
    </row>
    <row r="123" spans="16:29" x14ac:dyDescent="0.25">
      <c r="P123" s="14"/>
      <c r="Q123" s="14"/>
      <c r="R123" s="14">
        <v>1</v>
      </c>
      <c r="S123" s="14"/>
      <c r="T123" s="14"/>
      <c r="U123" s="14" t="s">
        <v>163</v>
      </c>
      <c r="V123" s="14"/>
      <c r="W123" s="14"/>
      <c r="X123" s="48"/>
      <c r="Y123" s="14"/>
      <c r="Z123" s="14"/>
      <c r="AA123" s="49">
        <f>Z124</f>
        <v>2152.6391096979332</v>
      </c>
      <c r="AB123" s="32"/>
      <c r="AC123" s="32"/>
    </row>
    <row r="124" spans="16:29" x14ac:dyDescent="0.25">
      <c r="P124" s="14"/>
      <c r="Q124" s="14"/>
      <c r="R124" s="14"/>
      <c r="S124" s="14">
        <v>1</v>
      </c>
      <c r="T124" s="14"/>
      <c r="U124" s="14" t="s">
        <v>164</v>
      </c>
      <c r="V124" s="14">
        <v>48</v>
      </c>
      <c r="W124" s="14" t="s">
        <v>115</v>
      </c>
      <c r="X124" s="48">
        <f>L53</f>
        <v>44.846648118706945</v>
      </c>
      <c r="Y124" s="14"/>
      <c r="Z124" s="49">
        <f>V124*X124</f>
        <v>2152.6391096979332</v>
      </c>
      <c r="AB124" s="32"/>
      <c r="AC124" s="32"/>
    </row>
    <row r="125" spans="16:29" x14ac:dyDescent="0.25">
      <c r="P125" s="14"/>
      <c r="Q125" s="14"/>
      <c r="R125" s="14">
        <v>2</v>
      </c>
      <c r="S125" s="14"/>
      <c r="T125" s="14"/>
      <c r="U125" s="14" t="s">
        <v>165</v>
      </c>
      <c r="V125" s="14"/>
      <c r="W125" s="14"/>
      <c r="X125" s="48"/>
      <c r="Y125" s="14"/>
      <c r="Z125" s="14"/>
      <c r="AA125" s="49">
        <f>Z126</f>
        <v>3587.7318494965557</v>
      </c>
      <c r="AB125" s="32"/>
      <c r="AC125" s="32"/>
    </row>
    <row r="126" spans="16:29" x14ac:dyDescent="0.25">
      <c r="P126" s="14"/>
      <c r="Q126" s="14"/>
      <c r="R126" s="14"/>
      <c r="S126" s="14">
        <v>1</v>
      </c>
      <c r="T126" s="14"/>
      <c r="U126" s="14" t="s">
        <v>164</v>
      </c>
      <c r="V126" s="14">
        <v>80</v>
      </c>
      <c r="W126" s="14" t="s">
        <v>115</v>
      </c>
      <c r="X126" s="48">
        <f>L53</f>
        <v>44.846648118706945</v>
      </c>
      <c r="Y126" s="14"/>
      <c r="Z126" s="32">
        <f>V126*X126</f>
        <v>3587.7318494965557</v>
      </c>
      <c r="AA126" s="49"/>
      <c r="AB126" s="32"/>
      <c r="AC126" s="32"/>
    </row>
    <row r="127" spans="16:29" x14ac:dyDescent="0.25">
      <c r="P127" s="14"/>
      <c r="Q127" s="14"/>
      <c r="R127" s="14">
        <v>3</v>
      </c>
      <c r="S127" s="14"/>
      <c r="T127" s="14"/>
      <c r="U127" s="14" t="s">
        <v>166</v>
      </c>
      <c r="V127" s="14"/>
      <c r="W127" s="14"/>
      <c r="X127" s="48"/>
      <c r="Y127" s="14"/>
      <c r="Z127" s="14"/>
      <c r="AA127" s="49"/>
      <c r="AB127" s="32"/>
      <c r="AC127" s="32"/>
    </row>
    <row r="128" spans="16:29" x14ac:dyDescent="0.25">
      <c r="P128" s="14"/>
      <c r="Q128" s="14"/>
      <c r="R128" s="14"/>
      <c r="S128" s="14">
        <v>1</v>
      </c>
      <c r="T128" s="14"/>
      <c r="U128" s="14" t="s">
        <v>164</v>
      </c>
      <c r="V128" s="14">
        <v>56</v>
      </c>
      <c r="W128" s="14" t="s">
        <v>115</v>
      </c>
      <c r="X128" s="48">
        <f>L53</f>
        <v>44.846648118706945</v>
      </c>
      <c r="Y128" s="14"/>
      <c r="Z128" s="49">
        <f>V128*X128</f>
        <v>2511.4122946475891</v>
      </c>
      <c r="AB128" s="32"/>
      <c r="AC128" s="32"/>
    </row>
    <row r="129" spans="16:29" x14ac:dyDescent="0.25">
      <c r="P129" s="14"/>
      <c r="Q129" s="14">
        <v>6</v>
      </c>
      <c r="R129" s="14"/>
      <c r="S129" s="14"/>
      <c r="T129" s="14"/>
      <c r="U129" s="25" t="s">
        <v>167</v>
      </c>
      <c r="V129" s="14"/>
      <c r="W129" s="14"/>
      <c r="X129" s="48"/>
      <c r="Y129" s="14"/>
      <c r="Z129" s="14"/>
      <c r="AA129" s="49"/>
      <c r="AB129" s="32">
        <f>SUM(AA130:AA139)</f>
        <v>5022.8245892951772</v>
      </c>
      <c r="AC129" s="32"/>
    </row>
    <row r="130" spans="16:29" x14ac:dyDescent="0.25">
      <c r="P130" s="14"/>
      <c r="Q130" s="14"/>
      <c r="R130" s="14">
        <v>1</v>
      </c>
      <c r="S130" s="14"/>
      <c r="T130" s="14"/>
      <c r="U130" s="14" t="s">
        <v>168</v>
      </c>
      <c r="V130" s="14"/>
      <c r="W130" s="14"/>
      <c r="X130" s="48"/>
      <c r="Y130" s="14"/>
      <c r="Z130" s="14"/>
      <c r="AA130" s="49">
        <f>Z131</f>
        <v>1076.3195548489666</v>
      </c>
      <c r="AB130" s="32"/>
      <c r="AC130" s="32"/>
    </row>
    <row r="131" spans="16:29" x14ac:dyDescent="0.25">
      <c r="P131" s="14"/>
      <c r="Q131" s="14"/>
      <c r="R131" s="14"/>
      <c r="S131" s="14">
        <v>1</v>
      </c>
      <c r="T131" s="14"/>
      <c r="U131" s="14" t="s">
        <v>164</v>
      </c>
      <c r="V131" s="14">
        <v>24</v>
      </c>
      <c r="W131" s="14" t="s">
        <v>115</v>
      </c>
      <c r="X131" s="48">
        <f>L53</f>
        <v>44.846648118706945</v>
      </c>
      <c r="Y131" s="14"/>
      <c r="Z131" s="49">
        <f>V131*X131</f>
        <v>1076.3195548489666</v>
      </c>
      <c r="AB131" s="32"/>
      <c r="AC131" s="32"/>
    </row>
    <row r="132" spans="16:29" x14ac:dyDescent="0.25">
      <c r="P132" s="14"/>
      <c r="Q132" s="14"/>
      <c r="R132" s="14">
        <v>2</v>
      </c>
      <c r="S132" s="14"/>
      <c r="T132" s="14"/>
      <c r="U132" s="14" t="s">
        <v>169</v>
      </c>
      <c r="V132" s="14"/>
      <c r="W132" s="14"/>
      <c r="X132" s="48"/>
      <c r="Y132" s="14"/>
      <c r="Z132" s="14"/>
      <c r="AA132" s="49">
        <f>Z133</f>
        <v>1435.0927397986222</v>
      </c>
      <c r="AB132" s="32"/>
      <c r="AC132" s="32"/>
    </row>
    <row r="133" spans="16:29" x14ac:dyDescent="0.25">
      <c r="P133" s="14"/>
      <c r="Q133" s="14"/>
      <c r="R133" s="14"/>
      <c r="S133" s="14">
        <v>1</v>
      </c>
      <c r="T133" s="14"/>
      <c r="U133" s="14" t="s">
        <v>170</v>
      </c>
      <c r="V133" s="14">
        <v>32</v>
      </c>
      <c r="W133" s="14" t="s">
        <v>115</v>
      </c>
      <c r="X133" s="48">
        <f>L53</f>
        <v>44.846648118706945</v>
      </c>
      <c r="Y133" s="14"/>
      <c r="Z133" s="49">
        <f>V133*X133</f>
        <v>1435.0927397986222</v>
      </c>
      <c r="AB133" s="32"/>
      <c r="AC133" s="32"/>
    </row>
    <row r="134" spans="16:29" x14ac:dyDescent="0.25">
      <c r="P134" s="14"/>
      <c r="Q134" s="14"/>
      <c r="R134" s="14">
        <v>3</v>
      </c>
      <c r="S134" s="14"/>
      <c r="T134" s="14"/>
      <c r="U134" s="14" t="s">
        <v>171</v>
      </c>
      <c r="V134" s="14"/>
      <c r="W134" s="14"/>
      <c r="X134" s="48"/>
      <c r="Y134" s="14"/>
      <c r="Z134" s="14"/>
      <c r="AA134" s="49">
        <f>Z135</f>
        <v>1076.3195548489666</v>
      </c>
      <c r="AB134" s="32"/>
      <c r="AC134" s="32"/>
    </row>
    <row r="135" spans="16:29" x14ac:dyDescent="0.25">
      <c r="P135" s="14"/>
      <c r="Q135" s="14"/>
      <c r="R135" s="14"/>
      <c r="S135" s="14">
        <v>1</v>
      </c>
      <c r="T135" s="14"/>
      <c r="U135" s="14" t="s">
        <v>170</v>
      </c>
      <c r="V135" s="14">
        <v>24</v>
      </c>
      <c r="W135" s="14" t="s">
        <v>115</v>
      </c>
      <c r="X135" s="48">
        <f>L53</f>
        <v>44.846648118706945</v>
      </c>
      <c r="Y135" s="14"/>
      <c r="Z135" s="49">
        <f>V135*X135</f>
        <v>1076.3195548489666</v>
      </c>
      <c r="AB135" s="32"/>
      <c r="AC135" s="32"/>
    </row>
    <row r="136" spans="16:29" x14ac:dyDescent="0.25">
      <c r="P136" s="14"/>
      <c r="Q136" s="14"/>
      <c r="R136" s="14">
        <v>4</v>
      </c>
      <c r="S136" s="14"/>
      <c r="T136" s="14"/>
      <c r="U136" s="14" t="s">
        <v>172</v>
      </c>
      <c r="V136" s="14"/>
      <c r="W136" s="14"/>
      <c r="X136" s="48"/>
      <c r="Y136" s="14"/>
      <c r="Z136" s="14"/>
      <c r="AA136" s="32">
        <f>Z137</f>
        <v>717.54636989931112</v>
      </c>
      <c r="AB136" s="32"/>
      <c r="AC136" s="32"/>
    </row>
    <row r="137" spans="16:29" x14ac:dyDescent="0.25">
      <c r="P137" s="14"/>
      <c r="Q137" s="14"/>
      <c r="R137" s="14"/>
      <c r="S137" s="14">
        <v>1</v>
      </c>
      <c r="T137" s="14"/>
      <c r="U137" s="14" t="s">
        <v>164</v>
      </c>
      <c r="V137" s="14">
        <v>16</v>
      </c>
      <c r="W137" s="14" t="s">
        <v>115</v>
      </c>
      <c r="X137" s="48">
        <f>L53</f>
        <v>44.846648118706945</v>
      </c>
      <c r="Y137" s="14"/>
      <c r="Z137" s="49">
        <f>V137*X137</f>
        <v>717.54636989931112</v>
      </c>
      <c r="AB137" s="32"/>
      <c r="AC137" s="32"/>
    </row>
    <row r="138" spans="16:29" x14ac:dyDescent="0.25">
      <c r="P138" s="14"/>
      <c r="Q138" s="14"/>
      <c r="R138" s="14">
        <v>5</v>
      </c>
      <c r="S138" s="14"/>
      <c r="T138" s="14"/>
      <c r="U138" s="14" t="s">
        <v>173</v>
      </c>
      <c r="V138" s="14"/>
      <c r="W138" s="14"/>
      <c r="X138" s="48"/>
      <c r="Y138" s="14"/>
      <c r="Z138" s="14"/>
      <c r="AA138" s="32">
        <f>Z139</f>
        <v>717.54636989931112</v>
      </c>
      <c r="AB138" s="32"/>
      <c r="AC138" s="32"/>
    </row>
    <row r="139" spans="16:29" x14ac:dyDescent="0.25">
      <c r="P139" s="14"/>
      <c r="Q139" s="14"/>
      <c r="R139" s="14"/>
      <c r="S139" s="14">
        <v>1</v>
      </c>
      <c r="T139" s="14"/>
      <c r="U139" s="14" t="s">
        <v>170</v>
      </c>
      <c r="V139" s="14">
        <v>16</v>
      </c>
      <c r="W139" s="14" t="s">
        <v>115</v>
      </c>
      <c r="X139" s="48">
        <f>L53</f>
        <v>44.846648118706945</v>
      </c>
      <c r="Y139" s="14"/>
      <c r="Z139" s="49">
        <f>V139*X139</f>
        <v>717.54636989931112</v>
      </c>
      <c r="AB139" s="32"/>
      <c r="AC139" s="32"/>
    </row>
    <row r="140" spans="16:29" x14ac:dyDescent="0.25">
      <c r="P140" s="14"/>
      <c r="Q140" s="14">
        <v>7</v>
      </c>
      <c r="R140" s="14"/>
      <c r="S140" s="14"/>
      <c r="T140" s="14"/>
      <c r="U140" s="25" t="s">
        <v>174</v>
      </c>
      <c r="V140" s="14"/>
      <c r="W140" s="14"/>
      <c r="X140" s="48"/>
      <c r="Y140" s="14"/>
      <c r="Z140" s="14"/>
      <c r="AA140" s="49"/>
      <c r="AB140" s="32">
        <f>SUM(AA141:AA167)</f>
        <v>32648.359830418656</v>
      </c>
      <c r="AC140" s="32"/>
    </row>
    <row r="141" spans="16:29" x14ac:dyDescent="0.25">
      <c r="P141" s="14"/>
      <c r="Q141" s="14"/>
      <c r="R141" s="14">
        <v>1</v>
      </c>
      <c r="S141" s="14"/>
      <c r="T141" s="14"/>
      <c r="U141" s="14" t="s">
        <v>175</v>
      </c>
      <c r="V141" s="14"/>
      <c r="W141" s="14"/>
      <c r="X141" s="48"/>
      <c r="Y141" s="14"/>
      <c r="Z141" s="14"/>
      <c r="AA141" s="32">
        <f>SUM(Z142:Z147)</f>
        <v>14709.700582935879</v>
      </c>
      <c r="AB141" s="32"/>
      <c r="AC141" s="32"/>
    </row>
    <row r="142" spans="16:29" x14ac:dyDescent="0.25">
      <c r="P142" s="14"/>
      <c r="Q142" s="14"/>
      <c r="R142" s="14"/>
      <c r="S142" s="14">
        <v>1</v>
      </c>
      <c r="T142" s="14"/>
      <c r="U142" s="14" t="s">
        <v>176</v>
      </c>
      <c r="V142" s="14"/>
      <c r="W142" s="14"/>
      <c r="X142" s="48"/>
      <c r="Y142" s="14"/>
      <c r="Z142" s="32">
        <f>Y143+Y144</f>
        <v>7175.4636989931114</v>
      </c>
      <c r="AA142" s="32"/>
      <c r="AB142" s="32"/>
      <c r="AC142" s="32"/>
    </row>
    <row r="143" spans="16:29" x14ac:dyDescent="0.25">
      <c r="P143" s="14"/>
      <c r="Q143" s="14"/>
      <c r="R143" s="14"/>
      <c r="S143" s="14"/>
      <c r="T143" s="14">
        <v>1</v>
      </c>
      <c r="U143" s="14" t="s">
        <v>177</v>
      </c>
      <c r="V143" s="14">
        <v>80</v>
      </c>
      <c r="W143" s="14" t="s">
        <v>115</v>
      </c>
      <c r="X143" s="48">
        <f>L53</f>
        <v>44.846648118706945</v>
      </c>
      <c r="Y143" s="32">
        <f>V143*X143</f>
        <v>3587.7318494965557</v>
      </c>
      <c r="Z143" s="14"/>
      <c r="AA143" s="14"/>
      <c r="AB143" s="32"/>
      <c r="AC143" s="32"/>
    </row>
    <row r="144" spans="16:29" x14ac:dyDescent="0.25">
      <c r="P144" s="14"/>
      <c r="Q144" s="14"/>
      <c r="R144" s="14"/>
      <c r="S144" s="14"/>
      <c r="T144" s="14">
        <v>2</v>
      </c>
      <c r="U144" s="14" t="s">
        <v>178</v>
      </c>
      <c r="V144" s="14">
        <v>80</v>
      </c>
      <c r="W144" s="14" t="s">
        <v>115</v>
      </c>
      <c r="X144" s="48">
        <f>L53</f>
        <v>44.846648118706945</v>
      </c>
      <c r="Y144" s="32">
        <f>V144*X144</f>
        <v>3587.7318494965557</v>
      </c>
      <c r="Z144" s="14"/>
      <c r="AA144" s="14"/>
      <c r="AB144" s="32"/>
      <c r="AC144" s="32"/>
    </row>
    <row r="145" spans="16:29" x14ac:dyDescent="0.25">
      <c r="P145" s="14"/>
      <c r="Q145" s="14"/>
      <c r="R145" s="14"/>
      <c r="S145" s="14">
        <v>2</v>
      </c>
      <c r="T145" s="14"/>
      <c r="U145" s="14" t="s">
        <v>179</v>
      </c>
      <c r="V145" s="14"/>
      <c r="W145" s="14"/>
      <c r="X145" s="48"/>
      <c r="Y145" s="14"/>
      <c r="Z145" s="32">
        <f>Y146+Y147</f>
        <v>7534.2368839427663</v>
      </c>
      <c r="AA145" s="32"/>
      <c r="AB145" s="32"/>
      <c r="AC145" s="32"/>
    </row>
    <row r="146" spans="16:29" x14ac:dyDescent="0.25">
      <c r="P146" s="14"/>
      <c r="Q146" s="14"/>
      <c r="R146" s="14"/>
      <c r="S146" s="14"/>
      <c r="T146" s="14">
        <v>1</v>
      </c>
      <c r="U146" s="14" t="s">
        <v>180</v>
      </c>
      <c r="V146" s="14">
        <v>96</v>
      </c>
      <c r="W146" s="14" t="s">
        <v>115</v>
      </c>
      <c r="X146" s="48">
        <f>L53</f>
        <v>44.846648118706945</v>
      </c>
      <c r="Y146" s="32">
        <f>V146*X146</f>
        <v>4305.2782193958665</v>
      </c>
      <c r="Z146" s="14"/>
      <c r="AA146" s="14"/>
      <c r="AB146" s="32"/>
      <c r="AC146" s="32"/>
    </row>
    <row r="147" spans="16:29" x14ac:dyDescent="0.25">
      <c r="P147" s="14"/>
      <c r="Q147" s="14"/>
      <c r="R147" s="14"/>
      <c r="S147" s="14"/>
      <c r="T147" s="14">
        <v>2</v>
      </c>
      <c r="U147" s="14" t="s">
        <v>181</v>
      </c>
      <c r="V147" s="14">
        <v>72</v>
      </c>
      <c r="W147" s="14" t="s">
        <v>115</v>
      </c>
      <c r="X147" s="48">
        <f>L53</f>
        <v>44.846648118706945</v>
      </c>
      <c r="Y147" s="32">
        <f>V147*X147</f>
        <v>3228.9586645468999</v>
      </c>
      <c r="Z147" s="14"/>
      <c r="AA147" s="14"/>
      <c r="AB147" s="32"/>
      <c r="AC147" s="32"/>
    </row>
    <row r="148" spans="16:29" x14ac:dyDescent="0.25">
      <c r="P148" s="14"/>
      <c r="Q148" s="14"/>
      <c r="R148" s="14">
        <v>2</v>
      </c>
      <c r="S148" s="14"/>
      <c r="T148" s="14"/>
      <c r="U148" s="14" t="s">
        <v>182</v>
      </c>
      <c r="V148" s="14"/>
      <c r="W148" s="14"/>
      <c r="X148" s="48"/>
      <c r="Y148" s="14"/>
      <c r="Z148" s="14"/>
      <c r="AA148" s="32"/>
      <c r="AB148" s="32"/>
      <c r="AC148" s="32"/>
    </row>
    <row r="149" spans="16:29" x14ac:dyDescent="0.25">
      <c r="P149" s="14"/>
      <c r="Q149" s="14"/>
      <c r="R149" s="14"/>
      <c r="S149" s="14">
        <v>1</v>
      </c>
      <c r="T149" s="14"/>
      <c r="U149" s="14" t="s">
        <v>176</v>
      </c>
      <c r="V149" s="14"/>
      <c r="W149" s="14"/>
      <c r="X149" s="48"/>
      <c r="Y149" s="14"/>
      <c r="Z149" s="32">
        <f>Y150+Y151</f>
        <v>7175.4636989931114</v>
      </c>
      <c r="AA149" s="32"/>
      <c r="AB149" s="32"/>
      <c r="AC149" s="32"/>
    </row>
    <row r="150" spans="16:29" x14ac:dyDescent="0.25">
      <c r="P150" s="14"/>
      <c r="Q150" s="14"/>
      <c r="R150" s="14"/>
      <c r="S150" s="14"/>
      <c r="T150" s="14">
        <v>1</v>
      </c>
      <c r="U150" s="14" t="s">
        <v>177</v>
      </c>
      <c r="V150" s="14">
        <v>80</v>
      </c>
      <c r="W150" s="14" t="s">
        <v>115</v>
      </c>
      <c r="X150" s="48">
        <f>L53</f>
        <v>44.846648118706945</v>
      </c>
      <c r="Y150" s="32">
        <f>V150*X150</f>
        <v>3587.7318494965557</v>
      </c>
      <c r="Z150" s="14"/>
      <c r="AA150" s="14"/>
      <c r="AB150" s="32"/>
      <c r="AC150" s="32"/>
    </row>
    <row r="151" spans="16:29" x14ac:dyDescent="0.25">
      <c r="P151" s="14"/>
      <c r="Q151" s="14"/>
      <c r="R151" s="14"/>
      <c r="S151" s="14"/>
      <c r="T151" s="14">
        <v>2</v>
      </c>
      <c r="U151" s="14" t="s">
        <v>178</v>
      </c>
      <c r="V151" s="14">
        <v>80</v>
      </c>
      <c r="W151" s="14" t="s">
        <v>115</v>
      </c>
      <c r="X151" s="48">
        <f>L53</f>
        <v>44.846648118706945</v>
      </c>
      <c r="Y151" s="32">
        <f>V151*X151</f>
        <v>3587.7318494965557</v>
      </c>
      <c r="Z151" s="14"/>
      <c r="AA151" s="14"/>
      <c r="AB151" s="32"/>
      <c r="AC151" s="32"/>
    </row>
    <row r="152" spans="16:29" x14ac:dyDescent="0.25">
      <c r="P152" s="14"/>
      <c r="Q152" s="14"/>
      <c r="R152" s="14"/>
      <c r="S152" s="14">
        <v>2</v>
      </c>
      <c r="T152" s="14"/>
      <c r="U152" s="14" t="s">
        <v>179</v>
      </c>
      <c r="V152" s="14"/>
      <c r="W152" s="14"/>
      <c r="X152" s="48"/>
      <c r="Y152" s="14"/>
      <c r="Z152" s="32">
        <f>Y153+Y154</f>
        <v>7534.2368839427663</v>
      </c>
      <c r="AA152" s="32"/>
      <c r="AB152" s="32"/>
      <c r="AC152" s="32"/>
    </row>
    <row r="153" spans="16:29" x14ac:dyDescent="0.25">
      <c r="P153" s="14"/>
      <c r="Q153" s="14"/>
      <c r="R153" s="14"/>
      <c r="S153" s="14"/>
      <c r="T153" s="14">
        <v>1</v>
      </c>
      <c r="U153" s="14" t="s">
        <v>180</v>
      </c>
      <c r="V153" s="14">
        <v>72</v>
      </c>
      <c r="W153" s="14" t="s">
        <v>115</v>
      </c>
      <c r="X153" s="48">
        <f>L53</f>
        <v>44.846648118706945</v>
      </c>
      <c r="Y153" s="49">
        <f>V153*X153</f>
        <v>3228.9586645468999</v>
      </c>
      <c r="Z153" s="14"/>
      <c r="AA153" s="14"/>
      <c r="AB153" s="32"/>
      <c r="AC153" s="32"/>
    </row>
    <row r="154" spans="16:29" x14ac:dyDescent="0.25">
      <c r="P154" s="14"/>
      <c r="Q154" s="14"/>
      <c r="R154" s="14"/>
      <c r="S154" s="14"/>
      <c r="T154" s="14">
        <v>2</v>
      </c>
      <c r="U154" s="14" t="s">
        <v>181</v>
      </c>
      <c r="V154" s="14">
        <v>96</v>
      </c>
      <c r="W154" s="14" t="s">
        <v>115</v>
      </c>
      <c r="X154" s="48">
        <f>L53</f>
        <v>44.846648118706945</v>
      </c>
      <c r="Y154" s="49">
        <f>V154*X154</f>
        <v>4305.2782193958665</v>
      </c>
      <c r="Z154" s="14"/>
      <c r="AA154" s="14"/>
      <c r="AB154" s="32"/>
      <c r="AC154" s="32"/>
    </row>
    <row r="155" spans="16:29" x14ac:dyDescent="0.25">
      <c r="P155" s="14"/>
      <c r="Q155" s="14"/>
      <c r="R155" s="14">
        <v>3</v>
      </c>
      <c r="S155" s="14"/>
      <c r="T155" s="14"/>
      <c r="U155" s="14" t="s">
        <v>183</v>
      </c>
      <c r="V155" s="14"/>
      <c r="W155" s="14"/>
      <c r="X155" s="48"/>
      <c r="Y155" s="29"/>
      <c r="Z155" s="29"/>
      <c r="AA155" s="33">
        <f>SUM(Z156:Z161)</f>
        <v>14709.700582935879</v>
      </c>
      <c r="AB155" s="32"/>
      <c r="AC155" s="32"/>
    </row>
    <row r="156" spans="16:29" x14ac:dyDescent="0.25">
      <c r="P156" s="14"/>
      <c r="Q156" s="14"/>
      <c r="R156" s="14"/>
      <c r="S156" s="14">
        <v>1</v>
      </c>
      <c r="T156" s="14"/>
      <c r="U156" s="14" t="s">
        <v>176</v>
      </c>
      <c r="V156" s="14"/>
      <c r="W156" s="14"/>
      <c r="X156" s="48"/>
      <c r="Y156" s="14"/>
      <c r="Z156" s="32">
        <f>Y157+Y158</f>
        <v>7175.4636989931114</v>
      </c>
      <c r="AA156" s="32"/>
      <c r="AB156" s="49"/>
      <c r="AC156" s="32"/>
    </row>
    <row r="157" spans="16:29" x14ac:dyDescent="0.25">
      <c r="P157" s="14"/>
      <c r="Q157" s="14"/>
      <c r="R157" s="14"/>
      <c r="S157" s="14"/>
      <c r="T157" s="14">
        <v>1</v>
      </c>
      <c r="U157" s="14" t="s">
        <v>177</v>
      </c>
      <c r="V157" s="14">
        <v>80</v>
      </c>
      <c r="W157" s="14" t="s">
        <v>115</v>
      </c>
      <c r="X157" s="48">
        <f>L53</f>
        <v>44.846648118706945</v>
      </c>
      <c r="Y157" s="32">
        <f>V157*X157</f>
        <v>3587.7318494965557</v>
      </c>
      <c r="Z157" s="14"/>
      <c r="AA157" s="14"/>
      <c r="AB157" s="49"/>
      <c r="AC157" s="32"/>
    </row>
    <row r="158" spans="16:29" x14ac:dyDescent="0.25">
      <c r="P158" s="14"/>
      <c r="Q158" s="14"/>
      <c r="R158" s="14"/>
      <c r="S158" s="14"/>
      <c r="T158" s="14">
        <v>2</v>
      </c>
      <c r="U158" s="14" t="s">
        <v>178</v>
      </c>
      <c r="V158" s="14">
        <v>80</v>
      </c>
      <c r="W158" s="14" t="s">
        <v>115</v>
      </c>
      <c r="X158" s="48">
        <f>L53</f>
        <v>44.846648118706945</v>
      </c>
      <c r="Y158" s="32">
        <f>V158*X158</f>
        <v>3587.7318494965557</v>
      </c>
      <c r="Z158" s="14"/>
      <c r="AA158" s="14"/>
      <c r="AB158" s="49"/>
      <c r="AC158" s="32"/>
    </row>
    <row r="159" spans="16:29" x14ac:dyDescent="0.25">
      <c r="P159" s="14"/>
      <c r="Q159" s="14"/>
      <c r="R159" s="14"/>
      <c r="S159" s="14">
        <v>2</v>
      </c>
      <c r="T159" s="14"/>
      <c r="U159" s="14" t="s">
        <v>179</v>
      </c>
      <c r="V159" s="14"/>
      <c r="W159" s="14"/>
      <c r="X159" s="48"/>
      <c r="Y159" s="14"/>
      <c r="Z159" s="32">
        <f>Y160+Y161</f>
        <v>7534.2368839427663</v>
      </c>
      <c r="AA159" s="32"/>
      <c r="AB159" s="49"/>
      <c r="AC159" s="32"/>
    </row>
    <row r="160" spans="16:29" x14ac:dyDescent="0.25">
      <c r="P160" s="14"/>
      <c r="Q160" s="14"/>
      <c r="R160" s="14"/>
      <c r="S160" s="14"/>
      <c r="T160" s="14">
        <v>1</v>
      </c>
      <c r="U160" s="14" t="s">
        <v>180</v>
      </c>
      <c r="V160" s="14">
        <v>72</v>
      </c>
      <c r="W160" s="14" t="s">
        <v>115</v>
      </c>
      <c r="X160" s="48">
        <f>L53</f>
        <v>44.846648118706945</v>
      </c>
      <c r="Y160" s="32">
        <f>V160*X160</f>
        <v>3228.9586645468999</v>
      </c>
      <c r="Z160" s="14"/>
      <c r="AA160" s="14"/>
      <c r="AB160" s="49"/>
      <c r="AC160" s="32"/>
    </row>
    <row r="161" spans="16:29" x14ac:dyDescent="0.25">
      <c r="P161" s="14"/>
      <c r="Q161" s="14"/>
      <c r="R161" s="14"/>
      <c r="S161" s="14"/>
      <c r="T161" s="14">
        <v>2</v>
      </c>
      <c r="U161" s="14" t="s">
        <v>181</v>
      </c>
      <c r="V161" s="14">
        <v>96</v>
      </c>
      <c r="W161" s="14" t="s">
        <v>115</v>
      </c>
      <c r="X161" s="48">
        <f>L53</f>
        <v>44.846648118706945</v>
      </c>
      <c r="Y161" s="32">
        <f>V161*X161</f>
        <v>4305.2782193958665</v>
      </c>
      <c r="Z161" s="14"/>
      <c r="AA161" s="14"/>
      <c r="AB161" s="49"/>
      <c r="AC161" s="32"/>
    </row>
    <row r="162" spans="16:29" x14ac:dyDescent="0.25">
      <c r="P162" s="14"/>
      <c r="Q162" s="14"/>
      <c r="R162" s="14">
        <v>4</v>
      </c>
      <c r="S162" s="14"/>
      <c r="T162" s="14"/>
      <c r="U162" s="14" t="s">
        <v>184</v>
      </c>
      <c r="V162" s="14"/>
      <c r="W162" s="14"/>
      <c r="X162" s="48"/>
      <c r="Y162" s="14"/>
      <c r="Z162" s="14"/>
      <c r="AA162" s="32">
        <f>Z163+Z164</f>
        <v>2870.1854795972445</v>
      </c>
      <c r="AB162" s="49"/>
      <c r="AC162" s="32"/>
    </row>
    <row r="163" spans="16:29" x14ac:dyDescent="0.25">
      <c r="P163" s="14"/>
      <c r="Q163" s="14"/>
      <c r="R163" s="14"/>
      <c r="S163" s="14">
        <v>1</v>
      </c>
      <c r="T163" s="14"/>
      <c r="U163" s="14" t="s">
        <v>164</v>
      </c>
      <c r="V163" s="14">
        <v>32</v>
      </c>
      <c r="W163" s="14" t="s">
        <v>115</v>
      </c>
      <c r="X163" s="48">
        <f>L53</f>
        <v>44.846648118706945</v>
      </c>
      <c r="Y163" s="14"/>
      <c r="Z163" s="32">
        <f>V163*X163</f>
        <v>1435.0927397986222</v>
      </c>
      <c r="AA163" s="14"/>
      <c r="AB163" s="49"/>
      <c r="AC163" s="32"/>
    </row>
    <row r="164" spans="16:29" x14ac:dyDescent="0.25">
      <c r="P164" s="14"/>
      <c r="Q164" s="14"/>
      <c r="R164" s="14"/>
      <c r="S164" s="14">
        <v>2</v>
      </c>
      <c r="T164" s="14"/>
      <c r="U164" s="14" t="s">
        <v>185</v>
      </c>
      <c r="V164" s="14">
        <v>32</v>
      </c>
      <c r="W164" s="14" t="s">
        <v>115</v>
      </c>
      <c r="X164" s="48">
        <f>L53</f>
        <v>44.846648118706945</v>
      </c>
      <c r="Y164" s="14"/>
      <c r="Z164" s="32">
        <f>V164*X164</f>
        <v>1435.0927397986222</v>
      </c>
      <c r="AA164" s="14"/>
      <c r="AB164" s="49"/>
      <c r="AC164" s="32"/>
    </row>
    <row r="165" spans="16:29" x14ac:dyDescent="0.25">
      <c r="P165" s="14"/>
      <c r="Q165" s="14"/>
      <c r="R165" s="14">
        <v>5</v>
      </c>
      <c r="S165" s="14"/>
      <c r="T165" s="14"/>
      <c r="U165" s="14" t="s">
        <v>186</v>
      </c>
      <c r="V165" s="14"/>
      <c r="W165" s="14"/>
      <c r="X165" s="48"/>
      <c r="Y165" s="14"/>
      <c r="Z165" s="14"/>
      <c r="AA165" s="32">
        <f>Z166+Z167</f>
        <v>358.77318494965556</v>
      </c>
      <c r="AB165" s="49"/>
      <c r="AC165" s="32"/>
    </row>
    <row r="166" spans="16:29" x14ac:dyDescent="0.25">
      <c r="P166" s="14"/>
      <c r="Q166" s="14"/>
      <c r="R166" s="14"/>
      <c r="S166" s="14">
        <v>1</v>
      </c>
      <c r="T166" s="14"/>
      <c r="U166" s="14" t="s">
        <v>187</v>
      </c>
      <c r="V166" s="14">
        <v>8</v>
      </c>
      <c r="W166" s="14" t="s">
        <v>115</v>
      </c>
      <c r="X166" s="48">
        <f>L53</f>
        <v>44.846648118706945</v>
      </c>
      <c r="Y166" s="14"/>
      <c r="Z166" s="32">
        <f>V166*X166</f>
        <v>358.77318494965556</v>
      </c>
      <c r="AA166" s="14"/>
      <c r="AB166" s="49"/>
      <c r="AC166" s="32"/>
    </row>
    <row r="167" spans="16:29" x14ac:dyDescent="0.25">
      <c r="P167" s="14"/>
      <c r="Q167" s="14"/>
      <c r="R167" s="14"/>
      <c r="S167" s="14">
        <v>2</v>
      </c>
      <c r="T167" s="14"/>
      <c r="U167" s="14" t="s">
        <v>170</v>
      </c>
      <c r="V167" s="14"/>
      <c r="W167" s="14" t="s">
        <v>115</v>
      </c>
      <c r="X167" s="48">
        <f>L53</f>
        <v>44.846648118706945</v>
      </c>
      <c r="Y167" s="14"/>
      <c r="Z167" s="32">
        <f>V167*X167</f>
        <v>0</v>
      </c>
      <c r="AA167" s="14"/>
      <c r="AB167" s="49"/>
      <c r="AC167" s="32"/>
    </row>
    <row r="168" spans="16:29" x14ac:dyDescent="0.25">
      <c r="P168" s="14">
        <v>2</v>
      </c>
      <c r="Q168" s="14"/>
      <c r="R168" s="14"/>
      <c r="S168" s="14"/>
      <c r="T168" s="14"/>
      <c r="U168" s="11" t="s">
        <v>188</v>
      </c>
      <c r="V168" s="14"/>
      <c r="W168" s="14"/>
      <c r="X168" s="48"/>
      <c r="Y168" s="53"/>
      <c r="Z168" s="53"/>
      <c r="AA168" s="54"/>
      <c r="AB168" s="32"/>
      <c r="AC168" s="32">
        <f>SUM(AB169:AB172)</f>
        <v>635.54107048224705</v>
      </c>
    </row>
    <row r="169" spans="16:29" x14ac:dyDescent="0.25">
      <c r="P169" s="14"/>
      <c r="Q169" s="14">
        <v>1</v>
      </c>
      <c r="R169" s="14"/>
      <c r="S169" s="14"/>
      <c r="T169" s="14"/>
      <c r="U169" s="25" t="s">
        <v>189</v>
      </c>
      <c r="V169" s="14"/>
      <c r="W169" s="14"/>
      <c r="X169" s="48"/>
      <c r="Y169" s="14"/>
      <c r="Z169" s="14"/>
      <c r="AA169" s="49"/>
      <c r="AB169" s="32">
        <f>AA170</f>
        <v>358.77318494965556</v>
      </c>
      <c r="AC169" s="32"/>
    </row>
    <row r="170" spans="16:29" x14ac:dyDescent="0.25">
      <c r="P170" s="14"/>
      <c r="Q170" s="14"/>
      <c r="R170" s="14">
        <v>1</v>
      </c>
      <c r="S170" s="14"/>
      <c r="T170" s="14"/>
      <c r="U170" s="14" t="s">
        <v>164</v>
      </c>
      <c r="V170" s="14">
        <v>8</v>
      </c>
      <c r="W170" s="14" t="s">
        <v>115</v>
      </c>
      <c r="X170" s="48">
        <f>L53</f>
        <v>44.846648118706945</v>
      </c>
      <c r="Y170" s="14"/>
      <c r="Z170" s="14"/>
      <c r="AA170" s="49">
        <f>V170*X170</f>
        <v>358.77318494965556</v>
      </c>
      <c r="AB170" s="32"/>
      <c r="AC170" s="32"/>
    </row>
    <row r="171" spans="16:29" x14ac:dyDescent="0.25">
      <c r="P171" s="14"/>
      <c r="Q171" s="14">
        <v>2</v>
      </c>
      <c r="R171" s="14"/>
      <c r="S171" s="14"/>
      <c r="T171" s="14"/>
      <c r="U171" s="25" t="s">
        <v>190</v>
      </c>
      <c r="V171" s="14"/>
      <c r="W171" s="14"/>
      <c r="X171" s="48"/>
      <c r="Y171" s="14"/>
      <c r="Z171" s="14"/>
      <c r="AA171" s="49"/>
      <c r="AB171" s="32">
        <f>AA172</f>
        <v>276.76788553259144</v>
      </c>
      <c r="AC171" s="32"/>
    </row>
    <row r="172" spans="16:29" x14ac:dyDescent="0.25">
      <c r="P172" s="14"/>
      <c r="Q172" s="14"/>
      <c r="R172" s="14">
        <v>1</v>
      </c>
      <c r="S172" s="14"/>
      <c r="T172" s="14"/>
      <c r="U172" s="14" t="s">
        <v>191</v>
      </c>
      <c r="V172" s="14">
        <v>8</v>
      </c>
      <c r="W172" s="14" t="s">
        <v>115</v>
      </c>
      <c r="X172" s="48">
        <f>L51</f>
        <v>34.595985691573929</v>
      </c>
      <c r="Y172" s="14"/>
      <c r="Z172" s="14"/>
      <c r="AA172" s="49">
        <f>V172*X172</f>
        <v>276.76788553259144</v>
      </c>
      <c r="AB172" s="32"/>
      <c r="AC172" s="32"/>
    </row>
    <row r="173" spans="16:29" x14ac:dyDescent="0.25">
      <c r="P173" s="14">
        <v>3</v>
      </c>
      <c r="Q173" s="14"/>
      <c r="R173" s="14"/>
      <c r="S173" s="14"/>
      <c r="T173" s="14"/>
      <c r="U173" s="11" t="s">
        <v>192</v>
      </c>
      <c r="V173" s="14"/>
      <c r="W173" s="14"/>
      <c r="X173" s="48"/>
      <c r="Y173" s="14"/>
      <c r="Z173" s="14"/>
      <c r="AA173" s="49"/>
      <c r="AB173" s="32"/>
      <c r="AC173" s="32">
        <f>SUM(AB174:AB179)</f>
        <v>7909.1377777777761</v>
      </c>
    </row>
    <row r="174" spans="16:29" x14ac:dyDescent="0.25">
      <c r="P174" s="14"/>
      <c r="Q174" s="14">
        <v>1</v>
      </c>
      <c r="R174" s="14"/>
      <c r="S174" s="14"/>
      <c r="T174" s="14"/>
      <c r="U174" s="25" t="s">
        <v>193</v>
      </c>
      <c r="V174" s="14"/>
      <c r="W174" s="14"/>
      <c r="X174" s="48"/>
      <c r="Y174" s="14"/>
      <c r="Z174" s="14"/>
      <c r="AA174" s="49"/>
      <c r="AB174" s="32">
        <f>AA175</f>
        <v>4126.5066666666662</v>
      </c>
      <c r="AC174" s="32"/>
    </row>
    <row r="175" spans="16:29" x14ac:dyDescent="0.25">
      <c r="P175" s="14"/>
      <c r="Q175" s="14"/>
      <c r="R175" s="14">
        <v>1</v>
      </c>
      <c r="S175" s="14"/>
      <c r="T175" s="14"/>
      <c r="U175" s="14" t="s">
        <v>194</v>
      </c>
      <c r="V175" s="14">
        <v>96</v>
      </c>
      <c r="W175" s="14" t="s">
        <v>115</v>
      </c>
      <c r="X175" s="48">
        <f>L56</f>
        <v>42.984444444444435</v>
      </c>
      <c r="Y175" s="14"/>
      <c r="Z175" s="14"/>
      <c r="AA175" s="49">
        <f>V175*X175</f>
        <v>4126.5066666666662</v>
      </c>
      <c r="AB175" s="32"/>
      <c r="AC175" s="32"/>
    </row>
    <row r="176" spans="16:29" x14ac:dyDescent="0.25">
      <c r="P176" s="14"/>
      <c r="Q176" s="14">
        <v>2</v>
      </c>
      <c r="R176" s="14"/>
      <c r="S176" s="14"/>
      <c r="T176" s="14"/>
      <c r="U176" s="25" t="s">
        <v>195</v>
      </c>
      <c r="V176" s="14"/>
      <c r="W176" s="14"/>
      <c r="X176" s="48"/>
      <c r="Y176" s="14"/>
      <c r="Z176" s="14"/>
      <c r="AA176" s="49"/>
      <c r="AB176" s="32">
        <f>AA177</f>
        <v>2751.0044444444438</v>
      </c>
      <c r="AC176" s="32"/>
    </row>
    <row r="177" spans="16:29" x14ac:dyDescent="0.25">
      <c r="P177" s="14"/>
      <c r="Q177" s="14"/>
      <c r="R177" s="14">
        <v>1</v>
      </c>
      <c r="S177" s="14"/>
      <c r="T177" s="14"/>
      <c r="U177" s="14" t="s">
        <v>196</v>
      </c>
      <c r="V177" s="14">
        <v>64</v>
      </c>
      <c r="W177" s="14" t="s">
        <v>115</v>
      </c>
      <c r="X177" s="48">
        <f>L56</f>
        <v>42.984444444444435</v>
      </c>
      <c r="Y177" s="14"/>
      <c r="Z177" s="14"/>
      <c r="AA177" s="49">
        <f>V177*X177</f>
        <v>2751.0044444444438</v>
      </c>
      <c r="AB177" s="32"/>
      <c r="AC177" s="32"/>
    </row>
    <row r="178" spans="16:29" x14ac:dyDescent="0.25">
      <c r="P178" s="14"/>
      <c r="Q178" s="14">
        <v>3</v>
      </c>
      <c r="R178" s="14"/>
      <c r="S178" s="14"/>
      <c r="T178" s="14"/>
      <c r="U178" s="25" t="s">
        <v>197</v>
      </c>
      <c r="V178" s="14"/>
      <c r="W178" s="14"/>
      <c r="X178" s="48"/>
      <c r="Y178" s="14"/>
      <c r="Z178" s="14"/>
      <c r="AA178" s="49"/>
      <c r="AB178" s="32">
        <f>AA179</f>
        <v>1031.6266666666666</v>
      </c>
      <c r="AC178" s="32"/>
    </row>
    <row r="179" spans="16:29" x14ac:dyDescent="0.25">
      <c r="P179" s="14"/>
      <c r="Q179" s="14"/>
      <c r="R179" s="14">
        <v>1</v>
      </c>
      <c r="S179" s="14"/>
      <c r="T179" s="14"/>
      <c r="U179" s="14" t="s">
        <v>194</v>
      </c>
      <c r="V179" s="14">
        <v>24</v>
      </c>
      <c r="W179" s="14" t="s">
        <v>115</v>
      </c>
      <c r="X179" s="48">
        <f>L56</f>
        <v>42.984444444444435</v>
      </c>
      <c r="Y179" s="14"/>
      <c r="Z179" s="14"/>
      <c r="AA179" s="49">
        <f>V179*X179</f>
        <v>1031.6266666666666</v>
      </c>
      <c r="AB179" s="32"/>
      <c r="AC179" s="32"/>
    </row>
    <row r="180" spans="16:29" x14ac:dyDescent="0.25">
      <c r="P180" s="14">
        <v>4</v>
      </c>
      <c r="Q180" s="14"/>
      <c r="R180" s="14"/>
      <c r="S180" s="14"/>
      <c r="T180" s="14"/>
      <c r="U180" s="11" t="s">
        <v>198</v>
      </c>
      <c r="V180" s="14"/>
      <c r="W180" s="14"/>
      <c r="X180" s="48"/>
      <c r="Y180" s="14"/>
      <c r="Z180" s="14"/>
      <c r="AA180" s="49"/>
      <c r="AC180" s="32">
        <f>AB181+AB185</f>
        <v>18971.789344638753</v>
      </c>
    </row>
    <row r="181" spans="16:29" x14ac:dyDescent="0.25">
      <c r="P181" s="14"/>
      <c r="Q181" s="14">
        <v>1</v>
      </c>
      <c r="R181" s="14"/>
      <c r="S181" s="14"/>
      <c r="T181" s="14"/>
      <c r="U181" s="25" t="s">
        <v>199</v>
      </c>
      <c r="V181" s="14"/>
      <c r="W181" s="14"/>
      <c r="X181" s="48"/>
      <c r="Y181" s="14"/>
      <c r="Z181" s="32"/>
      <c r="AA181" s="32"/>
      <c r="AB181" s="32">
        <f>SUM(AA182:AA184)</f>
        <v>4303.0914114114112</v>
      </c>
      <c r="AC181" s="32"/>
    </row>
    <row r="182" spans="16:29" x14ac:dyDescent="0.25">
      <c r="P182" s="14"/>
      <c r="Q182" s="14"/>
      <c r="R182" s="14">
        <v>1</v>
      </c>
      <c r="S182" s="14"/>
      <c r="T182" s="14"/>
      <c r="U182" s="14" t="s">
        <v>200</v>
      </c>
      <c r="V182" s="14">
        <v>16</v>
      </c>
      <c r="W182" s="14" t="s">
        <v>115</v>
      </c>
      <c r="X182" s="48">
        <f>L55</f>
        <v>182.97432432432433</v>
      </c>
      <c r="Y182" s="14"/>
      <c r="Z182" s="32"/>
      <c r="AA182" s="32">
        <f>X182*V182</f>
        <v>2927.5891891891893</v>
      </c>
      <c r="AB182" s="32"/>
      <c r="AC182" s="32"/>
    </row>
    <row r="183" spans="16:29" x14ac:dyDescent="0.25">
      <c r="P183" s="14"/>
      <c r="Q183" s="14"/>
      <c r="R183" s="14">
        <v>2</v>
      </c>
      <c r="S183" s="14"/>
      <c r="T183" s="14"/>
      <c r="U183" s="14" t="s">
        <v>201</v>
      </c>
      <c r="V183" s="14">
        <v>16</v>
      </c>
      <c r="W183" s="14" t="s">
        <v>115</v>
      </c>
      <c r="X183" s="48">
        <f>L56</f>
        <v>42.984444444444435</v>
      </c>
      <c r="Y183" s="14"/>
      <c r="Z183" s="32"/>
      <c r="AA183" s="32">
        <f>X183*V183</f>
        <v>687.75111111111096</v>
      </c>
      <c r="AB183" s="32"/>
      <c r="AC183" s="32"/>
    </row>
    <row r="184" spans="16:29" x14ac:dyDescent="0.25">
      <c r="P184" s="14"/>
      <c r="Q184" s="14"/>
      <c r="R184" s="14">
        <v>3</v>
      </c>
      <c r="S184" s="14"/>
      <c r="T184" s="14"/>
      <c r="U184" s="14" t="s">
        <v>202</v>
      </c>
      <c r="V184" s="14">
        <v>16</v>
      </c>
      <c r="W184" s="14" t="s">
        <v>115</v>
      </c>
      <c r="X184" s="48">
        <f>L56</f>
        <v>42.984444444444435</v>
      </c>
      <c r="Y184" s="14"/>
      <c r="Z184" s="32"/>
      <c r="AA184" s="32">
        <f>X184*V184</f>
        <v>687.75111111111096</v>
      </c>
      <c r="AB184" s="32"/>
      <c r="AC184" s="32"/>
    </row>
    <row r="185" spans="16:29" x14ac:dyDescent="0.25">
      <c r="P185" s="14"/>
      <c r="Q185" s="14">
        <v>2</v>
      </c>
      <c r="R185" s="14"/>
      <c r="S185" s="14"/>
      <c r="T185" s="14"/>
      <c r="U185" s="25" t="s">
        <v>203</v>
      </c>
      <c r="V185" s="14"/>
      <c r="W185" s="14"/>
      <c r="X185" s="48"/>
      <c r="Y185" s="14"/>
      <c r="Z185" s="32"/>
      <c r="AA185" s="32"/>
      <c r="AB185" s="32">
        <f>SUM(AA186:AA190)</f>
        <v>14668.697933227344</v>
      </c>
      <c r="AC185" s="32"/>
    </row>
    <row r="186" spans="16:29" x14ac:dyDescent="0.25">
      <c r="P186" s="14"/>
      <c r="Q186" s="14"/>
      <c r="R186" s="14">
        <v>1</v>
      </c>
      <c r="S186" s="14"/>
      <c r="T186" s="14"/>
      <c r="U186" s="14" t="s">
        <v>204</v>
      </c>
      <c r="V186" s="14">
        <v>40</v>
      </c>
      <c r="W186" s="14" t="s">
        <v>115</v>
      </c>
      <c r="X186" s="48">
        <f>L52</f>
        <v>187.33085585585584</v>
      </c>
      <c r="Y186" s="14"/>
      <c r="Z186" s="32"/>
      <c r="AA186" s="32">
        <f>X186*V186</f>
        <v>7493.2342342342336</v>
      </c>
      <c r="AB186" s="32"/>
      <c r="AC186" s="32"/>
    </row>
    <row r="187" spans="16:29" x14ac:dyDescent="0.25">
      <c r="P187" s="14"/>
      <c r="Q187" s="14"/>
      <c r="R187" s="14">
        <v>2</v>
      </c>
      <c r="S187" s="14"/>
      <c r="T187" s="14"/>
      <c r="U187" s="14" t="s">
        <v>205</v>
      </c>
      <c r="V187" s="14">
        <v>40</v>
      </c>
      <c r="W187" s="14" t="s">
        <v>115</v>
      </c>
      <c r="X187" s="48">
        <f>L53</f>
        <v>44.846648118706945</v>
      </c>
      <c r="Y187" s="14"/>
      <c r="Z187" s="32"/>
      <c r="AA187" s="32">
        <f>X187*V187</f>
        <v>1793.8659247482778</v>
      </c>
      <c r="AB187" s="32"/>
      <c r="AC187" s="32"/>
    </row>
    <row r="188" spans="16:29" x14ac:dyDescent="0.25">
      <c r="P188" s="14"/>
      <c r="Q188" s="14"/>
      <c r="R188" s="14">
        <v>3</v>
      </c>
      <c r="S188" s="14"/>
      <c r="T188" s="14"/>
      <c r="U188" s="14" t="s">
        <v>157</v>
      </c>
      <c r="V188" s="14">
        <v>40</v>
      </c>
      <c r="W188" s="14" t="s">
        <v>115</v>
      </c>
      <c r="X188" s="48">
        <f>L53</f>
        <v>44.846648118706945</v>
      </c>
      <c r="Y188" s="14"/>
      <c r="Z188" s="32"/>
      <c r="AA188" s="32">
        <f>X188*V188</f>
        <v>1793.8659247482778</v>
      </c>
      <c r="AB188" s="32"/>
      <c r="AC188" s="32"/>
    </row>
    <row r="189" spans="16:29" x14ac:dyDescent="0.25">
      <c r="P189" s="14"/>
      <c r="Q189" s="14"/>
      <c r="R189" s="14">
        <v>4</v>
      </c>
      <c r="S189" s="14"/>
      <c r="T189" s="14"/>
      <c r="U189" s="14" t="s">
        <v>158</v>
      </c>
      <c r="V189" s="14">
        <v>40</v>
      </c>
      <c r="W189" s="14" t="s">
        <v>115</v>
      </c>
      <c r="X189" s="48">
        <f>L53</f>
        <v>44.846648118706945</v>
      </c>
      <c r="Y189" s="14"/>
      <c r="Z189" s="32"/>
      <c r="AA189" s="32">
        <f>X189*V189</f>
        <v>1793.8659247482778</v>
      </c>
      <c r="AB189" s="32"/>
      <c r="AC189" s="32"/>
    </row>
    <row r="190" spans="16:29" x14ac:dyDescent="0.25">
      <c r="P190" s="14"/>
      <c r="Q190" s="14"/>
      <c r="R190" s="14">
        <v>5</v>
      </c>
      <c r="S190" s="14"/>
      <c r="T190" s="14"/>
      <c r="U190" s="14" t="s">
        <v>206</v>
      </c>
      <c r="V190" s="14">
        <v>40</v>
      </c>
      <c r="W190" s="14" t="s">
        <v>115</v>
      </c>
      <c r="X190" s="48">
        <f>L53</f>
        <v>44.846648118706945</v>
      </c>
      <c r="Y190" s="14"/>
      <c r="Z190" s="32"/>
      <c r="AA190" s="32">
        <f>X190*V190</f>
        <v>1793.8659247482778</v>
      </c>
      <c r="AB190" s="32"/>
      <c r="AC190" s="32"/>
    </row>
    <row r="193" spans="1:27" x14ac:dyDescent="0.25">
      <c r="R193" s="94" t="s">
        <v>207</v>
      </c>
      <c r="S193" s="95"/>
      <c r="T193" s="95"/>
      <c r="U193" s="95"/>
      <c r="V193" s="95"/>
      <c r="W193" s="95"/>
      <c r="X193" s="95"/>
      <c r="Y193" s="95"/>
      <c r="Z193" s="95"/>
      <c r="AA193" s="96"/>
    </row>
    <row r="194" spans="1:27" x14ac:dyDescent="0.25">
      <c r="R194" s="9" t="s">
        <v>103</v>
      </c>
      <c r="S194" s="9" t="s">
        <v>104</v>
      </c>
      <c r="T194" s="9" t="s">
        <v>105</v>
      </c>
      <c r="U194" s="9" t="s">
        <v>106</v>
      </c>
      <c r="V194" s="9" t="s">
        <v>107</v>
      </c>
      <c r="W194" s="9" t="s">
        <v>44</v>
      </c>
      <c r="X194" s="9" t="s">
        <v>45</v>
      </c>
      <c r="Y194" s="9" t="s">
        <v>108</v>
      </c>
      <c r="Z194" s="9" t="s">
        <v>109</v>
      </c>
      <c r="AA194" s="9" t="s">
        <v>5</v>
      </c>
    </row>
    <row r="195" spans="1:27" x14ac:dyDescent="0.25">
      <c r="R195" s="41">
        <v>1</v>
      </c>
      <c r="S195" s="39"/>
      <c r="T195" s="39"/>
      <c r="U195" s="44" t="s">
        <v>55</v>
      </c>
      <c r="V195" s="39"/>
      <c r="W195" s="39"/>
      <c r="X195" s="39"/>
      <c r="Y195" s="39"/>
      <c r="Z195" s="39"/>
      <c r="AA195" s="45">
        <f>SUM(Z195:Z207)</f>
        <v>14374.151351351351</v>
      </c>
    </row>
    <row r="196" spans="1:27" x14ac:dyDescent="0.25">
      <c r="R196" s="1"/>
      <c r="S196" s="1">
        <v>1</v>
      </c>
      <c r="T196" s="1"/>
      <c r="U196" s="62" t="s">
        <v>208</v>
      </c>
      <c r="V196" s="1"/>
      <c r="W196" s="1"/>
      <c r="X196" s="40"/>
      <c r="Y196" s="40"/>
      <c r="Z196" s="40">
        <f>Y197</f>
        <v>400</v>
      </c>
      <c r="AA196" s="40"/>
    </row>
    <row r="197" spans="1:27" x14ac:dyDescent="0.25">
      <c r="R197" s="1"/>
      <c r="S197" s="1"/>
      <c r="T197" s="1">
        <v>1</v>
      </c>
      <c r="U197" s="1" t="s">
        <v>209</v>
      </c>
      <c r="V197" s="1">
        <v>1</v>
      </c>
      <c r="W197" s="1"/>
      <c r="X197" s="40">
        <v>400</v>
      </c>
      <c r="Y197" s="40">
        <f>V197*X197</f>
        <v>400</v>
      </c>
      <c r="Z197" s="40"/>
      <c r="AA197" s="40"/>
    </row>
    <row r="198" spans="1:27" x14ac:dyDescent="0.25">
      <c r="R198" s="1"/>
      <c r="S198" s="1">
        <v>2</v>
      </c>
      <c r="T198" s="1"/>
      <c r="U198" s="62" t="s">
        <v>210</v>
      </c>
      <c r="V198" s="1"/>
      <c r="W198" s="1"/>
      <c r="X198" s="40"/>
      <c r="Y198" s="40"/>
      <c r="Z198" s="40">
        <f>Y199</f>
        <v>200</v>
      </c>
      <c r="AA198" s="40"/>
    </row>
    <row r="199" spans="1:27" x14ac:dyDescent="0.25">
      <c r="R199" s="1"/>
      <c r="S199" s="1"/>
      <c r="T199" s="1">
        <v>1</v>
      </c>
      <c r="U199" s="1" t="s">
        <v>209</v>
      </c>
      <c r="V199" s="1">
        <v>1</v>
      </c>
      <c r="W199" s="1"/>
      <c r="X199" s="40">
        <v>200</v>
      </c>
      <c r="Y199" s="40">
        <f>V199*X199</f>
        <v>200</v>
      </c>
      <c r="Z199" s="40"/>
      <c r="AA199" s="40"/>
    </row>
    <row r="200" spans="1:27" x14ac:dyDescent="0.25">
      <c r="R200" s="1"/>
      <c r="S200" s="1">
        <v>3</v>
      </c>
      <c r="T200" s="1"/>
      <c r="U200" s="62" t="s">
        <v>211</v>
      </c>
      <c r="V200" s="1"/>
      <c r="W200" s="1"/>
      <c r="X200" s="40"/>
      <c r="Y200" s="40"/>
      <c r="Z200" s="40">
        <f>Y201</f>
        <v>300</v>
      </c>
      <c r="AA200" s="40"/>
    </row>
    <row r="201" spans="1:27" x14ac:dyDescent="0.25">
      <c r="R201" s="1"/>
      <c r="S201" s="1"/>
      <c r="T201" s="1">
        <v>1</v>
      </c>
      <c r="U201" s="1" t="s">
        <v>209</v>
      </c>
      <c r="V201" s="1">
        <v>1</v>
      </c>
      <c r="W201" s="1"/>
      <c r="X201" s="40">
        <v>300</v>
      </c>
      <c r="Y201" s="40">
        <f>V201*X201</f>
        <v>300</v>
      </c>
      <c r="Z201" s="40"/>
      <c r="AA201" s="40"/>
    </row>
    <row r="202" spans="1:27" x14ac:dyDescent="0.25">
      <c r="R202" s="1"/>
      <c r="S202" s="1">
        <v>4</v>
      </c>
      <c r="T202" s="1"/>
      <c r="U202" s="62" t="s">
        <v>212</v>
      </c>
      <c r="V202" s="1"/>
      <c r="W202" s="1"/>
      <c r="X202" s="40"/>
      <c r="Y202" s="40"/>
      <c r="Z202" s="40">
        <f>SUM(Y203:Y207)</f>
        <v>13474.151351351351</v>
      </c>
      <c r="AA202" s="40"/>
    </row>
    <row r="203" spans="1:27" x14ac:dyDescent="0.25">
      <c r="R203" s="1"/>
      <c r="S203" s="1"/>
      <c r="T203" s="1">
        <v>1</v>
      </c>
      <c r="U203" s="1" t="s">
        <v>213</v>
      </c>
      <c r="V203" s="1">
        <v>24</v>
      </c>
      <c r="W203" s="1" t="s">
        <v>115</v>
      </c>
      <c r="X203" s="37">
        <f>L171</f>
        <v>0</v>
      </c>
      <c r="Y203" s="37">
        <f>M171</f>
        <v>0</v>
      </c>
      <c r="Z203" s="40"/>
      <c r="AA203" s="40"/>
    </row>
    <row r="204" spans="1:27" x14ac:dyDescent="0.25">
      <c r="R204" s="1"/>
      <c r="S204" s="1"/>
      <c r="T204" s="1">
        <v>2</v>
      </c>
      <c r="U204" s="1" t="s">
        <v>214</v>
      </c>
      <c r="V204" s="1">
        <v>24</v>
      </c>
      <c r="W204" s="1" t="s">
        <v>115</v>
      </c>
      <c r="X204" s="40">
        <f>L50</f>
        <v>178.61779279279278</v>
      </c>
      <c r="Y204" s="40">
        <f>V204*X204</f>
        <v>4286.8270270270268</v>
      </c>
      <c r="Z204" s="40"/>
      <c r="AA204" s="40"/>
    </row>
    <row r="205" spans="1:27" x14ac:dyDescent="0.25">
      <c r="R205" s="1"/>
      <c r="S205" s="1"/>
      <c r="T205" s="1">
        <v>3</v>
      </c>
      <c r="U205" s="1" t="s">
        <v>204</v>
      </c>
      <c r="V205" s="1">
        <v>24</v>
      </c>
      <c r="W205" s="1" t="s">
        <v>115</v>
      </c>
      <c r="X205" s="40">
        <f>L52</f>
        <v>187.33085585585584</v>
      </c>
      <c r="Y205" s="40">
        <f>V205*X205</f>
        <v>4495.9405405405405</v>
      </c>
      <c r="Z205" s="40"/>
      <c r="AA205" s="40"/>
    </row>
    <row r="206" spans="1:27" x14ac:dyDescent="0.25">
      <c r="R206" s="1"/>
      <c r="S206" s="1"/>
      <c r="T206" s="1">
        <v>4</v>
      </c>
      <c r="U206" s="1" t="s">
        <v>200</v>
      </c>
      <c r="V206" s="1">
        <v>24</v>
      </c>
      <c r="W206" s="1" t="s">
        <v>115</v>
      </c>
      <c r="X206" s="40">
        <f>L55</f>
        <v>182.97432432432433</v>
      </c>
      <c r="Y206" s="40">
        <f>V206*X206</f>
        <v>4391.3837837837837</v>
      </c>
      <c r="Z206" s="40"/>
      <c r="AA206" s="40"/>
    </row>
    <row r="207" spans="1:27" x14ac:dyDescent="0.25">
      <c r="R207" s="1"/>
      <c r="S207" s="1"/>
      <c r="T207" s="1">
        <v>5</v>
      </c>
      <c r="U207" s="1" t="s">
        <v>209</v>
      </c>
      <c r="V207" s="1">
        <v>1</v>
      </c>
      <c r="W207" s="1"/>
      <c r="X207" s="40">
        <v>300</v>
      </c>
      <c r="Y207" s="40">
        <f>V207*X207</f>
        <v>300</v>
      </c>
      <c r="Z207" s="40"/>
      <c r="AA207" s="40"/>
    </row>
    <row r="208" spans="1:27" x14ac:dyDescent="0.25">
      <c r="A208" s="41"/>
      <c r="B208" s="39"/>
      <c r="C208" s="39"/>
      <c r="D208" s="44"/>
      <c r="E208" s="39"/>
      <c r="F208" s="39"/>
      <c r="G208" s="39"/>
      <c r="H208" s="39"/>
      <c r="I208" s="39"/>
      <c r="J208" s="45"/>
      <c r="R208" s="41">
        <v>2</v>
      </c>
      <c r="S208" s="39"/>
      <c r="T208" s="39"/>
      <c r="U208" s="44" t="s">
        <v>215</v>
      </c>
      <c r="V208" s="39"/>
      <c r="W208" s="39"/>
      <c r="X208" s="39"/>
      <c r="Y208" s="39"/>
      <c r="Z208" s="39"/>
      <c r="AA208" s="45">
        <f>SUM(Z208:Z221)</f>
        <v>36317.287917329093</v>
      </c>
    </row>
    <row r="209" spans="1:27" x14ac:dyDescent="0.25">
      <c r="A209" s="66"/>
      <c r="B209" s="67"/>
      <c r="C209" s="67"/>
      <c r="D209" s="68"/>
      <c r="E209" s="67"/>
      <c r="F209" s="67"/>
      <c r="G209" s="67"/>
      <c r="H209" s="67"/>
      <c r="I209" s="67"/>
      <c r="J209" s="69"/>
      <c r="R209" s="1"/>
      <c r="S209" s="1">
        <v>1</v>
      </c>
      <c r="T209" s="1"/>
      <c r="U209" s="62" t="s">
        <v>216</v>
      </c>
      <c r="V209" s="1"/>
      <c r="W209" s="1"/>
      <c r="X209" s="40"/>
      <c r="Y209" s="40"/>
      <c r="Z209" s="40">
        <f>SUM(Y210:Y215)</f>
        <v>21036.177106518284</v>
      </c>
      <c r="AA209" s="40"/>
    </row>
    <row r="210" spans="1:27" x14ac:dyDescent="0.25">
      <c r="A210" s="66"/>
      <c r="B210" s="67"/>
      <c r="C210" s="67"/>
      <c r="D210" s="68"/>
      <c r="E210" s="67"/>
      <c r="F210" s="67"/>
      <c r="G210" s="67"/>
      <c r="H210" s="67"/>
      <c r="I210" s="67"/>
      <c r="J210" s="69"/>
      <c r="R210" s="1"/>
      <c r="S210" s="1"/>
      <c r="T210" s="1">
        <v>1</v>
      </c>
      <c r="U210" s="1" t="s">
        <v>204</v>
      </c>
      <c r="V210" s="1">
        <v>56</v>
      </c>
      <c r="W210" s="1" t="s">
        <v>115</v>
      </c>
      <c r="X210" s="40">
        <f>L52</f>
        <v>187.33085585585584</v>
      </c>
      <c r="Y210" s="40">
        <f t="shared" ref="Y210:Y215" si="21">V210*X210</f>
        <v>10490.527927927928</v>
      </c>
      <c r="Z210" s="40"/>
      <c r="AA210" s="40"/>
    </row>
    <row r="211" spans="1:27" x14ac:dyDescent="0.25">
      <c r="A211" s="66"/>
      <c r="B211" s="67"/>
      <c r="C211" s="67"/>
      <c r="D211" s="68"/>
      <c r="E211" s="67"/>
      <c r="F211" s="67"/>
      <c r="G211" s="67"/>
      <c r="H211" s="67"/>
      <c r="I211" s="67"/>
      <c r="J211" s="69"/>
      <c r="R211" s="1"/>
      <c r="S211" s="1"/>
      <c r="T211" s="1">
        <v>2</v>
      </c>
      <c r="U211" s="14" t="s">
        <v>205</v>
      </c>
      <c r="V211" s="1">
        <v>56</v>
      </c>
      <c r="W211" s="14" t="s">
        <v>115</v>
      </c>
      <c r="X211" s="48">
        <f>L53</f>
        <v>44.846648118706945</v>
      </c>
      <c r="Y211" s="40">
        <f t="shared" si="21"/>
        <v>2511.4122946475891</v>
      </c>
      <c r="Z211" s="40"/>
      <c r="AA211" s="40"/>
    </row>
    <row r="212" spans="1:27" x14ac:dyDescent="0.25">
      <c r="A212" s="66"/>
      <c r="B212" s="67"/>
      <c r="C212" s="67"/>
      <c r="D212" s="68"/>
      <c r="E212" s="67"/>
      <c r="F212" s="67"/>
      <c r="G212" s="67"/>
      <c r="H212" s="67"/>
      <c r="I212" s="67"/>
      <c r="J212" s="69"/>
      <c r="R212" s="1"/>
      <c r="S212" s="1"/>
      <c r="T212" s="1">
        <v>3</v>
      </c>
      <c r="U212" s="14" t="s">
        <v>157</v>
      </c>
      <c r="V212" s="1">
        <v>56</v>
      </c>
      <c r="W212" s="14" t="s">
        <v>115</v>
      </c>
      <c r="X212" s="48">
        <f>L53</f>
        <v>44.846648118706945</v>
      </c>
      <c r="Y212" s="40">
        <f t="shared" si="21"/>
        <v>2511.4122946475891</v>
      </c>
      <c r="Z212" s="40"/>
      <c r="AA212" s="40"/>
    </row>
    <row r="213" spans="1:27" x14ac:dyDescent="0.25">
      <c r="A213" s="66"/>
      <c r="B213" s="67"/>
      <c r="C213" s="67"/>
      <c r="D213" s="68"/>
      <c r="E213" s="67"/>
      <c r="F213" s="67"/>
      <c r="G213" s="67"/>
      <c r="H213" s="67"/>
      <c r="I213" s="67"/>
      <c r="J213" s="69"/>
      <c r="R213" s="1"/>
      <c r="S213" s="1"/>
      <c r="T213" s="1">
        <v>4</v>
      </c>
      <c r="U213" s="14" t="s">
        <v>158</v>
      </c>
      <c r="V213" s="1">
        <v>56</v>
      </c>
      <c r="W213" s="14" t="s">
        <v>115</v>
      </c>
      <c r="X213" s="48">
        <f>L53</f>
        <v>44.846648118706945</v>
      </c>
      <c r="Y213" s="40">
        <f t="shared" si="21"/>
        <v>2511.4122946475891</v>
      </c>
      <c r="Z213" s="40"/>
      <c r="AA213" s="40"/>
    </row>
    <row r="214" spans="1:27" x14ac:dyDescent="0.25">
      <c r="A214" s="66"/>
      <c r="B214" s="67"/>
      <c r="C214" s="67"/>
      <c r="D214" s="68"/>
      <c r="E214" s="67"/>
      <c r="F214" s="67"/>
      <c r="G214" s="67"/>
      <c r="H214" s="67"/>
      <c r="I214" s="67"/>
      <c r="J214" s="69"/>
      <c r="R214" s="1"/>
      <c r="S214" s="1"/>
      <c r="T214" s="1">
        <v>5</v>
      </c>
      <c r="U214" s="14" t="s">
        <v>206</v>
      </c>
      <c r="V214" s="1">
        <v>56</v>
      </c>
      <c r="W214" s="14" t="s">
        <v>115</v>
      </c>
      <c r="X214" s="48">
        <f>L53</f>
        <v>44.846648118706945</v>
      </c>
      <c r="Y214" s="40">
        <f t="shared" si="21"/>
        <v>2511.4122946475891</v>
      </c>
      <c r="Z214" s="40"/>
      <c r="AA214" s="40"/>
    </row>
    <row r="215" spans="1:27" x14ac:dyDescent="0.25">
      <c r="A215" s="1"/>
      <c r="B215" s="1"/>
      <c r="C215" s="1"/>
      <c r="D215" s="1"/>
      <c r="E215" s="1"/>
      <c r="F215" s="1"/>
      <c r="G215" s="40"/>
      <c r="H215" s="40"/>
      <c r="I215" s="40"/>
      <c r="J215" s="40"/>
      <c r="R215" s="1"/>
      <c r="S215" s="1"/>
      <c r="T215" s="1">
        <v>6</v>
      </c>
      <c r="U215" s="1" t="s">
        <v>209</v>
      </c>
      <c r="V215" s="1">
        <v>1</v>
      </c>
      <c r="W215" s="1"/>
      <c r="X215" s="40">
        <v>500</v>
      </c>
      <c r="Y215" s="40">
        <f t="shared" si="21"/>
        <v>500</v>
      </c>
      <c r="Z215" s="40"/>
      <c r="AA215" s="40"/>
    </row>
    <row r="216" spans="1:27" x14ac:dyDescent="0.25">
      <c r="A216" s="1"/>
      <c r="B216" s="1"/>
      <c r="C216" s="1"/>
      <c r="D216" s="1"/>
      <c r="E216" s="1"/>
      <c r="F216" s="1"/>
      <c r="G216" s="40"/>
      <c r="H216" s="40"/>
      <c r="I216" s="40"/>
      <c r="J216" s="40"/>
      <c r="R216" s="1"/>
      <c r="S216" s="1">
        <v>2</v>
      </c>
      <c r="T216" s="1"/>
      <c r="U216" s="62" t="s">
        <v>217</v>
      </c>
      <c r="V216" s="1"/>
      <c r="W216" s="1"/>
      <c r="X216" s="40"/>
      <c r="Y216" s="40"/>
      <c r="Z216" s="40">
        <f>SUM(Y217:Y221)</f>
        <v>15281.110810810809</v>
      </c>
      <c r="AA216" s="40"/>
    </row>
    <row r="217" spans="1:27" x14ac:dyDescent="0.25">
      <c r="A217" s="1"/>
      <c r="B217" s="1"/>
      <c r="C217" s="1"/>
      <c r="D217" s="1"/>
      <c r="E217" s="1"/>
      <c r="F217" s="1"/>
      <c r="G217" s="40"/>
      <c r="H217" s="40"/>
      <c r="I217" s="40"/>
      <c r="J217" s="40"/>
      <c r="R217" s="1"/>
      <c r="S217" s="1"/>
      <c r="T217" s="1">
        <v>1</v>
      </c>
      <c r="U217" s="1" t="s">
        <v>218</v>
      </c>
      <c r="V217" s="1">
        <v>1</v>
      </c>
      <c r="W217" s="1"/>
      <c r="X217" s="40">
        <v>300</v>
      </c>
      <c r="Y217" s="40">
        <f>V217*X217</f>
        <v>300</v>
      </c>
      <c r="Z217" s="40"/>
      <c r="AA217" s="40"/>
    </row>
    <row r="218" spans="1:27" x14ac:dyDescent="0.25">
      <c r="A218" s="1"/>
      <c r="B218" s="1"/>
      <c r="C218" s="1"/>
      <c r="D218" s="1"/>
      <c r="E218" s="1"/>
      <c r="F218" s="1"/>
      <c r="G218" s="40"/>
      <c r="H218" s="40"/>
      <c r="I218" s="40"/>
      <c r="J218" s="40"/>
      <c r="R218" s="1"/>
      <c r="S218" s="1"/>
      <c r="T218" s="1">
        <v>2</v>
      </c>
      <c r="U218" s="14" t="s">
        <v>219</v>
      </c>
      <c r="V218" s="1">
        <v>56</v>
      </c>
      <c r="W218" s="14" t="s">
        <v>115</v>
      </c>
      <c r="X218" s="48">
        <f>L48</f>
        <v>159.01340090090088</v>
      </c>
      <c r="Y218" s="40">
        <f>V218*X218</f>
        <v>8904.7504504504486</v>
      </c>
      <c r="Z218" s="40"/>
      <c r="AA218" s="40"/>
    </row>
    <row r="219" spans="1:27" x14ac:dyDescent="0.25">
      <c r="A219" s="1"/>
      <c r="B219" s="1"/>
      <c r="C219" s="1"/>
      <c r="D219" s="1"/>
      <c r="E219" s="1"/>
      <c r="F219" s="1"/>
      <c r="G219" s="40"/>
      <c r="H219" s="40"/>
      <c r="I219" s="40"/>
      <c r="J219" s="40"/>
      <c r="R219" s="1"/>
      <c r="S219" s="1"/>
      <c r="T219" s="1">
        <v>3</v>
      </c>
      <c r="U219" s="14" t="s">
        <v>220</v>
      </c>
      <c r="V219" s="1">
        <v>56</v>
      </c>
      <c r="W219" s="14" t="s">
        <v>115</v>
      </c>
      <c r="X219" s="48">
        <f>L49</f>
        <v>49.788931788931791</v>
      </c>
      <c r="Y219" s="40">
        <f>V219*X219</f>
        <v>2788.1801801801803</v>
      </c>
      <c r="Z219" s="40"/>
      <c r="AA219" s="40"/>
    </row>
    <row r="220" spans="1:27" x14ac:dyDescent="0.25">
      <c r="A220" s="1"/>
      <c r="B220" s="1"/>
      <c r="C220" s="1"/>
      <c r="D220" s="1"/>
      <c r="E220" s="1"/>
      <c r="F220" s="1"/>
      <c r="G220" s="40"/>
      <c r="H220" s="40"/>
      <c r="I220" s="40"/>
      <c r="J220" s="40"/>
      <c r="R220" s="1"/>
      <c r="S220" s="1"/>
      <c r="T220" s="1">
        <v>4</v>
      </c>
      <c r="U220" s="14" t="s">
        <v>221</v>
      </c>
      <c r="V220" s="1">
        <v>56</v>
      </c>
      <c r="W220" s="14" t="s">
        <v>115</v>
      </c>
      <c r="X220" s="48">
        <f>L49</f>
        <v>49.788931788931791</v>
      </c>
      <c r="Y220" s="40">
        <f>V220*X220</f>
        <v>2788.1801801801803</v>
      </c>
      <c r="Z220" s="40"/>
      <c r="AA220" s="40"/>
    </row>
    <row r="221" spans="1:27" x14ac:dyDescent="0.25">
      <c r="A221" s="1"/>
      <c r="B221" s="1"/>
      <c r="C221" s="1"/>
      <c r="D221" s="1"/>
      <c r="E221" s="1"/>
      <c r="F221" s="1"/>
      <c r="G221" s="40"/>
      <c r="H221" s="40"/>
      <c r="I221" s="40"/>
      <c r="J221" s="40"/>
      <c r="R221" s="1"/>
      <c r="S221" s="1"/>
      <c r="T221" s="1">
        <v>5</v>
      </c>
      <c r="U221" s="1" t="s">
        <v>209</v>
      </c>
      <c r="V221" s="1">
        <v>1</v>
      </c>
      <c r="W221" s="1"/>
      <c r="X221" s="40">
        <v>500</v>
      </c>
      <c r="Y221" s="40">
        <f>V221*X221</f>
        <v>500</v>
      </c>
      <c r="Z221" s="40"/>
      <c r="AA221" s="40"/>
    </row>
    <row r="222" spans="1:27" x14ac:dyDescent="0.25">
      <c r="A222" s="1"/>
      <c r="B222" s="1"/>
      <c r="C222" s="1"/>
      <c r="D222" s="1"/>
      <c r="E222" s="1"/>
      <c r="F222" s="1"/>
      <c r="G222" s="40"/>
      <c r="H222" s="40"/>
      <c r="I222" s="40"/>
      <c r="J222" s="40"/>
      <c r="X222" s="65"/>
      <c r="Y222" s="65"/>
      <c r="Z222" s="65"/>
      <c r="AA222" s="65"/>
    </row>
    <row r="223" spans="1:27" x14ac:dyDescent="0.25">
      <c r="A223" s="1"/>
      <c r="B223" s="1"/>
      <c r="C223" s="1"/>
      <c r="D223" s="1"/>
      <c r="E223" s="1"/>
      <c r="F223" s="1"/>
      <c r="G223" s="40"/>
      <c r="H223" s="40"/>
      <c r="I223" s="40"/>
      <c r="J223" s="40"/>
      <c r="X223" s="65"/>
      <c r="Y223" s="65"/>
      <c r="Z223" s="65"/>
      <c r="AA223" s="65"/>
    </row>
    <row r="224" spans="1:27" x14ac:dyDescent="0.25">
      <c r="A224" s="1"/>
      <c r="B224" s="1"/>
      <c r="C224" s="1"/>
      <c r="D224" s="1"/>
      <c r="E224" s="1"/>
      <c r="F224" s="1"/>
      <c r="G224" s="40"/>
      <c r="H224" s="40"/>
      <c r="I224" s="40"/>
      <c r="J224" s="40"/>
      <c r="X224" s="65"/>
      <c r="Y224" s="65"/>
      <c r="Z224" s="65"/>
      <c r="AA224" s="65"/>
    </row>
    <row r="225" spans="1:29" x14ac:dyDescent="0.25">
      <c r="A225" s="1"/>
      <c r="B225" s="1"/>
      <c r="C225" s="1"/>
      <c r="D225" s="1"/>
      <c r="E225" s="1"/>
      <c r="F225" s="1"/>
      <c r="G225" s="40"/>
      <c r="H225" s="40"/>
      <c r="I225" s="40"/>
      <c r="J225" s="40"/>
      <c r="X225" s="65"/>
      <c r="Y225" s="65"/>
      <c r="Z225" s="65"/>
      <c r="AA225" s="65"/>
    </row>
    <row r="226" spans="1:29" x14ac:dyDescent="0.25">
      <c r="A226" s="1"/>
      <c r="B226" s="1"/>
      <c r="C226" s="1"/>
      <c r="D226" s="1"/>
      <c r="E226" s="1"/>
      <c r="F226" s="1"/>
      <c r="G226" s="40"/>
      <c r="H226" s="40"/>
      <c r="I226" s="40"/>
      <c r="J226" s="40"/>
    </row>
    <row r="227" spans="1:29" x14ac:dyDescent="0.25">
      <c r="A227" s="1"/>
      <c r="B227" s="1"/>
      <c r="C227" s="1"/>
      <c r="D227" s="1"/>
      <c r="E227" s="1"/>
      <c r="F227" s="1"/>
      <c r="G227" s="40"/>
      <c r="H227" s="40"/>
      <c r="I227" s="40"/>
      <c r="J227" s="40"/>
    </row>
    <row r="228" spans="1:29" x14ac:dyDescent="0.25">
      <c r="A228" s="1"/>
      <c r="B228" s="1"/>
      <c r="C228" s="1"/>
      <c r="D228" s="1"/>
      <c r="E228" s="1"/>
      <c r="F228" s="1"/>
      <c r="G228" s="40"/>
      <c r="H228" s="40"/>
      <c r="I228" s="40"/>
      <c r="J228" s="40"/>
      <c r="P228" s="86" t="s">
        <v>222</v>
      </c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</row>
    <row r="229" spans="1:29" x14ac:dyDescent="0.25">
      <c r="A229" s="1"/>
      <c r="B229" s="1"/>
      <c r="C229" s="1"/>
      <c r="D229" s="1"/>
      <c r="E229" s="1"/>
      <c r="F229" s="1"/>
      <c r="G229" s="40"/>
      <c r="H229" s="40"/>
      <c r="I229" s="40"/>
      <c r="J229" s="40"/>
      <c r="P229" s="9" t="s">
        <v>103</v>
      </c>
      <c r="Q229" s="9" t="s">
        <v>104</v>
      </c>
      <c r="R229" s="9" t="s">
        <v>105</v>
      </c>
      <c r="S229" s="9" t="s">
        <v>151</v>
      </c>
      <c r="T229" s="9" t="s">
        <v>152</v>
      </c>
      <c r="U229" s="9" t="s">
        <v>106</v>
      </c>
      <c r="V229" s="9" t="s">
        <v>107</v>
      </c>
      <c r="W229" s="9" t="s">
        <v>44</v>
      </c>
      <c r="X229" s="9" t="s">
        <v>45</v>
      </c>
      <c r="Y229" s="9" t="s">
        <v>153</v>
      </c>
      <c r="Z229" s="9" t="s">
        <v>154</v>
      </c>
      <c r="AA229" s="9" t="s">
        <v>108</v>
      </c>
      <c r="AB229" s="9" t="s">
        <v>109</v>
      </c>
      <c r="AC229" s="9" t="s">
        <v>5</v>
      </c>
    </row>
    <row r="230" spans="1:29" x14ac:dyDescent="0.25">
      <c r="P230" s="42">
        <v>1</v>
      </c>
      <c r="Q230" s="42"/>
      <c r="R230" s="42"/>
      <c r="S230" s="42"/>
      <c r="T230" s="1"/>
      <c r="U230" s="43" t="s">
        <v>222</v>
      </c>
      <c r="V230" s="42"/>
      <c r="W230" s="42"/>
      <c r="X230" s="46"/>
      <c r="Y230" s="46"/>
      <c r="Z230" s="46"/>
      <c r="AA230" s="46"/>
      <c r="AB230" s="1"/>
      <c r="AC230" s="40">
        <f>SUM(AB231,AB235,AB238,AB279)</f>
        <v>32762.183207913797</v>
      </c>
    </row>
    <row r="231" spans="1:29" x14ac:dyDescent="0.25">
      <c r="P231" s="1"/>
      <c r="Q231" s="1">
        <v>1</v>
      </c>
      <c r="R231" s="1"/>
      <c r="S231" s="1"/>
      <c r="T231" s="1"/>
      <c r="U231" s="1" t="s">
        <v>223</v>
      </c>
      <c r="V231" s="1"/>
      <c r="W231" s="1"/>
      <c r="X231" s="40"/>
      <c r="Y231" s="40"/>
      <c r="Z231" s="40"/>
      <c r="AA231" s="40"/>
      <c r="AB231" s="40">
        <f>SUM(AA232:AA234)</f>
        <v>9218.02027027027</v>
      </c>
      <c r="AC231" s="1"/>
    </row>
    <row r="232" spans="1:29" x14ac:dyDescent="0.25">
      <c r="P232" s="1"/>
      <c r="Q232" s="1"/>
      <c r="R232" s="1">
        <v>1</v>
      </c>
      <c r="S232" s="1"/>
      <c r="T232" s="1"/>
      <c r="U232" s="1" t="s">
        <v>218</v>
      </c>
      <c r="V232" s="1">
        <v>1</v>
      </c>
      <c r="W232" s="1"/>
      <c r="X232" s="40">
        <v>200</v>
      </c>
      <c r="Y232" s="40"/>
      <c r="Z232" s="40"/>
      <c r="AA232" s="40">
        <f>V232*X232</f>
        <v>200</v>
      </c>
      <c r="AB232" s="1"/>
      <c r="AC232" s="1"/>
    </row>
    <row r="233" spans="1:29" x14ac:dyDescent="0.25">
      <c r="P233" s="1"/>
      <c r="Q233" s="1"/>
      <c r="R233" s="1">
        <v>2</v>
      </c>
      <c r="S233" s="1"/>
      <c r="T233" s="1"/>
      <c r="U233" s="1" t="s">
        <v>219</v>
      </c>
      <c r="V233" s="1">
        <v>40</v>
      </c>
      <c r="W233" s="1" t="s">
        <v>115</v>
      </c>
      <c r="X233" s="40">
        <f>L48</f>
        <v>159.01340090090088</v>
      </c>
      <c r="Y233" s="40"/>
      <c r="Z233" s="40"/>
      <c r="AA233" s="40">
        <f>V233*X233</f>
        <v>6360.5360360360355</v>
      </c>
      <c r="AB233" s="1"/>
      <c r="AC233" s="1"/>
    </row>
    <row r="234" spans="1:29" x14ac:dyDescent="0.25">
      <c r="P234" s="1"/>
      <c r="Q234" s="1"/>
      <c r="R234" s="1">
        <v>3</v>
      </c>
      <c r="S234" s="1"/>
      <c r="T234" s="1"/>
      <c r="U234" s="1" t="s">
        <v>224</v>
      </c>
      <c r="V234" s="1">
        <v>40</v>
      </c>
      <c r="W234" s="1" t="s">
        <v>115</v>
      </c>
      <c r="X234" s="40">
        <f>L54</f>
        <v>66.437105855855862</v>
      </c>
      <c r="Y234" s="40"/>
      <c r="Z234" s="40"/>
      <c r="AA234" s="40">
        <f>V234*X234</f>
        <v>2657.4842342342345</v>
      </c>
      <c r="AB234" s="1"/>
      <c r="AC234" s="1"/>
    </row>
    <row r="235" spans="1:29" x14ac:dyDescent="0.25">
      <c r="P235" s="1"/>
      <c r="Q235" s="1">
        <v>2</v>
      </c>
      <c r="R235" s="1"/>
      <c r="S235" s="1"/>
      <c r="T235" s="1"/>
      <c r="U235" s="1" t="s">
        <v>225</v>
      </c>
      <c r="V235" s="1"/>
      <c r="W235" s="1"/>
      <c r="X235" s="40"/>
      <c r="Y235" s="40"/>
      <c r="Z235" s="40"/>
      <c r="AA235" s="40"/>
      <c r="AB235" s="40">
        <f>SUM(AA236:AA237)</f>
        <v>2972.0060060060059</v>
      </c>
      <c r="AC235" s="1"/>
    </row>
    <row r="236" spans="1:29" x14ac:dyDescent="0.25">
      <c r="P236" s="1"/>
      <c r="Q236" s="1"/>
      <c r="R236" s="1">
        <v>1</v>
      </c>
      <c r="S236" s="1"/>
      <c r="T236" s="1"/>
      <c r="U236" s="1" t="s">
        <v>218</v>
      </c>
      <c r="V236" s="1">
        <v>1</v>
      </c>
      <c r="W236" s="1"/>
      <c r="X236" s="40">
        <v>300</v>
      </c>
      <c r="Y236" s="40"/>
      <c r="Z236" s="40"/>
      <c r="AA236" s="40">
        <f>V236*X236</f>
        <v>300</v>
      </c>
      <c r="AB236" s="1"/>
      <c r="AC236" s="1"/>
    </row>
    <row r="237" spans="1:29" x14ac:dyDescent="0.25">
      <c r="P237" s="1"/>
      <c r="Q237" s="1"/>
      <c r="R237" s="1">
        <v>2</v>
      </c>
      <c r="S237" s="1"/>
      <c r="T237" s="1"/>
      <c r="U237" s="1" t="s">
        <v>226</v>
      </c>
      <c r="V237" s="1">
        <v>40</v>
      </c>
      <c r="W237" s="1" t="s">
        <v>115</v>
      </c>
      <c r="X237" s="40">
        <f>L46</f>
        <v>66.800150150150145</v>
      </c>
      <c r="Y237" s="40"/>
      <c r="Z237" s="40"/>
      <c r="AA237" s="40">
        <f>V237*X237</f>
        <v>2672.0060060060059</v>
      </c>
      <c r="AB237" s="1"/>
      <c r="AC237" s="1"/>
    </row>
    <row r="238" spans="1:29" x14ac:dyDescent="0.25">
      <c r="P238" s="1"/>
      <c r="Q238" s="1">
        <v>3</v>
      </c>
      <c r="R238" s="1"/>
      <c r="S238" s="1"/>
      <c r="T238" s="1"/>
      <c r="U238" s="1" t="s">
        <v>227</v>
      </c>
      <c r="V238" s="1"/>
      <c r="W238" s="1"/>
      <c r="X238" s="40"/>
      <c r="Y238" s="40"/>
      <c r="Z238" s="40"/>
      <c r="AA238" s="40"/>
      <c r="AB238" s="40">
        <f>SUM(AA239,AA242,AA244,AA246,AA248,AA256,AA267)</f>
        <v>16445.650264970856</v>
      </c>
      <c r="AC238" s="1"/>
    </row>
    <row r="239" spans="1:29" x14ac:dyDescent="0.25">
      <c r="P239" s="1"/>
      <c r="Q239" s="1"/>
      <c r="R239" s="1">
        <v>1</v>
      </c>
      <c r="S239" s="1"/>
      <c r="T239" s="1"/>
      <c r="U239" s="1" t="s">
        <v>228</v>
      </c>
      <c r="V239" s="1"/>
      <c r="W239" s="1"/>
      <c r="X239" s="40"/>
      <c r="Y239" s="40"/>
      <c r="Z239" s="40"/>
      <c r="AA239" s="40">
        <f>SUM(Z240:Z241)</f>
        <v>1522.223370429253</v>
      </c>
      <c r="AB239" s="1"/>
      <c r="AC239" s="1"/>
    </row>
    <row r="240" spans="1:29" x14ac:dyDescent="0.25">
      <c r="P240" s="1"/>
      <c r="Q240" s="1"/>
      <c r="R240" s="1"/>
      <c r="S240" s="1">
        <v>1</v>
      </c>
      <c r="T240" s="1"/>
      <c r="U240" s="1" t="s">
        <v>229</v>
      </c>
      <c r="V240" s="1">
        <v>12</v>
      </c>
      <c r="W240" s="1" t="s">
        <v>115</v>
      </c>
      <c r="X240" s="40">
        <f>L51</f>
        <v>34.595985691573929</v>
      </c>
      <c r="Y240" s="40"/>
      <c r="Z240" s="40">
        <f>V240*X240</f>
        <v>415.15182829888715</v>
      </c>
      <c r="AA240" s="40"/>
      <c r="AB240" s="1"/>
      <c r="AC240" s="1"/>
    </row>
    <row r="241" spans="16:29" x14ac:dyDescent="0.25">
      <c r="P241" s="1"/>
      <c r="Q241" s="1"/>
      <c r="R241" s="1"/>
      <c r="S241" s="1">
        <v>2</v>
      </c>
      <c r="T241" s="1"/>
      <c r="U241" s="1" t="s">
        <v>191</v>
      </c>
      <c r="V241" s="1">
        <v>32</v>
      </c>
      <c r="W241" s="1" t="s">
        <v>115</v>
      </c>
      <c r="X241" s="40">
        <f>L51</f>
        <v>34.595985691573929</v>
      </c>
      <c r="Y241" s="40"/>
      <c r="Z241" s="40">
        <f>V241*X241</f>
        <v>1107.0715421303657</v>
      </c>
      <c r="AA241" s="40"/>
      <c r="AB241" s="1"/>
      <c r="AC241" s="1"/>
    </row>
    <row r="242" spans="16:29" x14ac:dyDescent="0.25">
      <c r="P242" s="1"/>
      <c r="Q242" s="1"/>
      <c r="R242" s="1">
        <v>2</v>
      </c>
      <c r="S242" s="1"/>
      <c r="T242" s="1"/>
      <c r="U242" s="1" t="s">
        <v>230</v>
      </c>
      <c r="V242" s="1"/>
      <c r="W242" s="1"/>
      <c r="X242" s="40"/>
      <c r="Y242" s="40"/>
      <c r="Z242" s="40"/>
      <c r="AA242" s="40">
        <f>Z243</f>
        <v>553.53577106518287</v>
      </c>
      <c r="AB242" s="1"/>
      <c r="AC242" s="1"/>
    </row>
    <row r="243" spans="16:29" x14ac:dyDescent="0.25">
      <c r="P243" s="1"/>
      <c r="Q243" s="1"/>
      <c r="R243" s="1"/>
      <c r="S243" s="1">
        <v>1</v>
      </c>
      <c r="T243" s="1"/>
      <c r="U243" s="1" t="s">
        <v>231</v>
      </c>
      <c r="V243" s="1">
        <v>16</v>
      </c>
      <c r="W243" s="1" t="s">
        <v>115</v>
      </c>
      <c r="X243" s="40">
        <f>L51</f>
        <v>34.595985691573929</v>
      </c>
      <c r="Y243" s="40"/>
      <c r="Z243" s="40">
        <f>V243*X243</f>
        <v>553.53577106518287</v>
      </c>
      <c r="AA243" s="40"/>
      <c r="AB243" s="1"/>
      <c r="AC243" s="1"/>
    </row>
    <row r="244" spans="16:29" x14ac:dyDescent="0.25">
      <c r="P244" s="1"/>
      <c r="Q244" s="1"/>
      <c r="R244" s="1">
        <v>3</v>
      </c>
      <c r="S244" s="1"/>
      <c r="T244" s="1"/>
      <c r="U244" s="1" t="s">
        <v>232</v>
      </c>
      <c r="V244" s="1"/>
      <c r="W244" s="1"/>
      <c r="X244" s="1"/>
      <c r="Y244" s="40"/>
      <c r="Z244" s="40"/>
      <c r="AA244" s="40">
        <f>Z245</f>
        <v>553.53577106518287</v>
      </c>
      <c r="AB244" s="1"/>
      <c r="AC244" s="1"/>
    </row>
    <row r="245" spans="16:29" x14ac:dyDescent="0.25">
      <c r="P245" s="1"/>
      <c r="Q245" s="1"/>
      <c r="R245" s="1"/>
      <c r="S245" s="1">
        <v>1</v>
      </c>
      <c r="T245" s="1"/>
      <c r="U245" s="1" t="s">
        <v>233</v>
      </c>
      <c r="V245" s="1">
        <v>16</v>
      </c>
      <c r="W245" s="1" t="s">
        <v>115</v>
      </c>
      <c r="X245" s="40">
        <f>L51</f>
        <v>34.595985691573929</v>
      </c>
      <c r="Y245" s="40"/>
      <c r="Z245" s="40">
        <f>V245*X245</f>
        <v>553.53577106518287</v>
      </c>
      <c r="AA245" s="40"/>
      <c r="AB245" s="1"/>
      <c r="AC245" s="1"/>
    </row>
    <row r="246" spans="16:29" x14ac:dyDescent="0.25">
      <c r="P246" s="1"/>
      <c r="Q246" s="1"/>
      <c r="R246" s="1">
        <v>4</v>
      </c>
      <c r="S246" s="1"/>
      <c r="T246" s="1"/>
      <c r="U246" s="1" t="s">
        <v>234</v>
      </c>
      <c r="V246" s="1"/>
      <c r="W246" s="1"/>
      <c r="X246" s="40"/>
      <c r="Y246" s="40"/>
      <c r="Z246" s="40"/>
      <c r="AA246" s="40">
        <f>Z247</f>
        <v>553.53577106518287</v>
      </c>
      <c r="AB246" s="1"/>
      <c r="AC246" s="1"/>
    </row>
    <row r="247" spans="16:29" x14ac:dyDescent="0.25">
      <c r="P247" s="1"/>
      <c r="Q247" s="1"/>
      <c r="R247" s="1"/>
      <c r="S247" s="1">
        <v>1</v>
      </c>
      <c r="T247" s="1"/>
      <c r="U247" s="1" t="s">
        <v>229</v>
      </c>
      <c r="V247" s="1">
        <v>16</v>
      </c>
      <c r="W247" s="1" t="s">
        <v>115</v>
      </c>
      <c r="X247" s="40">
        <f>L51</f>
        <v>34.595985691573929</v>
      </c>
      <c r="Y247" s="40"/>
      <c r="Z247" s="40">
        <f>V247*X247</f>
        <v>553.53577106518287</v>
      </c>
      <c r="AA247" s="40"/>
      <c r="AB247" s="1"/>
      <c r="AC247" s="1"/>
    </row>
    <row r="248" spans="16:29" x14ac:dyDescent="0.25">
      <c r="P248" s="1"/>
      <c r="Q248" s="1"/>
      <c r="R248" s="1">
        <v>5</v>
      </c>
      <c r="S248" s="1"/>
      <c r="T248" s="1"/>
      <c r="U248" s="1" t="s">
        <v>235</v>
      </c>
      <c r="V248" s="1"/>
      <c r="W248" s="1"/>
      <c r="X248" s="40"/>
      <c r="Y248" s="40"/>
      <c r="Z248" s="40"/>
      <c r="AA248" s="40">
        <f>SUM(Z249:Z255)</f>
        <v>2192.1041600423955</v>
      </c>
      <c r="AB248" s="1"/>
      <c r="AC248" s="1"/>
    </row>
    <row r="249" spans="16:29" x14ac:dyDescent="0.25">
      <c r="P249" s="1"/>
      <c r="Q249" s="1"/>
      <c r="R249" s="1"/>
      <c r="S249" s="1">
        <v>1</v>
      </c>
      <c r="T249" s="1"/>
      <c r="U249" s="1" t="s">
        <v>236</v>
      </c>
      <c r="V249" s="1"/>
      <c r="W249" s="1"/>
      <c r="X249" s="40"/>
      <c r="Y249" s="40"/>
      <c r="Z249" s="40">
        <f>Y250</f>
        <v>415.15182829888715</v>
      </c>
      <c r="AA249" s="40"/>
      <c r="AB249" s="1"/>
      <c r="AC249" s="1"/>
    </row>
    <row r="250" spans="16:29" x14ac:dyDescent="0.25">
      <c r="P250" s="1"/>
      <c r="Q250" s="1"/>
      <c r="R250" s="1"/>
      <c r="S250" s="1"/>
      <c r="T250" s="1">
        <v>1</v>
      </c>
      <c r="U250" s="1" t="s">
        <v>237</v>
      </c>
      <c r="V250" s="1">
        <v>12</v>
      </c>
      <c r="W250" s="1" t="s">
        <v>115</v>
      </c>
      <c r="X250" s="40">
        <f>L51</f>
        <v>34.595985691573929</v>
      </c>
      <c r="Y250" s="40">
        <f>X250*V250</f>
        <v>415.15182829888715</v>
      </c>
      <c r="Z250" s="40"/>
      <c r="AA250" s="40"/>
      <c r="AB250" s="1"/>
      <c r="AC250" s="1"/>
    </row>
    <row r="251" spans="16:29" x14ac:dyDescent="0.25">
      <c r="P251" s="1"/>
      <c r="Q251" s="1"/>
      <c r="R251" s="1"/>
      <c r="S251" s="1">
        <v>2</v>
      </c>
      <c r="T251" s="1"/>
      <c r="U251" s="1" t="s">
        <v>238</v>
      </c>
      <c r="V251" s="1"/>
      <c r="W251" s="1"/>
      <c r="X251" s="40"/>
      <c r="Y251" s="40"/>
      <c r="Z251" s="40">
        <f>SUM(Y252:Y253)</f>
        <v>1085.0326179120298</v>
      </c>
      <c r="AA251" s="40"/>
      <c r="AB251" s="1"/>
      <c r="AC251" s="1"/>
    </row>
    <row r="252" spans="16:29" x14ac:dyDescent="0.25">
      <c r="P252" s="1"/>
      <c r="Q252" s="1"/>
      <c r="R252" s="1"/>
      <c r="S252" s="1"/>
      <c r="T252" s="1">
        <v>1</v>
      </c>
      <c r="U252" s="1" t="s">
        <v>237</v>
      </c>
      <c r="V252" s="1">
        <v>16</v>
      </c>
      <c r="W252" s="1" t="s">
        <v>115</v>
      </c>
      <c r="X252" s="40">
        <f>L51</f>
        <v>34.595985691573929</v>
      </c>
      <c r="Y252" s="40">
        <f>X252*V252</f>
        <v>553.53577106518287</v>
      </c>
      <c r="Z252" s="40"/>
      <c r="AA252" s="40"/>
      <c r="AB252" s="1"/>
      <c r="AC252" s="1"/>
    </row>
    <row r="253" spans="16:29" x14ac:dyDescent="0.25">
      <c r="P253" s="1"/>
      <c r="Q253" s="1"/>
      <c r="R253" s="1"/>
      <c r="S253" s="1"/>
      <c r="T253" s="1">
        <v>2</v>
      </c>
      <c r="U253" s="1" t="s">
        <v>239</v>
      </c>
      <c r="V253" s="1">
        <v>8</v>
      </c>
      <c r="W253" s="1" t="s">
        <v>115</v>
      </c>
      <c r="X253" s="40">
        <f>L54</f>
        <v>66.437105855855862</v>
      </c>
      <c r="Y253" s="40">
        <f>X253*V253</f>
        <v>531.49684684684689</v>
      </c>
      <c r="Z253" s="40"/>
      <c r="AA253" s="40"/>
      <c r="AB253" s="1"/>
      <c r="AC253" s="1"/>
    </row>
    <row r="254" spans="16:29" x14ac:dyDescent="0.25">
      <c r="P254" s="1"/>
      <c r="Q254" s="1"/>
      <c r="R254" s="1"/>
      <c r="S254" s="1">
        <v>3</v>
      </c>
      <c r="T254" s="1"/>
      <c r="U254" s="1" t="s">
        <v>240</v>
      </c>
      <c r="V254" s="1"/>
      <c r="W254" s="1"/>
      <c r="X254" s="40"/>
      <c r="Y254" s="40"/>
      <c r="Z254" s="40">
        <f>Y255</f>
        <v>691.91971383147859</v>
      </c>
      <c r="AA254" s="40"/>
      <c r="AB254" s="1"/>
      <c r="AC254" s="1"/>
    </row>
    <row r="255" spans="16:29" x14ac:dyDescent="0.25">
      <c r="P255" s="1"/>
      <c r="Q255" s="1"/>
      <c r="R255" s="1"/>
      <c r="S255" s="1"/>
      <c r="T255" s="1">
        <v>1</v>
      </c>
      <c r="U255" s="1" t="s">
        <v>241</v>
      </c>
      <c r="V255" s="1">
        <v>20</v>
      </c>
      <c r="W255" s="1" t="s">
        <v>115</v>
      </c>
      <c r="X255" s="40">
        <f>L51</f>
        <v>34.595985691573929</v>
      </c>
      <c r="Y255" s="40">
        <f>X255*V255</f>
        <v>691.91971383147859</v>
      </c>
      <c r="Z255" s="40"/>
      <c r="AA255" s="40"/>
      <c r="AB255" s="1"/>
      <c r="AC255" s="1"/>
    </row>
    <row r="256" spans="16:29" x14ac:dyDescent="0.25">
      <c r="P256" s="1"/>
      <c r="Q256" s="1"/>
      <c r="R256" s="1">
        <v>6</v>
      </c>
      <c r="S256" s="1"/>
      <c r="T256" s="1"/>
      <c r="U256" s="1" t="s">
        <v>242</v>
      </c>
      <c r="V256" s="1"/>
      <c r="W256" s="1"/>
      <c r="X256" s="40"/>
      <c r="Y256" s="40"/>
      <c r="Z256" s="40"/>
      <c r="AA256" s="40">
        <f>SUM(Z257:Z266)</f>
        <v>4705.0540540540551</v>
      </c>
      <c r="AB256" s="1"/>
      <c r="AC256" s="1"/>
    </row>
    <row r="257" spans="16:29" x14ac:dyDescent="0.25">
      <c r="P257" s="1"/>
      <c r="Q257" s="1"/>
      <c r="R257" s="1"/>
      <c r="S257" s="1">
        <v>1</v>
      </c>
      <c r="T257" s="1"/>
      <c r="U257" s="1" t="s">
        <v>243</v>
      </c>
      <c r="V257" s="1"/>
      <c r="W257" s="1"/>
      <c r="X257" s="40"/>
      <c r="Y257" s="40"/>
      <c r="Z257" s="40">
        <f>Y258</f>
        <v>830.30365659777431</v>
      </c>
      <c r="AA257" s="40"/>
      <c r="AB257" s="1"/>
      <c r="AC257" s="1"/>
    </row>
    <row r="258" spans="16:29" x14ac:dyDescent="0.25">
      <c r="P258" s="1"/>
      <c r="Q258" s="1"/>
      <c r="R258" s="1"/>
      <c r="S258" s="1"/>
      <c r="T258" s="1">
        <v>1</v>
      </c>
      <c r="U258" s="1" t="s">
        <v>237</v>
      </c>
      <c r="V258" s="1">
        <v>24</v>
      </c>
      <c r="W258" s="1" t="s">
        <v>115</v>
      </c>
      <c r="X258" s="40">
        <f>L51</f>
        <v>34.595985691573929</v>
      </c>
      <c r="Y258" s="40">
        <f>V258*X258</f>
        <v>830.30365659777431</v>
      </c>
      <c r="Z258" s="40"/>
      <c r="AA258" s="40"/>
      <c r="AB258" s="1"/>
      <c r="AC258" s="1"/>
    </row>
    <row r="259" spans="16:29" x14ac:dyDescent="0.25">
      <c r="P259" s="1"/>
      <c r="Q259" s="1"/>
      <c r="R259" s="1"/>
      <c r="S259" s="1">
        <v>2</v>
      </c>
      <c r="T259" s="1"/>
      <c r="U259" s="1" t="s">
        <v>244</v>
      </c>
      <c r="V259" s="1"/>
      <c r="W259" s="1"/>
      <c r="X259" s="40"/>
      <c r="Y259" s="40"/>
      <c r="Z259" s="40">
        <f>Y260</f>
        <v>1107.0715421303657</v>
      </c>
      <c r="AA259" s="40"/>
      <c r="AB259" s="1"/>
      <c r="AC259" s="1"/>
    </row>
    <row r="260" spans="16:29" x14ac:dyDescent="0.25">
      <c r="P260" s="1"/>
      <c r="Q260" s="1"/>
      <c r="R260" s="1"/>
      <c r="S260" s="1"/>
      <c r="T260" s="1">
        <v>1</v>
      </c>
      <c r="U260" s="1" t="s">
        <v>245</v>
      </c>
      <c r="V260" s="1">
        <v>32</v>
      </c>
      <c r="W260" s="1" t="s">
        <v>115</v>
      </c>
      <c r="X260" s="40">
        <f>L51</f>
        <v>34.595985691573929</v>
      </c>
      <c r="Y260" s="40">
        <f>V260*X260</f>
        <v>1107.0715421303657</v>
      </c>
      <c r="Z260" s="40"/>
      <c r="AA260" s="40"/>
      <c r="AB260" s="1"/>
      <c r="AC260" s="1"/>
    </row>
    <row r="261" spans="16:29" x14ac:dyDescent="0.25">
      <c r="P261" s="1"/>
      <c r="Q261" s="1"/>
      <c r="R261" s="1"/>
      <c r="S261" s="1">
        <v>3</v>
      </c>
      <c r="T261" s="1"/>
      <c r="U261" s="1" t="s">
        <v>246</v>
      </c>
      <c r="V261" s="1"/>
      <c r="W261" s="1"/>
      <c r="X261" s="40"/>
      <c r="Y261" s="40"/>
      <c r="Z261" s="40">
        <f>Y262</f>
        <v>1107.0715421303657</v>
      </c>
      <c r="AA261" s="40"/>
      <c r="AB261" s="1"/>
      <c r="AC261" s="1"/>
    </row>
    <row r="262" spans="16:29" x14ac:dyDescent="0.25">
      <c r="P262" s="1"/>
      <c r="Q262" s="1"/>
      <c r="R262" s="1"/>
      <c r="S262" s="1"/>
      <c r="T262" s="1">
        <v>1</v>
      </c>
      <c r="U262" s="1" t="s">
        <v>245</v>
      </c>
      <c r="V262" s="1">
        <v>32</v>
      </c>
      <c r="W262" s="1" t="s">
        <v>115</v>
      </c>
      <c r="X262" s="40">
        <f>L51</f>
        <v>34.595985691573929</v>
      </c>
      <c r="Y262" s="40">
        <f>V262*X262</f>
        <v>1107.0715421303657</v>
      </c>
      <c r="Z262" s="40"/>
      <c r="AA262" s="40"/>
      <c r="AB262" s="1"/>
      <c r="AC262" s="1"/>
    </row>
    <row r="263" spans="16:29" x14ac:dyDescent="0.25">
      <c r="P263" s="1"/>
      <c r="Q263" s="1"/>
      <c r="R263" s="1"/>
      <c r="S263" s="1">
        <v>4</v>
      </c>
      <c r="T263" s="1"/>
      <c r="U263" s="1" t="s">
        <v>247</v>
      </c>
      <c r="V263" s="1"/>
      <c r="W263" s="1"/>
      <c r="X263" s="40"/>
      <c r="Y263" s="40"/>
      <c r="Z263" s="40">
        <f>Y264</f>
        <v>830.30365659777431</v>
      </c>
      <c r="AA263" s="40"/>
      <c r="AB263" s="1"/>
      <c r="AC263" s="1"/>
    </row>
    <row r="264" spans="16:29" x14ac:dyDescent="0.25">
      <c r="P264" s="1"/>
      <c r="Q264" s="1"/>
      <c r="R264" s="1"/>
      <c r="S264" s="1"/>
      <c r="T264" s="1">
        <v>1</v>
      </c>
      <c r="U264" s="1" t="s">
        <v>237</v>
      </c>
      <c r="V264" s="1">
        <v>24</v>
      </c>
      <c r="W264" s="1" t="s">
        <v>115</v>
      </c>
      <c r="X264" s="40">
        <f>L51</f>
        <v>34.595985691573929</v>
      </c>
      <c r="Y264" s="40">
        <f>V264*X264</f>
        <v>830.30365659777431</v>
      </c>
      <c r="Z264" s="40"/>
      <c r="AA264" s="40"/>
      <c r="AB264" s="1"/>
      <c r="AC264" s="1"/>
    </row>
    <row r="265" spans="16:29" x14ac:dyDescent="0.25">
      <c r="P265" s="1"/>
      <c r="Q265" s="1"/>
      <c r="R265" s="1"/>
      <c r="S265" s="1">
        <v>5</v>
      </c>
      <c r="T265" s="1"/>
      <c r="U265" s="1" t="s">
        <v>248</v>
      </c>
      <c r="V265" s="1"/>
      <c r="W265" s="1"/>
      <c r="X265" s="40"/>
      <c r="Y265" s="40"/>
      <c r="Z265" s="40">
        <f>Y266</f>
        <v>830.30365659777431</v>
      </c>
      <c r="AA265" s="40"/>
      <c r="AB265" s="1"/>
      <c r="AC265" s="1"/>
    </row>
    <row r="266" spans="16:29" x14ac:dyDescent="0.25">
      <c r="P266" s="1"/>
      <c r="Q266" s="1"/>
      <c r="R266" s="1"/>
      <c r="S266" s="1"/>
      <c r="T266" s="1">
        <v>1</v>
      </c>
      <c r="U266" s="1" t="s">
        <v>245</v>
      </c>
      <c r="V266" s="1">
        <v>24</v>
      </c>
      <c r="W266" s="1" t="s">
        <v>115</v>
      </c>
      <c r="X266" s="40">
        <f>L51</f>
        <v>34.595985691573929</v>
      </c>
      <c r="Y266" s="40">
        <f>V266*X266</f>
        <v>830.30365659777431</v>
      </c>
      <c r="Z266" s="40"/>
      <c r="AA266" s="40"/>
      <c r="AB266" s="1"/>
      <c r="AC266" s="1"/>
    </row>
    <row r="267" spans="16:29" x14ac:dyDescent="0.25">
      <c r="P267" s="1"/>
      <c r="Q267" s="1"/>
      <c r="R267" s="1">
        <v>7</v>
      </c>
      <c r="S267" s="1"/>
      <c r="T267" s="1"/>
      <c r="U267" s="1" t="s">
        <v>249</v>
      </c>
      <c r="V267" s="1"/>
      <c r="W267" s="1"/>
      <c r="X267" s="40"/>
      <c r="Y267" s="40"/>
      <c r="Z267" s="40"/>
      <c r="AA267" s="40">
        <f>SUM(Z268:Z277)</f>
        <v>6365.6613672496023</v>
      </c>
      <c r="AB267" s="1"/>
      <c r="AC267" s="1"/>
    </row>
    <row r="268" spans="16:29" x14ac:dyDescent="0.25">
      <c r="P268" s="1"/>
      <c r="Q268" s="1"/>
      <c r="R268" s="1"/>
      <c r="S268" s="1">
        <v>1</v>
      </c>
      <c r="T268" s="1"/>
      <c r="U268" s="1" t="s">
        <v>250</v>
      </c>
      <c r="V268" s="1"/>
      <c r="W268" s="1"/>
      <c r="X268" s="40"/>
      <c r="Y268" s="40"/>
      <c r="Z268" s="40">
        <f>SUM(Y269:Y270)</f>
        <v>2490.9109697933227</v>
      </c>
      <c r="AA268" s="40"/>
      <c r="AB268" s="1"/>
      <c r="AC268" s="1"/>
    </row>
    <row r="269" spans="16:29" x14ac:dyDescent="0.25">
      <c r="P269" s="1"/>
      <c r="Q269" s="1"/>
      <c r="R269" s="1"/>
      <c r="S269" s="1"/>
      <c r="T269" s="1">
        <v>1</v>
      </c>
      <c r="U269" s="1" t="s">
        <v>237</v>
      </c>
      <c r="V269" s="1">
        <v>36</v>
      </c>
      <c r="W269" s="1" t="s">
        <v>115</v>
      </c>
      <c r="X269" s="40">
        <f>L51</f>
        <v>34.595985691573929</v>
      </c>
      <c r="Y269" s="40">
        <f>V269*X269</f>
        <v>1245.4554848966613</v>
      </c>
      <c r="Z269" s="40"/>
      <c r="AA269" s="40"/>
      <c r="AB269" s="1"/>
      <c r="AC269" s="1"/>
    </row>
    <row r="270" spans="16:29" x14ac:dyDescent="0.25">
      <c r="P270" s="1"/>
      <c r="Q270" s="1"/>
      <c r="R270" s="1"/>
      <c r="S270" s="1"/>
      <c r="T270" s="1">
        <v>2</v>
      </c>
      <c r="U270" s="1" t="s">
        <v>251</v>
      </c>
      <c r="V270" s="1">
        <v>36</v>
      </c>
      <c r="W270" s="1" t="s">
        <v>115</v>
      </c>
      <c r="X270" s="40">
        <f>L51</f>
        <v>34.595985691573929</v>
      </c>
      <c r="Y270" s="40">
        <f>V270*X270</f>
        <v>1245.4554848966613</v>
      </c>
      <c r="Z270" s="40"/>
      <c r="AA270" s="40"/>
      <c r="AB270" s="1"/>
      <c r="AC270" s="1"/>
    </row>
    <row r="271" spans="16:29" x14ac:dyDescent="0.25">
      <c r="P271" s="1"/>
      <c r="Q271" s="1"/>
      <c r="R271" s="1"/>
      <c r="S271" s="1">
        <v>2</v>
      </c>
      <c r="T271" s="1"/>
      <c r="U271" s="1" t="s">
        <v>252</v>
      </c>
      <c r="V271" s="1"/>
      <c r="W271" s="1"/>
      <c r="X271" s="40"/>
      <c r="Y271" s="40"/>
      <c r="Z271" s="40">
        <f>Y272</f>
        <v>1107.0715421303657</v>
      </c>
      <c r="AA271" s="40"/>
      <c r="AB271" s="1"/>
      <c r="AC271" s="1"/>
    </row>
    <row r="272" spans="16:29" x14ac:dyDescent="0.25">
      <c r="P272" s="1"/>
      <c r="Q272" s="1"/>
      <c r="R272" s="1"/>
      <c r="S272" s="1"/>
      <c r="T272" s="1">
        <v>1</v>
      </c>
      <c r="U272" s="1" t="s">
        <v>251</v>
      </c>
      <c r="V272" s="1">
        <v>32</v>
      </c>
      <c r="W272" s="1" t="s">
        <v>115</v>
      </c>
      <c r="X272" s="40">
        <f>L51</f>
        <v>34.595985691573929</v>
      </c>
      <c r="Y272" s="40">
        <f>V272*X272</f>
        <v>1107.0715421303657</v>
      </c>
      <c r="Z272" s="40"/>
      <c r="AA272" s="40"/>
      <c r="AB272" s="1"/>
      <c r="AC272" s="1"/>
    </row>
    <row r="273" spans="16:29" x14ac:dyDescent="0.25">
      <c r="P273" s="1"/>
      <c r="Q273" s="1"/>
      <c r="R273" s="1"/>
      <c r="S273" s="1">
        <v>3</v>
      </c>
      <c r="T273" s="1"/>
      <c r="U273" s="1" t="s">
        <v>253</v>
      </c>
      <c r="V273" s="1"/>
      <c r="W273" s="1"/>
      <c r="X273" s="40"/>
      <c r="Y273" s="40"/>
      <c r="Z273" s="40">
        <f>Y274</f>
        <v>1383.8394276629572</v>
      </c>
      <c r="AA273" s="40"/>
      <c r="AB273" s="1"/>
      <c r="AC273" s="1"/>
    </row>
    <row r="274" spans="16:29" x14ac:dyDescent="0.25">
      <c r="P274" s="1"/>
      <c r="Q274" s="1"/>
      <c r="R274" s="1"/>
      <c r="S274" s="1"/>
      <c r="T274" s="1">
        <v>1</v>
      </c>
      <c r="U274" s="1" t="s">
        <v>251</v>
      </c>
      <c r="V274" s="1">
        <v>40</v>
      </c>
      <c r="W274" s="1" t="s">
        <v>115</v>
      </c>
      <c r="X274" s="40">
        <f>L51</f>
        <v>34.595985691573929</v>
      </c>
      <c r="Y274" s="40">
        <f>V274*X274</f>
        <v>1383.8394276629572</v>
      </c>
      <c r="Z274" s="40"/>
      <c r="AA274" s="40"/>
      <c r="AB274" s="1"/>
      <c r="AC274" s="1"/>
    </row>
    <row r="275" spans="16:29" x14ac:dyDescent="0.25">
      <c r="P275" s="1"/>
      <c r="Q275" s="1"/>
      <c r="R275" s="1"/>
      <c r="S275" s="1">
        <v>4</v>
      </c>
      <c r="T275" s="1"/>
      <c r="U275" s="1" t="s">
        <v>254</v>
      </c>
      <c r="V275" s="1"/>
      <c r="W275" s="1"/>
      <c r="X275" s="40"/>
      <c r="Y275" s="40"/>
      <c r="Z275" s="40">
        <f>Y276</f>
        <v>830.30365659777431</v>
      </c>
      <c r="AA275" s="40"/>
      <c r="AB275" s="1"/>
      <c r="AC275" s="1"/>
    </row>
    <row r="276" spans="16:29" x14ac:dyDescent="0.25">
      <c r="P276" s="1"/>
      <c r="Q276" s="1"/>
      <c r="R276" s="1"/>
      <c r="S276" s="1"/>
      <c r="T276" s="1">
        <v>1</v>
      </c>
      <c r="U276" s="1" t="s">
        <v>241</v>
      </c>
      <c r="V276" s="1">
        <v>24</v>
      </c>
      <c r="W276" s="1" t="s">
        <v>115</v>
      </c>
      <c r="X276" s="40">
        <f>L51</f>
        <v>34.595985691573929</v>
      </c>
      <c r="Y276" s="40">
        <f>V276*X276</f>
        <v>830.30365659777431</v>
      </c>
      <c r="Z276" s="40"/>
      <c r="AA276" s="40"/>
      <c r="AB276" s="1"/>
      <c r="AC276" s="1"/>
    </row>
    <row r="277" spans="16:29" x14ac:dyDescent="0.25">
      <c r="P277" s="1"/>
      <c r="Q277" s="1"/>
      <c r="R277" s="1"/>
      <c r="S277" s="1">
        <v>5</v>
      </c>
      <c r="T277" s="1"/>
      <c r="U277" s="1" t="s">
        <v>255</v>
      </c>
      <c r="V277" s="1"/>
      <c r="W277" s="1"/>
      <c r="X277" s="40"/>
      <c r="Y277" s="40"/>
      <c r="Z277" s="40">
        <f>Y278</f>
        <v>553.53577106518287</v>
      </c>
      <c r="AA277" s="40"/>
      <c r="AB277" s="1"/>
      <c r="AC277" s="1"/>
    </row>
    <row r="278" spans="16:29" x14ac:dyDescent="0.25">
      <c r="P278" s="1"/>
      <c r="Q278" s="1"/>
      <c r="R278" s="1"/>
      <c r="S278" s="1"/>
      <c r="T278" s="1">
        <v>1</v>
      </c>
      <c r="U278" s="1" t="s">
        <v>241</v>
      </c>
      <c r="V278" s="1">
        <v>16</v>
      </c>
      <c r="W278" s="1" t="s">
        <v>115</v>
      </c>
      <c r="X278" s="40">
        <f>L51</f>
        <v>34.595985691573929</v>
      </c>
      <c r="Y278" s="40">
        <f>V278*X278</f>
        <v>553.53577106518287</v>
      </c>
      <c r="Z278" s="40"/>
      <c r="AA278" s="40"/>
      <c r="AB278" s="1"/>
      <c r="AC278" s="1"/>
    </row>
    <row r="279" spans="16:29" x14ac:dyDescent="0.25">
      <c r="P279" s="1"/>
      <c r="Q279" s="1">
        <v>4</v>
      </c>
      <c r="R279" s="1"/>
      <c r="S279" s="1"/>
      <c r="T279" s="1"/>
      <c r="U279" s="1" t="s">
        <v>256</v>
      </c>
      <c r="V279" s="1"/>
      <c r="W279" s="1"/>
      <c r="X279" s="40"/>
      <c r="Y279" s="40"/>
      <c r="Z279" s="40"/>
      <c r="AA279" s="40"/>
      <c r="AB279" s="40">
        <f>SUM(AA280:AA282)</f>
        <v>4126.5066666666662</v>
      </c>
      <c r="AC279" s="1"/>
    </row>
    <row r="280" spans="16:29" x14ac:dyDescent="0.25">
      <c r="P280" s="1"/>
      <c r="Q280" s="1"/>
      <c r="R280" s="1">
        <v>1</v>
      </c>
      <c r="S280" s="1"/>
      <c r="T280" s="1"/>
      <c r="U280" s="1" t="s">
        <v>200</v>
      </c>
      <c r="V280" s="1">
        <v>48</v>
      </c>
      <c r="W280" s="1" t="s">
        <v>115</v>
      </c>
      <c r="X280" s="40"/>
      <c r="Y280" s="40"/>
      <c r="Z280" s="40"/>
      <c r="AA280" s="40">
        <f>V280*X280</f>
        <v>0</v>
      </c>
      <c r="AB280" s="1"/>
      <c r="AC280" s="1"/>
    </row>
    <row r="281" spans="16:29" x14ac:dyDescent="0.25">
      <c r="P281" s="1"/>
      <c r="Q281" s="1"/>
      <c r="R281" s="1">
        <v>2</v>
      </c>
      <c r="S281" s="1"/>
      <c r="T281" s="1"/>
      <c r="U281" s="1" t="s">
        <v>201</v>
      </c>
      <c r="V281" s="1">
        <v>48</v>
      </c>
      <c r="W281" s="1" t="s">
        <v>115</v>
      </c>
      <c r="X281" s="40">
        <f>L56</f>
        <v>42.984444444444435</v>
      </c>
      <c r="Y281" s="40"/>
      <c r="Z281" s="40"/>
      <c r="AA281" s="40">
        <f>V281*X281</f>
        <v>2063.2533333333331</v>
      </c>
      <c r="AB281" s="1"/>
      <c r="AC281" s="1"/>
    </row>
    <row r="282" spans="16:29" x14ac:dyDescent="0.25">
      <c r="P282" s="1"/>
      <c r="Q282" s="1"/>
      <c r="R282" s="1">
        <v>3</v>
      </c>
      <c r="S282" s="1"/>
      <c r="T282" s="1"/>
      <c r="U282" s="1" t="s">
        <v>202</v>
      </c>
      <c r="V282" s="1">
        <v>48</v>
      </c>
      <c r="W282" s="1" t="s">
        <v>115</v>
      </c>
      <c r="X282" s="40">
        <f>L56</f>
        <v>42.984444444444435</v>
      </c>
      <c r="Y282" s="40"/>
      <c r="Z282" s="40"/>
      <c r="AA282" s="40">
        <f>V282*X282</f>
        <v>2063.2533333333331</v>
      </c>
      <c r="AB282" s="1"/>
      <c r="AC282" s="1"/>
    </row>
    <row r="285" spans="16:29" x14ac:dyDescent="0.25">
      <c r="P285" s="86" t="s">
        <v>257</v>
      </c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</row>
    <row r="286" spans="16:29" x14ac:dyDescent="0.25">
      <c r="P286" s="9" t="s">
        <v>103</v>
      </c>
      <c r="Q286" s="9" t="s">
        <v>104</v>
      </c>
      <c r="R286" s="9" t="s">
        <v>105</v>
      </c>
      <c r="S286" s="9" t="s">
        <v>151</v>
      </c>
      <c r="T286" s="9" t="s">
        <v>152</v>
      </c>
      <c r="U286" s="9" t="s">
        <v>106</v>
      </c>
      <c r="V286" s="9" t="s">
        <v>107</v>
      </c>
      <c r="W286" s="9" t="s">
        <v>44</v>
      </c>
      <c r="X286" s="9" t="s">
        <v>45</v>
      </c>
      <c r="Y286" s="9" t="s">
        <v>153</v>
      </c>
      <c r="Z286" s="9" t="s">
        <v>154</v>
      </c>
      <c r="AA286" s="9" t="s">
        <v>108</v>
      </c>
      <c r="AB286" s="9" t="s">
        <v>109</v>
      </c>
      <c r="AC286" s="9" t="s">
        <v>5</v>
      </c>
    </row>
    <row r="287" spans="16:29" x14ac:dyDescent="0.25">
      <c r="P287" s="42">
        <v>1</v>
      </c>
      <c r="Q287" s="42"/>
      <c r="R287" s="42"/>
      <c r="S287" s="42"/>
      <c r="T287" s="1"/>
      <c r="U287" s="43" t="s">
        <v>257</v>
      </c>
      <c r="V287" s="42"/>
      <c r="W287" s="42"/>
      <c r="X287" s="46"/>
      <c r="Y287" s="46"/>
      <c r="Z287" s="46"/>
      <c r="AA287" s="46"/>
      <c r="AB287" s="1"/>
      <c r="AC287" s="40">
        <f>AB288+AB308+AB349+AB360</f>
        <v>107347.0688387968</v>
      </c>
    </row>
    <row r="288" spans="16:29" x14ac:dyDescent="0.25">
      <c r="P288" s="1"/>
      <c r="Q288" s="1">
        <v>2</v>
      </c>
      <c r="R288" s="1"/>
      <c r="S288" s="1"/>
      <c r="T288" s="1"/>
      <c r="U288" s="62" t="s">
        <v>258</v>
      </c>
      <c r="V288" s="1"/>
      <c r="W288" s="1"/>
      <c r="X288" s="40"/>
      <c r="Y288" s="40"/>
      <c r="Z288" s="40"/>
      <c r="AA288" s="40"/>
      <c r="AB288" s="40">
        <f>AA289+AA294+AA301</f>
        <v>47760.383523859993</v>
      </c>
      <c r="AC288" s="40"/>
    </row>
    <row r="289" spans="16:29" x14ac:dyDescent="0.25">
      <c r="P289" s="1"/>
      <c r="Q289" s="1"/>
      <c r="R289" s="1">
        <v>3</v>
      </c>
      <c r="S289" s="1"/>
      <c r="T289" s="1"/>
      <c r="U289" s="1" t="s">
        <v>259</v>
      </c>
      <c r="V289" s="1"/>
      <c r="W289" s="1"/>
      <c r="X289" s="40"/>
      <c r="Y289" s="40"/>
      <c r="Z289" s="40"/>
      <c r="AA289" s="40">
        <f>Z290</f>
        <v>10343.650579150577</v>
      </c>
      <c r="AB289" s="40"/>
      <c r="AC289" s="40"/>
    </row>
    <row r="290" spans="16:29" x14ac:dyDescent="0.25">
      <c r="P290" s="1"/>
      <c r="Q290" s="1"/>
      <c r="R290" s="1"/>
      <c r="S290" s="1">
        <v>4</v>
      </c>
      <c r="T290" s="1"/>
      <c r="U290" s="1" t="s">
        <v>260</v>
      </c>
      <c r="V290" s="1"/>
      <c r="W290" s="1"/>
      <c r="X290" s="40"/>
      <c r="Y290" s="40"/>
      <c r="Z290" s="40">
        <f>SUM(Y291:Y293)</f>
        <v>10343.650579150577</v>
      </c>
      <c r="AA290" s="40"/>
      <c r="AB290" s="40"/>
      <c r="AC290" s="40"/>
    </row>
    <row r="291" spans="16:29" x14ac:dyDescent="0.25">
      <c r="P291" s="1"/>
      <c r="Q291" s="1"/>
      <c r="R291" s="1"/>
      <c r="S291" s="1"/>
      <c r="T291" s="1"/>
      <c r="U291" s="1" t="s">
        <v>261</v>
      </c>
      <c r="V291" s="1">
        <v>40</v>
      </c>
      <c r="W291" s="1" t="s">
        <v>115</v>
      </c>
      <c r="X291" s="40">
        <f>L48</f>
        <v>159.01340090090088</v>
      </c>
      <c r="Y291" s="40">
        <f>X291*V291</f>
        <v>6360.5360360360355</v>
      </c>
      <c r="Z291" s="40"/>
      <c r="AA291" s="40"/>
      <c r="AB291" s="40"/>
      <c r="AC291" s="40"/>
    </row>
    <row r="292" spans="16:29" x14ac:dyDescent="0.25">
      <c r="P292" s="1"/>
      <c r="Q292" s="1"/>
      <c r="R292" s="1"/>
      <c r="S292" s="1"/>
      <c r="T292" s="1"/>
      <c r="U292" s="1" t="s">
        <v>262</v>
      </c>
      <c r="V292" s="1">
        <v>40</v>
      </c>
      <c r="W292" s="1" t="s">
        <v>115</v>
      </c>
      <c r="X292" s="40">
        <f>L49</f>
        <v>49.788931788931791</v>
      </c>
      <c r="Y292" s="40">
        <f t="shared" ref="Y292:Y293" si="22">X292*V292</f>
        <v>1991.5572715572716</v>
      </c>
      <c r="Z292" s="40"/>
      <c r="AA292" s="40"/>
      <c r="AB292" s="40"/>
      <c r="AC292" s="40"/>
    </row>
    <row r="293" spans="16:29" x14ac:dyDescent="0.25">
      <c r="P293" s="1"/>
      <c r="Q293" s="1"/>
      <c r="R293" s="1"/>
      <c r="S293" s="1"/>
      <c r="T293" s="1"/>
      <c r="U293" s="1" t="s">
        <v>263</v>
      </c>
      <c r="V293" s="1">
        <v>40</v>
      </c>
      <c r="W293" s="1" t="s">
        <v>115</v>
      </c>
      <c r="X293" s="40">
        <f>L49</f>
        <v>49.788931788931791</v>
      </c>
      <c r="Y293" s="40">
        <f t="shared" si="22"/>
        <v>1991.5572715572716</v>
      </c>
      <c r="Z293" s="40"/>
      <c r="AA293" s="40"/>
      <c r="AB293" s="40"/>
      <c r="AC293" s="40"/>
    </row>
    <row r="294" spans="16:29" x14ac:dyDescent="0.25">
      <c r="P294" s="1"/>
      <c r="Q294" s="1"/>
      <c r="R294" s="1">
        <v>3</v>
      </c>
      <c r="S294" s="1"/>
      <c r="T294" s="1"/>
      <c r="U294" s="72" t="s">
        <v>264</v>
      </c>
      <c r="V294" s="72"/>
      <c r="W294" s="72"/>
      <c r="X294" s="73"/>
      <c r="Y294" s="72"/>
      <c r="Z294" s="73"/>
      <c r="AA294" s="73">
        <f>SUM(Z295:Z300)</f>
        <v>27473.590390390389</v>
      </c>
      <c r="AB294" s="40"/>
      <c r="AC294" s="40"/>
    </row>
    <row r="295" spans="16:29" x14ac:dyDescent="0.25">
      <c r="P295" s="1"/>
      <c r="Q295" s="1"/>
      <c r="R295" s="1"/>
      <c r="S295" s="1"/>
      <c r="T295" s="1"/>
      <c r="U295" s="72" t="s">
        <v>265</v>
      </c>
      <c r="V295" s="72">
        <v>1</v>
      </c>
      <c r="W295" s="72"/>
      <c r="X295" s="73">
        <v>800</v>
      </c>
      <c r="Y295" s="72"/>
      <c r="Z295" s="73">
        <f t="shared" ref="Z295:Z300" si="23">X295*V295</f>
        <v>800</v>
      </c>
      <c r="AA295" s="73"/>
      <c r="AB295" s="40"/>
      <c r="AC295" s="40"/>
    </row>
    <row r="296" spans="16:29" x14ac:dyDescent="0.25">
      <c r="P296" s="1"/>
      <c r="Q296" s="1"/>
      <c r="R296" s="1"/>
      <c r="S296" s="1"/>
      <c r="T296" s="1"/>
      <c r="U296" s="72" t="s">
        <v>266</v>
      </c>
      <c r="V296" s="72">
        <v>40</v>
      </c>
      <c r="W296" s="72" t="s">
        <v>115</v>
      </c>
      <c r="X296" s="73">
        <f>L46</f>
        <v>66.800150150150145</v>
      </c>
      <c r="Y296" s="72"/>
      <c r="Z296" s="73">
        <f t="shared" si="23"/>
        <v>2672.0060060060059</v>
      </c>
      <c r="AA296" s="73"/>
      <c r="AB296" s="40"/>
      <c r="AC296" s="40"/>
    </row>
    <row r="297" spans="16:29" x14ac:dyDescent="0.25">
      <c r="P297" s="1"/>
      <c r="Q297" s="1"/>
      <c r="R297" s="1"/>
      <c r="S297" s="1"/>
      <c r="T297" s="1"/>
      <c r="U297" s="72" t="s">
        <v>267</v>
      </c>
      <c r="V297" s="72">
        <v>40</v>
      </c>
      <c r="W297" s="72" t="s">
        <v>115</v>
      </c>
      <c r="X297" s="73">
        <f>L47</f>
        <v>51.116636636636628</v>
      </c>
      <c r="Y297" s="72"/>
      <c r="Z297" s="73">
        <f t="shared" si="23"/>
        <v>2044.6654654654651</v>
      </c>
      <c r="AA297" s="73"/>
      <c r="AB297" s="40"/>
      <c r="AC297" s="40"/>
    </row>
    <row r="298" spans="16:29" x14ac:dyDescent="0.25">
      <c r="P298" s="1"/>
      <c r="Q298" s="1"/>
      <c r="R298" s="1"/>
      <c r="S298" s="1"/>
      <c r="T298" s="1"/>
      <c r="U298" s="72" t="s">
        <v>268</v>
      </c>
      <c r="V298" s="72">
        <v>40</v>
      </c>
      <c r="W298" s="72" t="s">
        <v>115</v>
      </c>
      <c r="X298" s="73">
        <f>L50</f>
        <v>178.61779279279278</v>
      </c>
      <c r="Y298" s="72"/>
      <c r="Z298" s="73">
        <f t="shared" si="23"/>
        <v>7144.7117117117114</v>
      </c>
      <c r="AA298" s="73"/>
      <c r="AB298" s="40"/>
      <c r="AC298" s="40"/>
    </row>
    <row r="299" spans="16:29" x14ac:dyDescent="0.25">
      <c r="P299" s="1"/>
      <c r="Q299" s="1"/>
      <c r="R299" s="1"/>
      <c r="S299" s="1"/>
      <c r="T299" s="1"/>
      <c r="U299" s="72" t="s">
        <v>269</v>
      </c>
      <c r="V299" s="72">
        <v>40</v>
      </c>
      <c r="W299" s="72" t="s">
        <v>115</v>
      </c>
      <c r="X299" s="73">
        <f>L52</f>
        <v>187.33085585585584</v>
      </c>
      <c r="Y299" s="72"/>
      <c r="Z299" s="73">
        <f t="shared" si="23"/>
        <v>7493.2342342342336</v>
      </c>
      <c r="AA299" s="73"/>
      <c r="AB299" s="40"/>
      <c r="AC299" s="40"/>
    </row>
    <row r="300" spans="16:29" x14ac:dyDescent="0.25">
      <c r="P300" s="1"/>
      <c r="Q300" s="1"/>
      <c r="R300" s="1"/>
      <c r="S300" s="1"/>
      <c r="T300" s="1"/>
      <c r="U300" s="1" t="s">
        <v>270</v>
      </c>
      <c r="V300" s="1">
        <v>40</v>
      </c>
      <c r="W300" s="1" t="s">
        <v>115</v>
      </c>
      <c r="X300" s="40">
        <f>L55</f>
        <v>182.97432432432433</v>
      </c>
      <c r="Y300" s="72"/>
      <c r="Z300" s="40">
        <f t="shared" si="23"/>
        <v>7318.9729729729734</v>
      </c>
      <c r="AA300" s="40"/>
      <c r="AB300" s="40"/>
      <c r="AC300" s="40"/>
    </row>
    <row r="301" spans="16:29" x14ac:dyDescent="0.25">
      <c r="P301" s="1"/>
      <c r="Q301" s="1"/>
      <c r="R301" s="1">
        <v>3</v>
      </c>
      <c r="S301" s="1"/>
      <c r="T301" s="1"/>
      <c r="U301" s="1" t="s">
        <v>271</v>
      </c>
      <c r="V301" s="1"/>
      <c r="W301" s="1"/>
      <c r="X301" s="40"/>
      <c r="Y301" s="72"/>
      <c r="Z301" s="40"/>
      <c r="AA301" s="40">
        <f>SUM(Z302:Z307)</f>
        <v>9943.1425543190253</v>
      </c>
      <c r="AB301" s="40"/>
      <c r="AC301" s="40"/>
    </row>
    <row r="302" spans="16:29" x14ac:dyDescent="0.25">
      <c r="P302" s="1"/>
      <c r="Q302" s="1"/>
      <c r="R302" s="1"/>
      <c r="S302" s="1"/>
      <c r="T302" s="1"/>
      <c r="U302" s="1" t="s">
        <v>229</v>
      </c>
      <c r="V302" s="1">
        <v>40</v>
      </c>
      <c r="W302" s="1" t="s">
        <v>115</v>
      </c>
      <c r="X302" s="40">
        <f>L51</f>
        <v>34.595985691573929</v>
      </c>
      <c r="Y302" s="72"/>
      <c r="Z302" s="40">
        <f t="shared" ref="Z302:Z307" si="24">X302*V302</f>
        <v>1383.8394276629572</v>
      </c>
      <c r="AA302" s="40"/>
      <c r="AB302" s="40"/>
      <c r="AC302" s="40"/>
    </row>
    <row r="303" spans="16:29" x14ac:dyDescent="0.25">
      <c r="P303" s="1"/>
      <c r="Q303" s="1"/>
      <c r="R303" s="1"/>
      <c r="S303" s="1"/>
      <c r="T303" s="1"/>
      <c r="U303" s="1" t="s">
        <v>233</v>
      </c>
      <c r="V303" s="1">
        <v>40</v>
      </c>
      <c r="W303" s="1" t="s">
        <v>115</v>
      </c>
      <c r="X303" s="40">
        <f>L51</f>
        <v>34.595985691573929</v>
      </c>
      <c r="Y303" s="72"/>
      <c r="Z303" s="40">
        <f t="shared" si="24"/>
        <v>1383.8394276629572</v>
      </c>
      <c r="AA303" s="40"/>
      <c r="AB303" s="40"/>
      <c r="AC303" s="40"/>
    </row>
    <row r="304" spans="16:29" x14ac:dyDescent="0.25">
      <c r="P304" s="1"/>
      <c r="Q304" s="1"/>
      <c r="R304" s="1"/>
      <c r="S304" s="1"/>
      <c r="T304" s="1"/>
      <c r="U304" s="1" t="s">
        <v>164</v>
      </c>
      <c r="V304" s="1">
        <v>40</v>
      </c>
      <c r="W304" s="1" t="s">
        <v>115</v>
      </c>
      <c r="X304" s="40">
        <f>L53</f>
        <v>44.846648118706945</v>
      </c>
      <c r="Y304" s="72"/>
      <c r="Z304" s="40">
        <f t="shared" si="24"/>
        <v>1793.8659247482778</v>
      </c>
      <c r="AA304" s="40"/>
      <c r="AB304" s="40"/>
      <c r="AC304" s="40"/>
    </row>
    <row r="305" spans="16:29" x14ac:dyDescent="0.25">
      <c r="P305" s="1"/>
      <c r="Q305" s="1"/>
      <c r="R305" s="1"/>
      <c r="S305" s="1"/>
      <c r="T305" s="1"/>
      <c r="U305" s="1" t="s">
        <v>185</v>
      </c>
      <c r="V305" s="1">
        <v>40</v>
      </c>
      <c r="W305" s="1" t="s">
        <v>115</v>
      </c>
      <c r="X305" s="40">
        <f>L53</f>
        <v>44.846648118706945</v>
      </c>
      <c r="Y305" s="72"/>
      <c r="Z305" s="40">
        <f t="shared" si="24"/>
        <v>1793.8659247482778</v>
      </c>
      <c r="AA305" s="40"/>
      <c r="AB305" s="40"/>
      <c r="AC305" s="40"/>
    </row>
    <row r="306" spans="16:29" x14ac:dyDescent="0.25">
      <c r="P306" s="1"/>
      <c r="Q306" s="1"/>
      <c r="R306" s="1"/>
      <c r="S306" s="1"/>
      <c r="T306" s="1"/>
      <c r="U306" s="1" t="s">
        <v>187</v>
      </c>
      <c r="V306" s="1">
        <v>40</v>
      </c>
      <c r="W306" s="1" t="s">
        <v>115</v>
      </c>
      <c r="X306" s="40">
        <f>L53</f>
        <v>44.846648118706945</v>
      </c>
      <c r="Y306" s="72"/>
      <c r="Z306" s="40">
        <f t="shared" si="24"/>
        <v>1793.8659247482778</v>
      </c>
      <c r="AA306" s="40"/>
      <c r="AB306" s="40"/>
      <c r="AC306" s="40"/>
    </row>
    <row r="307" spans="16:29" x14ac:dyDescent="0.25">
      <c r="P307" s="1"/>
      <c r="Q307" s="1"/>
      <c r="R307" s="1"/>
      <c r="S307" s="1"/>
      <c r="T307" s="1"/>
      <c r="U307" s="1" t="s">
        <v>170</v>
      </c>
      <c r="V307" s="1">
        <v>40</v>
      </c>
      <c r="W307" s="1" t="s">
        <v>115</v>
      </c>
      <c r="X307" s="40">
        <f>L53</f>
        <v>44.846648118706945</v>
      </c>
      <c r="Y307" s="72"/>
      <c r="Z307" s="40">
        <f t="shared" si="24"/>
        <v>1793.8659247482778</v>
      </c>
      <c r="AA307" s="40"/>
      <c r="AB307" s="40"/>
      <c r="AC307" s="40"/>
    </row>
    <row r="308" spans="16:29" x14ac:dyDescent="0.25">
      <c r="P308" s="1"/>
      <c r="Q308" s="1">
        <v>2</v>
      </c>
      <c r="R308" s="1"/>
      <c r="S308" s="1"/>
      <c r="T308" s="1"/>
      <c r="U308" s="62" t="s">
        <v>272</v>
      </c>
      <c r="V308" s="1"/>
      <c r="W308" s="1"/>
      <c r="X308" s="40"/>
      <c r="Y308" s="72"/>
      <c r="Z308" s="40"/>
      <c r="AA308" s="40"/>
      <c r="AB308" s="40">
        <f>AA309+AA314+AA347</f>
        <v>24213.931737830266</v>
      </c>
      <c r="AC308" s="40"/>
    </row>
    <row r="309" spans="16:29" x14ac:dyDescent="0.25">
      <c r="P309" s="1"/>
      <c r="Q309" s="1"/>
      <c r="R309" s="1">
        <v>3</v>
      </c>
      <c r="S309" s="1"/>
      <c r="T309" s="1"/>
      <c r="U309" s="1" t="s">
        <v>273</v>
      </c>
      <c r="V309" s="1"/>
      <c r="W309" s="1"/>
      <c r="X309" s="40"/>
      <c r="Y309" s="72"/>
      <c r="Z309" s="40"/>
      <c r="AA309" s="40">
        <f>SUM(Z310:Z313)</f>
        <v>5740.3709591944889</v>
      </c>
      <c r="AB309" s="40"/>
      <c r="AC309" s="40"/>
    </row>
    <row r="310" spans="16:29" x14ac:dyDescent="0.25">
      <c r="P310" s="1"/>
      <c r="Q310" s="1"/>
      <c r="R310" s="1"/>
      <c r="S310" s="1"/>
      <c r="T310" s="1"/>
      <c r="U310" s="1" t="s">
        <v>164</v>
      </c>
      <c r="V310" s="1">
        <v>32</v>
      </c>
      <c r="W310" s="1" t="s">
        <v>115</v>
      </c>
      <c r="X310" s="40">
        <f>L53</f>
        <v>44.846648118706945</v>
      </c>
      <c r="Y310" s="72"/>
      <c r="Z310" s="40">
        <f>X310*V310</f>
        <v>1435.0927397986222</v>
      </c>
      <c r="AA310" s="40"/>
      <c r="AB310" s="40"/>
      <c r="AC310" s="40"/>
    </row>
    <row r="311" spans="16:29" x14ac:dyDescent="0.25">
      <c r="P311" s="1"/>
      <c r="Q311" s="1"/>
      <c r="R311" s="1"/>
      <c r="S311" s="1"/>
      <c r="T311" s="1"/>
      <c r="U311" s="1" t="s">
        <v>185</v>
      </c>
      <c r="V311" s="1">
        <v>32</v>
      </c>
      <c r="W311" s="1" t="s">
        <v>115</v>
      </c>
      <c r="X311" s="40">
        <f>L53</f>
        <v>44.846648118706945</v>
      </c>
      <c r="Y311" s="72"/>
      <c r="Z311" s="40">
        <f>X311*V311</f>
        <v>1435.0927397986222</v>
      </c>
      <c r="AA311" s="40"/>
      <c r="AB311" s="40"/>
      <c r="AC311" s="40"/>
    </row>
    <row r="312" spans="16:29" x14ac:dyDescent="0.25">
      <c r="P312" s="1"/>
      <c r="Q312" s="1"/>
      <c r="R312" s="1"/>
      <c r="S312" s="1"/>
      <c r="T312" s="1"/>
      <c r="U312" s="1" t="s">
        <v>187</v>
      </c>
      <c r="V312" s="1">
        <v>32</v>
      </c>
      <c r="W312" s="1" t="s">
        <v>115</v>
      </c>
      <c r="X312" s="40">
        <f>L53</f>
        <v>44.846648118706945</v>
      </c>
      <c r="Y312" s="72"/>
      <c r="Z312" s="40">
        <f>X312*V312</f>
        <v>1435.0927397986222</v>
      </c>
      <c r="AA312" s="40"/>
      <c r="AB312" s="40"/>
      <c r="AC312" s="40"/>
    </row>
    <row r="313" spans="16:29" x14ac:dyDescent="0.25">
      <c r="P313" s="1"/>
      <c r="Q313" s="1"/>
      <c r="R313" s="1"/>
      <c r="S313" s="1"/>
      <c r="T313" s="1"/>
      <c r="U313" s="1" t="s">
        <v>170</v>
      </c>
      <c r="V313" s="1">
        <v>32</v>
      </c>
      <c r="W313" s="1" t="s">
        <v>115</v>
      </c>
      <c r="X313" s="40">
        <f>L53</f>
        <v>44.846648118706945</v>
      </c>
      <c r="Y313" s="72"/>
      <c r="Z313" s="40">
        <f>X313*V313</f>
        <v>1435.0927397986222</v>
      </c>
      <c r="AA313" s="40"/>
      <c r="AB313" s="40"/>
      <c r="AC313" s="40"/>
    </row>
    <row r="314" spans="16:29" x14ac:dyDescent="0.25">
      <c r="P314" s="1"/>
      <c r="Q314" s="1"/>
      <c r="R314" s="1">
        <v>3</v>
      </c>
      <c r="S314" s="1"/>
      <c r="T314" s="1"/>
      <c r="U314" s="1" t="s">
        <v>274</v>
      </c>
      <c r="V314" s="1"/>
      <c r="W314" s="1"/>
      <c r="X314" s="40"/>
      <c r="Y314" s="40"/>
      <c r="Z314" s="40"/>
      <c r="AA314" s="40">
        <f>Z315+Z319+Z323+Z327+Z331+Z335+Z339+Z343</f>
        <v>17201.45357142857</v>
      </c>
      <c r="AB314" s="40"/>
      <c r="AC314" s="40"/>
    </row>
    <row r="315" spans="16:29" x14ac:dyDescent="0.25">
      <c r="P315" s="1"/>
      <c r="Q315" s="1"/>
      <c r="R315" s="1"/>
      <c r="S315" s="1">
        <v>4</v>
      </c>
      <c r="T315" s="1"/>
      <c r="U315" s="1" t="s">
        <v>275</v>
      </c>
      <c r="V315" s="1"/>
      <c r="W315" s="1"/>
      <c r="X315" s="40"/>
      <c r="Y315" s="40"/>
      <c r="Z315" s="40">
        <f>SUM(Y316:Y318)</f>
        <v>3822.5452380952383</v>
      </c>
      <c r="AA315" s="40"/>
      <c r="AB315" s="40"/>
      <c r="AC315" s="40"/>
    </row>
    <row r="316" spans="16:29" x14ac:dyDescent="0.25">
      <c r="P316" s="1"/>
      <c r="Q316" s="1"/>
      <c r="R316" s="1"/>
      <c r="S316" s="1"/>
      <c r="T316" s="1"/>
      <c r="U316" s="1" t="s">
        <v>261</v>
      </c>
      <c r="V316" s="1">
        <v>4</v>
      </c>
      <c r="W316" s="1" t="s">
        <v>115</v>
      </c>
      <c r="X316" s="40">
        <f>L48</f>
        <v>159.01340090090088</v>
      </c>
      <c r="Y316" s="40">
        <f t="shared" ref="Y316:Y346" si="25">X316*V316</f>
        <v>636.05360360360351</v>
      </c>
      <c r="Z316" s="40"/>
      <c r="AA316" s="40"/>
      <c r="AB316" s="40"/>
      <c r="AC316" s="40"/>
    </row>
    <row r="317" spans="16:29" x14ac:dyDescent="0.25">
      <c r="P317" s="1"/>
      <c r="Q317" s="1"/>
      <c r="R317" s="1"/>
      <c r="S317" s="1"/>
      <c r="T317" s="1"/>
      <c r="U317" s="1" t="s">
        <v>262</v>
      </c>
      <c r="V317" s="1">
        <v>32</v>
      </c>
      <c r="W317" s="1" t="s">
        <v>115</v>
      </c>
      <c r="X317" s="40">
        <f>L49</f>
        <v>49.788931788931791</v>
      </c>
      <c r="Y317" s="40">
        <f t="shared" si="25"/>
        <v>1593.2458172458173</v>
      </c>
      <c r="Z317" s="40"/>
      <c r="AA317" s="40"/>
      <c r="AB317" s="40"/>
      <c r="AC317" s="40"/>
    </row>
    <row r="318" spans="16:29" x14ac:dyDescent="0.25">
      <c r="P318" s="1"/>
      <c r="Q318" s="1"/>
      <c r="R318" s="1"/>
      <c r="S318" s="1"/>
      <c r="T318" s="1"/>
      <c r="U318" s="1" t="s">
        <v>263</v>
      </c>
      <c r="V318" s="1">
        <v>32</v>
      </c>
      <c r="W318" s="1" t="s">
        <v>115</v>
      </c>
      <c r="X318" s="40">
        <f>L49</f>
        <v>49.788931788931791</v>
      </c>
      <c r="Y318" s="40">
        <f t="shared" si="25"/>
        <v>1593.2458172458173</v>
      </c>
      <c r="Z318" s="40"/>
      <c r="AA318" s="40"/>
      <c r="AB318" s="40"/>
      <c r="AC318" s="40"/>
    </row>
    <row r="319" spans="16:29" x14ac:dyDescent="0.25">
      <c r="P319" s="1"/>
      <c r="Q319" s="1"/>
      <c r="R319" s="1"/>
      <c r="S319" s="1">
        <v>4</v>
      </c>
      <c r="T319" s="1"/>
      <c r="U319" s="1" t="s">
        <v>276</v>
      </c>
      <c r="V319" s="1"/>
      <c r="W319" s="1"/>
      <c r="X319" s="40"/>
      <c r="Y319" s="40"/>
      <c r="Z319" s="40">
        <f>SUM(Y320:Y322)</f>
        <v>1911.2726190476192</v>
      </c>
      <c r="AA319" s="40"/>
      <c r="AB319" s="40"/>
      <c r="AC319" s="40"/>
    </row>
    <row r="320" spans="16:29" x14ac:dyDescent="0.25">
      <c r="P320" s="1"/>
      <c r="Q320" s="1"/>
      <c r="R320" s="1"/>
      <c r="S320" s="1"/>
      <c r="T320" s="1"/>
      <c r="U320" s="1" t="s">
        <v>261</v>
      </c>
      <c r="V320" s="1">
        <v>2</v>
      </c>
      <c r="W320" s="1" t="s">
        <v>115</v>
      </c>
      <c r="X320" s="40">
        <f>L48</f>
        <v>159.01340090090088</v>
      </c>
      <c r="Y320" s="40">
        <f t="shared" si="25"/>
        <v>318.02680180180175</v>
      </c>
      <c r="Z320" s="40"/>
      <c r="AA320" s="40"/>
      <c r="AB320" s="40"/>
      <c r="AC320" s="40"/>
    </row>
    <row r="321" spans="16:29" x14ac:dyDescent="0.25">
      <c r="P321" s="1"/>
      <c r="Q321" s="1"/>
      <c r="R321" s="1"/>
      <c r="S321" s="1"/>
      <c r="T321" s="1"/>
      <c r="U321" s="1" t="s">
        <v>262</v>
      </c>
      <c r="V321" s="1">
        <v>16</v>
      </c>
      <c r="W321" s="1" t="s">
        <v>115</v>
      </c>
      <c r="X321" s="40">
        <f>L49</f>
        <v>49.788931788931791</v>
      </c>
      <c r="Y321" s="40">
        <f t="shared" si="25"/>
        <v>796.62290862290865</v>
      </c>
      <c r="Z321" s="40"/>
      <c r="AA321" s="40"/>
      <c r="AB321" s="40"/>
      <c r="AC321" s="40"/>
    </row>
    <row r="322" spans="16:29" x14ac:dyDescent="0.25">
      <c r="P322" s="1"/>
      <c r="Q322" s="1"/>
      <c r="R322" s="1"/>
      <c r="S322" s="1"/>
      <c r="T322" s="1"/>
      <c r="U322" s="1" t="s">
        <v>263</v>
      </c>
      <c r="V322" s="1">
        <v>16</v>
      </c>
      <c r="W322" s="1" t="s">
        <v>115</v>
      </c>
      <c r="X322" s="40">
        <f>L49</f>
        <v>49.788931788931791</v>
      </c>
      <c r="Y322" s="40">
        <f t="shared" si="25"/>
        <v>796.62290862290865</v>
      </c>
      <c r="Z322" s="40"/>
      <c r="AA322" s="40"/>
      <c r="AB322" s="40"/>
      <c r="AC322" s="40"/>
    </row>
    <row r="323" spans="16:29" x14ac:dyDescent="0.25">
      <c r="P323" s="1"/>
      <c r="Q323" s="1"/>
      <c r="R323" s="1"/>
      <c r="S323" s="1">
        <v>4</v>
      </c>
      <c r="T323" s="1"/>
      <c r="U323" s="1" t="s">
        <v>277</v>
      </c>
      <c r="V323" s="1"/>
      <c r="W323" s="1"/>
      <c r="X323" s="40"/>
      <c r="Y323" s="40"/>
      <c r="Z323" s="40">
        <f>SUM(Y324:Y326)</f>
        <v>1911.2726190476192</v>
      </c>
      <c r="AA323" s="40"/>
      <c r="AB323" s="40"/>
      <c r="AC323" s="40"/>
    </row>
    <row r="324" spans="16:29" x14ac:dyDescent="0.25">
      <c r="P324" s="1"/>
      <c r="Q324" s="1"/>
      <c r="R324" s="1"/>
      <c r="S324" s="1"/>
      <c r="T324" s="1">
        <v>1</v>
      </c>
      <c r="U324" s="1" t="s">
        <v>261</v>
      </c>
      <c r="V324" s="1">
        <v>2</v>
      </c>
      <c r="W324" s="1" t="s">
        <v>115</v>
      </c>
      <c r="X324" s="40">
        <f>L48</f>
        <v>159.01340090090088</v>
      </c>
      <c r="Y324" s="40">
        <f t="shared" si="25"/>
        <v>318.02680180180175</v>
      </c>
      <c r="Z324" s="40"/>
      <c r="AA324" s="40"/>
      <c r="AB324" s="40"/>
      <c r="AC324" s="40"/>
    </row>
    <row r="325" spans="16:29" x14ac:dyDescent="0.25">
      <c r="P325" s="1"/>
      <c r="Q325" s="1"/>
      <c r="R325" s="1"/>
      <c r="S325" s="1"/>
      <c r="T325" s="1">
        <v>2</v>
      </c>
      <c r="U325" s="1" t="s">
        <v>262</v>
      </c>
      <c r="V325" s="1">
        <v>16</v>
      </c>
      <c r="W325" s="1" t="s">
        <v>115</v>
      </c>
      <c r="X325" s="40">
        <f>L49</f>
        <v>49.788931788931791</v>
      </c>
      <c r="Y325" s="40">
        <f t="shared" si="25"/>
        <v>796.62290862290865</v>
      </c>
      <c r="Z325" s="40"/>
      <c r="AA325" s="40"/>
      <c r="AB325" s="40"/>
      <c r="AC325" s="40"/>
    </row>
    <row r="326" spans="16:29" x14ac:dyDescent="0.25">
      <c r="P326" s="1"/>
      <c r="Q326" s="1"/>
      <c r="R326" s="1"/>
      <c r="S326" s="1"/>
      <c r="T326" s="1">
        <v>3</v>
      </c>
      <c r="U326" s="1" t="s">
        <v>263</v>
      </c>
      <c r="V326" s="1">
        <v>16</v>
      </c>
      <c r="W326" s="1" t="s">
        <v>115</v>
      </c>
      <c r="X326" s="40">
        <f>L49</f>
        <v>49.788931788931791</v>
      </c>
      <c r="Y326" s="40">
        <f t="shared" si="25"/>
        <v>796.62290862290865</v>
      </c>
      <c r="Z326" s="40"/>
      <c r="AA326" s="40"/>
      <c r="AB326" s="40"/>
      <c r="AC326" s="40"/>
    </row>
    <row r="327" spans="16:29" x14ac:dyDescent="0.25">
      <c r="P327" s="1"/>
      <c r="Q327" s="1"/>
      <c r="R327" s="1"/>
      <c r="S327" s="1">
        <v>4</v>
      </c>
      <c r="T327" s="1"/>
      <c r="U327" s="1" t="s">
        <v>278</v>
      </c>
      <c r="V327" s="1"/>
      <c r="W327" s="1"/>
      <c r="X327" s="40"/>
      <c r="Y327" s="40"/>
      <c r="Z327" s="40">
        <f>SUM(Y328:Y330)</f>
        <v>1911.2726190476192</v>
      </c>
      <c r="AA327" s="40"/>
      <c r="AB327" s="40"/>
      <c r="AC327" s="40"/>
    </row>
    <row r="328" spans="16:29" x14ac:dyDescent="0.25">
      <c r="P328" s="1"/>
      <c r="Q328" s="1"/>
      <c r="R328" s="1"/>
      <c r="S328" s="1"/>
      <c r="T328" s="1">
        <v>1</v>
      </c>
      <c r="U328" s="1" t="s">
        <v>261</v>
      </c>
      <c r="V328" s="1">
        <v>2</v>
      </c>
      <c r="W328" s="1" t="s">
        <v>115</v>
      </c>
      <c r="X328" s="40">
        <f>L48</f>
        <v>159.01340090090088</v>
      </c>
      <c r="Y328" s="40">
        <f t="shared" si="25"/>
        <v>318.02680180180175</v>
      </c>
      <c r="Z328" s="40"/>
      <c r="AA328" s="40"/>
      <c r="AB328" s="40"/>
      <c r="AC328" s="40"/>
    </row>
    <row r="329" spans="16:29" x14ac:dyDescent="0.25">
      <c r="P329" s="1"/>
      <c r="Q329" s="1"/>
      <c r="R329" s="1"/>
      <c r="S329" s="1"/>
      <c r="T329" s="1">
        <v>2</v>
      </c>
      <c r="U329" s="1" t="s">
        <v>262</v>
      </c>
      <c r="V329" s="1">
        <v>16</v>
      </c>
      <c r="W329" s="1" t="s">
        <v>115</v>
      </c>
      <c r="X329" s="40">
        <f>L49</f>
        <v>49.788931788931791</v>
      </c>
      <c r="Y329" s="40">
        <f t="shared" si="25"/>
        <v>796.62290862290865</v>
      </c>
      <c r="Z329" s="40"/>
      <c r="AA329" s="40"/>
      <c r="AB329" s="40"/>
      <c r="AC329" s="40"/>
    </row>
    <row r="330" spans="16:29" x14ac:dyDescent="0.25">
      <c r="P330" s="1"/>
      <c r="Q330" s="1"/>
      <c r="R330" s="1"/>
      <c r="S330" s="1"/>
      <c r="T330" s="1">
        <v>3</v>
      </c>
      <c r="U330" s="1" t="s">
        <v>263</v>
      </c>
      <c r="V330" s="1">
        <v>16</v>
      </c>
      <c r="W330" s="1" t="s">
        <v>115</v>
      </c>
      <c r="X330" s="40">
        <f>L49</f>
        <v>49.788931788931791</v>
      </c>
      <c r="Y330" s="40">
        <f t="shared" si="25"/>
        <v>796.62290862290865</v>
      </c>
      <c r="Z330" s="40"/>
      <c r="AA330" s="40"/>
      <c r="AB330" s="40"/>
      <c r="AC330" s="40"/>
    </row>
    <row r="331" spans="16:29" x14ac:dyDescent="0.25">
      <c r="P331" s="1"/>
      <c r="Q331" s="1"/>
      <c r="R331" s="1"/>
      <c r="S331" s="1">
        <v>4</v>
      </c>
      <c r="T331" s="1"/>
      <c r="U331" s="1" t="s">
        <v>279</v>
      </c>
      <c r="V331" s="1"/>
      <c r="W331" s="1"/>
      <c r="X331" s="40"/>
      <c r="Y331" s="40"/>
      <c r="Z331" s="40">
        <f>SUM(Y332:Y334)</f>
        <v>1911.2726190476192</v>
      </c>
      <c r="AA331" s="40"/>
      <c r="AB331" s="40"/>
      <c r="AC331" s="40"/>
    </row>
    <row r="332" spans="16:29" x14ac:dyDescent="0.25">
      <c r="P332" s="1"/>
      <c r="Q332" s="1"/>
      <c r="R332" s="1"/>
      <c r="S332" s="1"/>
      <c r="T332" s="1">
        <v>1</v>
      </c>
      <c r="U332" s="1" t="s">
        <v>261</v>
      </c>
      <c r="V332" s="1">
        <v>2</v>
      </c>
      <c r="W332" s="1" t="s">
        <v>115</v>
      </c>
      <c r="X332" s="40">
        <f>L48</f>
        <v>159.01340090090088</v>
      </c>
      <c r="Y332" s="40">
        <f t="shared" si="25"/>
        <v>318.02680180180175</v>
      </c>
      <c r="Z332" s="40"/>
      <c r="AA332" s="40"/>
      <c r="AB332" s="40"/>
      <c r="AC332" s="40"/>
    </row>
    <row r="333" spans="16:29" x14ac:dyDescent="0.25">
      <c r="P333" s="1"/>
      <c r="Q333" s="1"/>
      <c r="R333" s="1"/>
      <c r="S333" s="1"/>
      <c r="T333" s="1">
        <v>2</v>
      </c>
      <c r="U333" s="1" t="s">
        <v>262</v>
      </c>
      <c r="V333" s="1">
        <v>16</v>
      </c>
      <c r="W333" s="1" t="s">
        <v>115</v>
      </c>
      <c r="X333" s="40">
        <f>L49</f>
        <v>49.788931788931791</v>
      </c>
      <c r="Y333" s="40">
        <f t="shared" si="25"/>
        <v>796.62290862290865</v>
      </c>
      <c r="Z333" s="40"/>
      <c r="AA333" s="40"/>
      <c r="AB333" s="40"/>
      <c r="AC333" s="40"/>
    </row>
    <row r="334" spans="16:29" x14ac:dyDescent="0.25">
      <c r="P334" s="1"/>
      <c r="Q334" s="1"/>
      <c r="R334" s="1"/>
      <c r="S334" s="1"/>
      <c r="T334" s="1">
        <v>3</v>
      </c>
      <c r="U334" s="1" t="s">
        <v>263</v>
      </c>
      <c r="V334" s="1">
        <v>16</v>
      </c>
      <c r="W334" s="1" t="s">
        <v>115</v>
      </c>
      <c r="X334" s="40">
        <f>L49</f>
        <v>49.788931788931791</v>
      </c>
      <c r="Y334" s="40">
        <f t="shared" si="25"/>
        <v>796.62290862290865</v>
      </c>
      <c r="Z334" s="40"/>
      <c r="AA334" s="40"/>
      <c r="AB334" s="40"/>
      <c r="AC334" s="40"/>
    </row>
    <row r="335" spans="16:29" x14ac:dyDescent="0.25">
      <c r="P335" s="1"/>
      <c r="Q335" s="1"/>
      <c r="R335" s="1"/>
      <c r="S335" s="1">
        <v>4</v>
      </c>
      <c r="T335" s="1"/>
      <c r="U335" s="1" t="s">
        <v>280</v>
      </c>
      <c r="V335" s="1"/>
      <c r="W335" s="1"/>
      <c r="X335" s="40"/>
      <c r="Y335" s="40"/>
      <c r="Z335" s="40">
        <f>SUM(Y336:Y338)</f>
        <v>1911.2726190476192</v>
      </c>
      <c r="AA335" s="40"/>
      <c r="AB335" s="40"/>
      <c r="AC335" s="40"/>
    </row>
    <row r="336" spans="16:29" x14ac:dyDescent="0.25">
      <c r="P336" s="1"/>
      <c r="Q336" s="1"/>
      <c r="R336" s="1"/>
      <c r="S336" s="1"/>
      <c r="T336" s="1">
        <v>1</v>
      </c>
      <c r="U336" s="1" t="s">
        <v>261</v>
      </c>
      <c r="V336" s="1">
        <v>2</v>
      </c>
      <c r="W336" s="1" t="s">
        <v>115</v>
      </c>
      <c r="X336" s="40">
        <f>L48</f>
        <v>159.01340090090088</v>
      </c>
      <c r="Y336" s="40">
        <f t="shared" si="25"/>
        <v>318.02680180180175</v>
      </c>
      <c r="Z336" s="40"/>
      <c r="AA336" s="40"/>
      <c r="AB336" s="40"/>
      <c r="AC336" s="40"/>
    </row>
    <row r="337" spans="16:29" x14ac:dyDescent="0.25">
      <c r="P337" s="1"/>
      <c r="Q337" s="1"/>
      <c r="R337" s="1"/>
      <c r="S337" s="1"/>
      <c r="T337" s="1">
        <v>2</v>
      </c>
      <c r="U337" s="1" t="s">
        <v>262</v>
      </c>
      <c r="V337" s="1">
        <v>16</v>
      </c>
      <c r="W337" s="1" t="s">
        <v>115</v>
      </c>
      <c r="X337" s="40">
        <f>L49</f>
        <v>49.788931788931791</v>
      </c>
      <c r="Y337" s="40">
        <f t="shared" si="25"/>
        <v>796.62290862290865</v>
      </c>
      <c r="Z337" s="40"/>
      <c r="AA337" s="40"/>
      <c r="AB337" s="40"/>
      <c r="AC337" s="40"/>
    </row>
    <row r="338" spans="16:29" x14ac:dyDescent="0.25">
      <c r="P338" s="1"/>
      <c r="Q338" s="1"/>
      <c r="R338" s="1"/>
      <c r="S338" s="1"/>
      <c r="T338" s="1">
        <v>3</v>
      </c>
      <c r="U338" s="1" t="s">
        <v>263</v>
      </c>
      <c r="V338" s="1">
        <v>16</v>
      </c>
      <c r="W338" s="1" t="s">
        <v>115</v>
      </c>
      <c r="X338" s="40">
        <f>L49</f>
        <v>49.788931788931791</v>
      </c>
      <c r="Y338" s="40">
        <f t="shared" si="25"/>
        <v>796.62290862290865</v>
      </c>
      <c r="Z338" s="40"/>
      <c r="AA338" s="40"/>
      <c r="AB338" s="40"/>
      <c r="AC338" s="40"/>
    </row>
    <row r="339" spans="16:29" x14ac:dyDescent="0.25">
      <c r="P339" s="1"/>
      <c r="Q339" s="1"/>
      <c r="R339" s="1"/>
      <c r="S339" s="1">
        <v>4</v>
      </c>
      <c r="T339" s="1"/>
      <c r="U339" s="1" t="s">
        <v>281</v>
      </c>
      <c r="V339" s="1"/>
      <c r="W339" s="1"/>
      <c r="X339" s="40"/>
      <c r="Y339" s="40"/>
      <c r="Z339" s="40">
        <f>SUM(Y340:Y342)</f>
        <v>1911.2726190476192</v>
      </c>
      <c r="AA339" s="40"/>
      <c r="AB339" s="40"/>
      <c r="AC339" s="40"/>
    </row>
    <row r="340" spans="16:29" x14ac:dyDescent="0.25">
      <c r="P340" s="1"/>
      <c r="Q340" s="1"/>
      <c r="R340" s="1"/>
      <c r="S340" s="1"/>
      <c r="T340" s="1">
        <v>1</v>
      </c>
      <c r="U340" s="1" t="s">
        <v>261</v>
      </c>
      <c r="V340" s="1">
        <v>2</v>
      </c>
      <c r="W340" s="1" t="s">
        <v>115</v>
      </c>
      <c r="X340" s="40">
        <f>L48</f>
        <v>159.01340090090088</v>
      </c>
      <c r="Y340" s="40">
        <f t="shared" si="25"/>
        <v>318.02680180180175</v>
      </c>
      <c r="Z340" s="40"/>
      <c r="AA340" s="40"/>
      <c r="AB340" s="40"/>
      <c r="AC340" s="40"/>
    </row>
    <row r="341" spans="16:29" x14ac:dyDescent="0.25">
      <c r="P341" s="1"/>
      <c r="Q341" s="1"/>
      <c r="R341" s="1"/>
      <c r="S341" s="1"/>
      <c r="T341" s="1">
        <v>2</v>
      </c>
      <c r="U341" s="1" t="s">
        <v>262</v>
      </c>
      <c r="V341" s="1">
        <v>16</v>
      </c>
      <c r="W341" s="1" t="s">
        <v>115</v>
      </c>
      <c r="X341" s="40">
        <f>L49</f>
        <v>49.788931788931791</v>
      </c>
      <c r="Y341" s="40">
        <f t="shared" si="25"/>
        <v>796.62290862290865</v>
      </c>
      <c r="Z341" s="40"/>
      <c r="AA341" s="40"/>
      <c r="AB341" s="40"/>
      <c r="AC341" s="40"/>
    </row>
    <row r="342" spans="16:29" x14ac:dyDescent="0.25">
      <c r="P342" s="1"/>
      <c r="Q342" s="1"/>
      <c r="R342" s="1"/>
      <c r="S342" s="1"/>
      <c r="T342" s="1">
        <v>3</v>
      </c>
      <c r="U342" s="1" t="s">
        <v>263</v>
      </c>
      <c r="V342" s="1">
        <v>16</v>
      </c>
      <c r="W342" s="1" t="s">
        <v>115</v>
      </c>
      <c r="X342" s="40">
        <f>L49</f>
        <v>49.788931788931791</v>
      </c>
      <c r="Y342" s="40">
        <f t="shared" si="25"/>
        <v>796.62290862290865</v>
      </c>
      <c r="Z342" s="40"/>
      <c r="AA342" s="40"/>
      <c r="AB342" s="40"/>
      <c r="AC342" s="40"/>
    </row>
    <row r="343" spans="16:29" x14ac:dyDescent="0.25">
      <c r="P343" s="1"/>
      <c r="Q343" s="1"/>
      <c r="R343" s="1"/>
      <c r="S343" s="1">
        <v>4</v>
      </c>
      <c r="T343" s="1"/>
      <c r="U343" s="1" t="s">
        <v>282</v>
      </c>
      <c r="V343" s="1"/>
      <c r="W343" s="1"/>
      <c r="X343" s="40"/>
      <c r="Y343" s="40"/>
      <c r="Z343" s="40">
        <f>SUM(Y344:Y346)</f>
        <v>1911.2726190476192</v>
      </c>
      <c r="AA343" s="40"/>
      <c r="AB343" s="40"/>
      <c r="AC343" s="40"/>
    </row>
    <row r="344" spans="16:29" x14ac:dyDescent="0.25">
      <c r="P344" s="1"/>
      <c r="Q344" s="1"/>
      <c r="R344" s="1"/>
      <c r="S344" s="1"/>
      <c r="T344" s="1">
        <v>1</v>
      </c>
      <c r="U344" s="1" t="s">
        <v>261</v>
      </c>
      <c r="V344" s="1">
        <v>2</v>
      </c>
      <c r="W344" s="1" t="s">
        <v>115</v>
      </c>
      <c r="X344" s="40">
        <f>L48</f>
        <v>159.01340090090088</v>
      </c>
      <c r="Y344" s="40">
        <f t="shared" si="25"/>
        <v>318.02680180180175</v>
      </c>
      <c r="Z344" s="40"/>
      <c r="AA344" s="40"/>
      <c r="AB344" s="40"/>
      <c r="AC344" s="40"/>
    </row>
    <row r="345" spans="16:29" x14ac:dyDescent="0.25">
      <c r="P345" s="1"/>
      <c r="Q345" s="1"/>
      <c r="R345" s="1"/>
      <c r="S345" s="1"/>
      <c r="T345" s="1">
        <v>2</v>
      </c>
      <c r="U345" s="1" t="s">
        <v>262</v>
      </c>
      <c r="V345" s="1">
        <v>16</v>
      </c>
      <c r="W345" s="1" t="s">
        <v>115</v>
      </c>
      <c r="X345" s="40">
        <f>L49</f>
        <v>49.788931788931791</v>
      </c>
      <c r="Y345" s="40">
        <f t="shared" si="25"/>
        <v>796.62290862290865</v>
      </c>
      <c r="Z345" s="40"/>
      <c r="AA345" s="40"/>
      <c r="AB345" s="40"/>
      <c r="AC345" s="40"/>
    </row>
    <row r="346" spans="16:29" x14ac:dyDescent="0.25">
      <c r="P346" s="1"/>
      <c r="Q346" s="1"/>
      <c r="R346" s="1"/>
      <c r="S346" s="1"/>
      <c r="T346" s="1">
        <v>3</v>
      </c>
      <c r="U346" s="1" t="s">
        <v>263</v>
      </c>
      <c r="V346" s="1">
        <v>16</v>
      </c>
      <c r="W346" s="1" t="s">
        <v>115</v>
      </c>
      <c r="X346" s="40">
        <f>L49</f>
        <v>49.788931788931791</v>
      </c>
      <c r="Y346" s="40">
        <f t="shared" si="25"/>
        <v>796.62290862290865</v>
      </c>
      <c r="Z346" s="40"/>
      <c r="AA346" s="40"/>
      <c r="AB346" s="40"/>
      <c r="AC346" s="40"/>
    </row>
    <row r="347" spans="16:29" x14ac:dyDescent="0.25">
      <c r="P347" s="1"/>
      <c r="Q347" s="1"/>
      <c r="R347" s="1">
        <v>3</v>
      </c>
      <c r="S347" s="1"/>
      <c r="T347" s="1"/>
      <c r="U347" s="1" t="s">
        <v>283</v>
      </c>
      <c r="V347" s="1"/>
      <c r="W347" s="1"/>
      <c r="X347" s="40"/>
      <c r="Y347" s="40"/>
      <c r="Z347" s="40"/>
      <c r="AA347" s="40">
        <f>Z348</f>
        <v>1272.107207207207</v>
      </c>
      <c r="AB347" s="40"/>
      <c r="AC347" s="40"/>
    </row>
    <row r="348" spans="16:29" x14ac:dyDescent="0.25">
      <c r="P348" s="1"/>
      <c r="Q348" s="1"/>
      <c r="R348" s="1"/>
      <c r="S348" s="1"/>
      <c r="T348" s="1">
        <v>1</v>
      </c>
      <c r="U348" s="1" t="s">
        <v>284</v>
      </c>
      <c r="V348" s="1">
        <v>8</v>
      </c>
      <c r="W348" s="1" t="s">
        <v>115</v>
      </c>
      <c r="X348" s="40">
        <f>L48</f>
        <v>159.01340090090088</v>
      </c>
      <c r="Y348" s="40"/>
      <c r="Z348" s="40">
        <f>X348*V348</f>
        <v>1272.107207207207</v>
      </c>
      <c r="AA348" s="40"/>
      <c r="AB348" s="40"/>
      <c r="AC348" s="40"/>
    </row>
    <row r="349" spans="16:29" x14ac:dyDescent="0.25">
      <c r="P349" s="1"/>
      <c r="Q349" s="1">
        <v>2</v>
      </c>
      <c r="R349" s="1"/>
      <c r="S349" s="1"/>
      <c r="T349" s="1"/>
      <c r="U349" s="62" t="s">
        <v>285</v>
      </c>
      <c r="V349" s="1"/>
      <c r="W349" s="1"/>
      <c r="X349" s="40"/>
      <c r="Y349" s="40"/>
      <c r="Z349" s="40"/>
      <c r="AA349" s="40"/>
      <c r="AB349" s="40">
        <f>AA350+AA356</f>
        <v>28197.28987811341</v>
      </c>
      <c r="AC349" s="40"/>
    </row>
    <row r="350" spans="16:29" x14ac:dyDescent="0.25">
      <c r="P350" s="1"/>
      <c r="Q350" s="1"/>
      <c r="R350" s="1"/>
      <c r="S350" s="1"/>
      <c r="T350" s="1"/>
      <c r="U350" s="1" t="s">
        <v>286</v>
      </c>
      <c r="V350" s="1"/>
      <c r="W350" s="1"/>
      <c r="X350" s="40"/>
      <c r="Y350" s="40"/>
      <c r="Z350" s="40"/>
      <c r="AA350" s="40">
        <f>SUM(Z351:Z355)</f>
        <v>6240.3709591944889</v>
      </c>
      <c r="AB350" s="40"/>
      <c r="AC350" s="40"/>
    </row>
    <row r="351" spans="16:29" x14ac:dyDescent="0.25">
      <c r="P351" s="1"/>
      <c r="Q351" s="1"/>
      <c r="R351" s="1"/>
      <c r="S351" s="1"/>
      <c r="T351" s="1">
        <v>1</v>
      </c>
      <c r="U351" s="1" t="s">
        <v>164</v>
      </c>
      <c r="V351" s="1">
        <v>32</v>
      </c>
      <c r="W351" s="1" t="s">
        <v>115</v>
      </c>
      <c r="X351" s="40">
        <f>L53</f>
        <v>44.846648118706945</v>
      </c>
      <c r="Y351" s="40"/>
      <c r="Z351" s="40">
        <f>X351*V351</f>
        <v>1435.0927397986222</v>
      </c>
      <c r="AA351" s="40"/>
      <c r="AB351" s="40"/>
      <c r="AC351" s="40"/>
    </row>
    <row r="352" spans="16:29" x14ac:dyDescent="0.25">
      <c r="P352" s="1"/>
      <c r="Q352" s="1"/>
      <c r="R352" s="1"/>
      <c r="S352" s="1"/>
      <c r="T352" s="1">
        <v>2</v>
      </c>
      <c r="U352" s="1" t="s">
        <v>185</v>
      </c>
      <c r="V352" s="1">
        <v>32</v>
      </c>
      <c r="W352" s="1" t="s">
        <v>115</v>
      </c>
      <c r="X352" s="40">
        <f>L53</f>
        <v>44.846648118706945</v>
      </c>
      <c r="Y352" s="40"/>
      <c r="Z352" s="40">
        <f>X352*V352</f>
        <v>1435.0927397986222</v>
      </c>
      <c r="AA352" s="40"/>
      <c r="AB352" s="40"/>
      <c r="AC352" s="40"/>
    </row>
    <row r="353" spans="16:29" x14ac:dyDescent="0.25">
      <c r="P353" s="1"/>
      <c r="Q353" s="1"/>
      <c r="R353" s="1"/>
      <c r="S353" s="1"/>
      <c r="T353" s="1">
        <v>3</v>
      </c>
      <c r="U353" s="1" t="s">
        <v>187</v>
      </c>
      <c r="V353" s="1">
        <v>32</v>
      </c>
      <c r="W353" s="1" t="s">
        <v>115</v>
      </c>
      <c r="X353" s="40">
        <f>L53</f>
        <v>44.846648118706945</v>
      </c>
      <c r="Y353" s="40"/>
      <c r="Z353" s="40">
        <f>X353*V353</f>
        <v>1435.0927397986222</v>
      </c>
      <c r="AA353" s="40"/>
      <c r="AB353" s="40"/>
      <c r="AC353" s="40"/>
    </row>
    <row r="354" spans="16:29" x14ac:dyDescent="0.25">
      <c r="P354" s="1"/>
      <c r="Q354" s="1"/>
      <c r="R354" s="1"/>
      <c r="S354" s="1"/>
      <c r="T354" s="1">
        <v>4</v>
      </c>
      <c r="U354" s="1" t="s">
        <v>170</v>
      </c>
      <c r="V354" s="1">
        <v>32</v>
      </c>
      <c r="W354" s="1" t="s">
        <v>115</v>
      </c>
      <c r="X354" s="40">
        <f>L53</f>
        <v>44.846648118706945</v>
      </c>
      <c r="Y354" s="40"/>
      <c r="Z354" s="40">
        <f>X354*V354</f>
        <v>1435.0927397986222</v>
      </c>
      <c r="AA354" s="40"/>
      <c r="AB354" s="40"/>
      <c r="AC354" s="40"/>
    </row>
    <row r="355" spans="16:29" x14ac:dyDescent="0.25">
      <c r="P355" s="1"/>
      <c r="Q355" s="1"/>
      <c r="R355" s="1"/>
      <c r="S355" s="1"/>
      <c r="T355" s="1">
        <v>5</v>
      </c>
      <c r="U355" s="1" t="s">
        <v>287</v>
      </c>
      <c r="V355" s="1">
        <v>1</v>
      </c>
      <c r="W355" s="1"/>
      <c r="X355" s="40">
        <v>500</v>
      </c>
      <c r="Y355" s="40"/>
      <c r="Z355" s="40">
        <f>X355*V355</f>
        <v>500</v>
      </c>
      <c r="AA355" s="40"/>
      <c r="AB355" s="40"/>
      <c r="AC355" s="40"/>
    </row>
    <row r="356" spans="16:29" x14ac:dyDescent="0.25">
      <c r="P356" s="1"/>
      <c r="Q356" s="1"/>
      <c r="R356" s="1"/>
      <c r="S356" s="1"/>
      <c r="T356" s="1"/>
      <c r="U356" s="1" t="s">
        <v>288</v>
      </c>
      <c r="V356" s="1"/>
      <c r="W356" s="1"/>
      <c r="X356" s="40"/>
      <c r="Y356" s="40"/>
      <c r="Z356" s="40"/>
      <c r="AA356" s="40">
        <f>SUM(Z357:Z359)</f>
        <v>21956.91891891892</v>
      </c>
      <c r="AB356" s="40"/>
      <c r="AC356" s="40"/>
    </row>
    <row r="357" spans="16:29" x14ac:dyDescent="0.25">
      <c r="P357" s="1"/>
      <c r="Q357" s="1"/>
      <c r="R357" s="1"/>
      <c r="S357" s="1"/>
      <c r="T357" s="1">
        <v>1</v>
      </c>
      <c r="U357" s="1" t="s">
        <v>268</v>
      </c>
      <c r="V357" s="1">
        <v>40</v>
      </c>
      <c r="W357" s="1" t="s">
        <v>115</v>
      </c>
      <c r="X357" s="40">
        <f>L50</f>
        <v>178.61779279279278</v>
      </c>
      <c r="Y357" s="40"/>
      <c r="Z357" s="40">
        <f>X357*V357</f>
        <v>7144.7117117117114</v>
      </c>
      <c r="AA357" s="40"/>
      <c r="AB357" s="40"/>
      <c r="AC357" s="40"/>
    </row>
    <row r="358" spans="16:29" x14ac:dyDescent="0.25">
      <c r="P358" s="1"/>
      <c r="Q358" s="1"/>
      <c r="R358" s="1"/>
      <c r="S358" s="1"/>
      <c r="T358" s="1">
        <v>2</v>
      </c>
      <c r="U358" s="1" t="s">
        <v>269</v>
      </c>
      <c r="V358" s="1">
        <v>40</v>
      </c>
      <c r="W358" s="1" t="s">
        <v>115</v>
      </c>
      <c r="X358" s="40">
        <f>L52</f>
        <v>187.33085585585584</v>
      </c>
      <c r="Y358" s="40"/>
      <c r="Z358" s="40">
        <f>X358*V358</f>
        <v>7493.2342342342336</v>
      </c>
      <c r="AA358" s="40"/>
      <c r="AB358" s="40"/>
      <c r="AC358" s="40"/>
    </row>
    <row r="359" spans="16:29" x14ac:dyDescent="0.25">
      <c r="P359" s="1"/>
      <c r="Q359" s="1"/>
      <c r="R359" s="1"/>
      <c r="S359" s="1"/>
      <c r="T359" s="1">
        <v>3</v>
      </c>
      <c r="U359" s="1" t="s">
        <v>270</v>
      </c>
      <c r="V359" s="1">
        <v>40</v>
      </c>
      <c r="W359" s="1" t="s">
        <v>115</v>
      </c>
      <c r="X359" s="40">
        <f>L55</f>
        <v>182.97432432432433</v>
      </c>
      <c r="Y359" s="40"/>
      <c r="Z359" s="40">
        <f>X359*V359</f>
        <v>7318.9729729729734</v>
      </c>
      <c r="AA359" s="40"/>
      <c r="AB359" s="40"/>
      <c r="AC359" s="40"/>
    </row>
    <row r="360" spans="16:29" x14ac:dyDescent="0.25">
      <c r="P360" s="1"/>
      <c r="Q360" s="1">
        <v>2</v>
      </c>
      <c r="R360" s="1"/>
      <c r="S360" s="1"/>
      <c r="T360" s="1"/>
      <c r="U360" s="62" t="s">
        <v>289</v>
      </c>
      <c r="V360" s="1"/>
      <c r="W360" s="1"/>
      <c r="X360" s="40"/>
      <c r="Y360" s="40"/>
      <c r="Z360" s="40"/>
      <c r="AA360" s="40"/>
      <c r="AB360" s="40">
        <f>AA361+AA364+AA367</f>
        <v>7175.4636989931114</v>
      </c>
      <c r="AC360" s="40"/>
    </row>
    <row r="361" spans="16:29" x14ac:dyDescent="0.25">
      <c r="P361" s="1"/>
      <c r="Q361" s="1"/>
      <c r="R361" s="1">
        <v>3</v>
      </c>
      <c r="S361" s="1"/>
      <c r="T361" s="1"/>
      <c r="U361" s="1" t="s">
        <v>290</v>
      </c>
      <c r="V361" s="1"/>
      <c r="W361" s="1"/>
      <c r="X361" s="40"/>
      <c r="Y361" s="40"/>
      <c r="Z361" s="40"/>
      <c r="AA361" s="40">
        <f>SUM(Z362:Z363)</f>
        <v>3587.7318494965557</v>
      </c>
      <c r="AB361" s="40"/>
      <c r="AC361" s="40"/>
    </row>
    <row r="362" spans="16:29" x14ac:dyDescent="0.25">
      <c r="P362" s="1"/>
      <c r="Q362" s="1"/>
      <c r="R362" s="1"/>
      <c r="S362" s="1"/>
      <c r="T362" s="1">
        <v>1</v>
      </c>
      <c r="U362" s="1" t="s">
        <v>164</v>
      </c>
      <c r="V362" s="1">
        <v>40</v>
      </c>
      <c r="W362" s="1" t="s">
        <v>115</v>
      </c>
      <c r="X362" s="40">
        <f>L53</f>
        <v>44.846648118706945</v>
      </c>
      <c r="Y362" s="40"/>
      <c r="Z362" s="40">
        <f>X362*V362</f>
        <v>1793.8659247482778</v>
      </c>
      <c r="AA362" s="40"/>
      <c r="AB362" s="40"/>
      <c r="AC362" s="40"/>
    </row>
    <row r="363" spans="16:29" x14ac:dyDescent="0.25">
      <c r="P363" s="1"/>
      <c r="Q363" s="1"/>
      <c r="R363" s="1"/>
      <c r="S363" s="1"/>
      <c r="T363" s="1">
        <v>2</v>
      </c>
      <c r="U363" s="1" t="s">
        <v>185</v>
      </c>
      <c r="V363" s="1">
        <v>40</v>
      </c>
      <c r="W363" s="1" t="s">
        <v>115</v>
      </c>
      <c r="X363" s="40">
        <f>L53</f>
        <v>44.846648118706945</v>
      </c>
      <c r="Y363" s="40"/>
      <c r="Z363" s="40">
        <f>X363*V363</f>
        <v>1793.8659247482778</v>
      </c>
      <c r="AA363" s="40"/>
      <c r="AB363" s="40"/>
      <c r="AC363" s="40"/>
    </row>
    <row r="364" spans="16:29" x14ac:dyDescent="0.25">
      <c r="P364" s="1"/>
      <c r="Q364" s="1"/>
      <c r="R364" s="1">
        <v>3</v>
      </c>
      <c r="S364" s="1"/>
      <c r="T364" s="1"/>
      <c r="U364" s="1" t="s">
        <v>291</v>
      </c>
      <c r="V364" s="1"/>
      <c r="W364" s="1"/>
      <c r="X364" s="40"/>
      <c r="Y364" s="40"/>
      <c r="Z364" s="40"/>
      <c r="AA364" s="40">
        <f>SUM(Z365:Z366)</f>
        <v>3587.7318494965557</v>
      </c>
      <c r="AB364" s="40"/>
      <c r="AC364" s="40"/>
    </row>
    <row r="365" spans="16:29" x14ac:dyDescent="0.25">
      <c r="P365" s="1"/>
      <c r="Q365" s="1"/>
      <c r="R365" s="1"/>
      <c r="S365" s="1"/>
      <c r="T365" s="1">
        <v>1</v>
      </c>
      <c r="U365" s="1" t="s">
        <v>187</v>
      </c>
      <c r="V365" s="1">
        <v>40</v>
      </c>
      <c r="W365" s="1" t="s">
        <v>115</v>
      </c>
      <c r="X365" s="40">
        <f>L53</f>
        <v>44.846648118706945</v>
      </c>
      <c r="Y365" s="40"/>
      <c r="Z365" s="40">
        <f>X365*V365</f>
        <v>1793.8659247482778</v>
      </c>
      <c r="AA365" s="40"/>
      <c r="AB365" s="40"/>
      <c r="AC365" s="40"/>
    </row>
    <row r="366" spans="16:29" x14ac:dyDescent="0.25">
      <c r="P366" s="1"/>
      <c r="Q366" s="1"/>
      <c r="R366" s="1"/>
      <c r="S366" s="1"/>
      <c r="T366" s="1">
        <v>2</v>
      </c>
      <c r="U366" s="1" t="s">
        <v>170</v>
      </c>
      <c r="V366" s="1">
        <v>40</v>
      </c>
      <c r="W366" s="1" t="s">
        <v>115</v>
      </c>
      <c r="X366" s="40">
        <f>L53</f>
        <v>44.846648118706945</v>
      </c>
      <c r="Y366" s="40"/>
      <c r="Z366" s="40">
        <f>X366*V366</f>
        <v>1793.8659247482778</v>
      </c>
      <c r="AA366" s="40"/>
      <c r="AB366" s="40"/>
      <c r="AC366" s="40"/>
    </row>
    <row r="367" spans="16:29" x14ac:dyDescent="0.25">
      <c r="P367" s="1"/>
      <c r="Q367" s="1"/>
      <c r="R367" s="1"/>
      <c r="S367" s="1"/>
      <c r="T367" s="1"/>
      <c r="U367" s="1" t="s">
        <v>292</v>
      </c>
      <c r="V367" s="1"/>
      <c r="W367" s="1"/>
      <c r="X367" s="40"/>
      <c r="Y367" s="40"/>
      <c r="Z367" s="40"/>
      <c r="AA367" s="40"/>
      <c r="AB367" s="40"/>
      <c r="AC367" s="40"/>
    </row>
    <row r="373" spans="18:27" x14ac:dyDescent="0.25">
      <c r="R373" s="87" t="s">
        <v>293</v>
      </c>
      <c r="S373" s="87"/>
      <c r="T373" s="87"/>
      <c r="U373" s="87"/>
      <c r="V373" s="87"/>
      <c r="W373" s="87"/>
      <c r="X373" s="87"/>
      <c r="Y373" s="87"/>
      <c r="Z373" s="87"/>
      <c r="AA373" s="87"/>
    </row>
    <row r="374" spans="18:27" x14ac:dyDescent="0.25">
      <c r="R374" s="26" t="s">
        <v>103</v>
      </c>
      <c r="S374" s="26" t="s">
        <v>104</v>
      </c>
      <c r="T374" s="26" t="s">
        <v>105</v>
      </c>
      <c r="U374" s="26" t="s">
        <v>106</v>
      </c>
      <c r="V374" s="26" t="s">
        <v>107</v>
      </c>
      <c r="W374" s="26" t="s">
        <v>44</v>
      </c>
      <c r="X374" s="26" t="s">
        <v>45</v>
      </c>
      <c r="Y374" s="26" t="s">
        <v>108</v>
      </c>
      <c r="Z374" s="26" t="s">
        <v>109</v>
      </c>
      <c r="AA374" s="26" t="s">
        <v>5</v>
      </c>
    </row>
    <row r="375" spans="18:27" x14ac:dyDescent="0.25">
      <c r="R375" s="14">
        <v>1</v>
      </c>
      <c r="S375" s="14"/>
      <c r="T375" s="14"/>
      <c r="U375" s="11" t="s">
        <v>294</v>
      </c>
      <c r="V375" s="14"/>
      <c r="W375" s="14"/>
      <c r="X375" s="32"/>
      <c r="Y375" s="32"/>
      <c r="Z375" s="32"/>
      <c r="AA375" s="32">
        <f>SUM(Z376:Z393)</f>
        <v>14168.098498498497</v>
      </c>
    </row>
    <row r="376" spans="18:27" x14ac:dyDescent="0.25">
      <c r="R376" s="14"/>
      <c r="S376" s="14">
        <v>1</v>
      </c>
      <c r="T376" s="14"/>
      <c r="U376" s="25" t="s">
        <v>295</v>
      </c>
      <c r="V376" s="14"/>
      <c r="W376" s="14"/>
      <c r="X376" s="32"/>
      <c r="Y376" s="32"/>
      <c r="Z376" s="32">
        <f>Y377</f>
        <v>408.93309309309302</v>
      </c>
      <c r="AA376" s="32"/>
    </row>
    <row r="377" spans="18:27" x14ac:dyDescent="0.25">
      <c r="R377" s="14"/>
      <c r="S377" s="14"/>
      <c r="T377" s="14">
        <v>1</v>
      </c>
      <c r="U377" s="14" t="s">
        <v>296</v>
      </c>
      <c r="V377" s="14">
        <v>8</v>
      </c>
      <c r="W377" s="14" t="s">
        <v>115</v>
      </c>
      <c r="X377" s="32">
        <f>L47</f>
        <v>51.116636636636628</v>
      </c>
      <c r="Y377" s="32">
        <f>V377*X377</f>
        <v>408.93309309309302</v>
      </c>
      <c r="Z377" s="32"/>
      <c r="AA377" s="32"/>
    </row>
    <row r="378" spans="18:27" x14ac:dyDescent="0.25">
      <c r="R378" s="14"/>
      <c r="S378" s="14">
        <v>2</v>
      </c>
      <c r="T378" s="14"/>
      <c r="U378" s="25" t="s">
        <v>297</v>
      </c>
      <c r="V378" s="14"/>
      <c r="W378" s="14"/>
      <c r="X378" s="32"/>
      <c r="Y378" s="32"/>
      <c r="Z378" s="32">
        <f>Y379</f>
        <v>408.93309309309302</v>
      </c>
      <c r="AA378" s="32"/>
    </row>
    <row r="379" spans="18:27" x14ac:dyDescent="0.25">
      <c r="R379" s="14"/>
      <c r="S379" s="14"/>
      <c r="T379" s="14">
        <v>1</v>
      </c>
      <c r="U379" s="14" t="s">
        <v>296</v>
      </c>
      <c r="V379" s="14">
        <v>8</v>
      </c>
      <c r="W379" s="14" t="s">
        <v>115</v>
      </c>
      <c r="X379" s="32">
        <f>L47</f>
        <v>51.116636636636628</v>
      </c>
      <c r="Y379" s="32">
        <f>V379*X379</f>
        <v>408.93309309309302</v>
      </c>
      <c r="Z379" s="32"/>
      <c r="AA379" s="32"/>
    </row>
    <row r="380" spans="18:27" x14ac:dyDescent="0.25">
      <c r="R380" s="14"/>
      <c r="S380" s="14">
        <v>3</v>
      </c>
      <c r="T380" s="14"/>
      <c r="U380" s="25" t="s">
        <v>298</v>
      </c>
      <c r="V380" s="14"/>
      <c r="W380" s="14"/>
      <c r="X380" s="32"/>
      <c r="Y380" s="32"/>
      <c r="Z380" s="32">
        <f>Y381</f>
        <v>408.93309309309302</v>
      </c>
      <c r="AA380" s="32"/>
    </row>
    <row r="381" spans="18:27" x14ac:dyDescent="0.25">
      <c r="R381" s="14"/>
      <c r="S381" s="14"/>
      <c r="T381" s="14">
        <v>1</v>
      </c>
      <c r="U381" s="14" t="s">
        <v>296</v>
      </c>
      <c r="V381" s="14">
        <v>8</v>
      </c>
      <c r="W381" s="14" t="s">
        <v>115</v>
      </c>
      <c r="X381" s="32">
        <f>L47</f>
        <v>51.116636636636628</v>
      </c>
      <c r="Y381" s="32">
        <f>V381*X381</f>
        <v>408.93309309309302</v>
      </c>
      <c r="Z381" s="32"/>
      <c r="AA381" s="32"/>
    </row>
    <row r="382" spans="18:27" x14ac:dyDescent="0.25">
      <c r="R382" s="14"/>
      <c r="S382" s="14">
        <v>4</v>
      </c>
      <c r="T382" s="14"/>
      <c r="U382" s="25" t="s">
        <v>299</v>
      </c>
      <c r="V382" s="14"/>
      <c r="W382" s="14"/>
      <c r="X382" s="32"/>
      <c r="Y382" s="32"/>
      <c r="Z382" s="32">
        <f>Y383</f>
        <v>408.93309309309302</v>
      </c>
      <c r="AA382" s="32"/>
    </row>
    <row r="383" spans="18:27" x14ac:dyDescent="0.25">
      <c r="R383" s="14"/>
      <c r="S383" s="14"/>
      <c r="T383" s="14">
        <v>1</v>
      </c>
      <c r="U383" s="14" t="s">
        <v>296</v>
      </c>
      <c r="V383" s="14">
        <v>8</v>
      </c>
      <c r="W383" s="14" t="s">
        <v>115</v>
      </c>
      <c r="X383" s="32">
        <f>L47</f>
        <v>51.116636636636628</v>
      </c>
      <c r="Y383" s="32">
        <f>V383*X383</f>
        <v>408.93309309309302</v>
      </c>
      <c r="Z383" s="32"/>
      <c r="AA383" s="32"/>
    </row>
    <row r="384" spans="18:27" x14ac:dyDescent="0.25">
      <c r="R384" s="14"/>
      <c r="S384" s="14">
        <v>5</v>
      </c>
      <c r="T384" s="14"/>
      <c r="U384" s="25" t="s">
        <v>300</v>
      </c>
      <c r="V384" s="14"/>
      <c r="W384" s="14"/>
      <c r="X384" s="32"/>
      <c r="Y384" s="32"/>
      <c r="Z384" s="32">
        <f>SUM(Y385:Y389)</f>
        <v>11305.566846846847</v>
      </c>
      <c r="AA384" s="32"/>
    </row>
    <row r="385" spans="18:27" x14ac:dyDescent="0.25">
      <c r="R385" s="14"/>
      <c r="S385" s="14"/>
      <c r="T385" s="14">
        <v>1</v>
      </c>
      <c r="U385" s="14" t="s">
        <v>213</v>
      </c>
      <c r="V385" s="14">
        <v>24</v>
      </c>
      <c r="W385" s="14" t="s">
        <v>115</v>
      </c>
      <c r="X385" s="32">
        <f>L43</f>
        <v>0</v>
      </c>
      <c r="Y385" s="32">
        <f>V385*X385</f>
        <v>0</v>
      </c>
      <c r="Z385" s="32"/>
      <c r="AA385" s="32"/>
    </row>
    <row r="386" spans="18:27" x14ac:dyDescent="0.25">
      <c r="R386" s="14"/>
      <c r="S386" s="14"/>
      <c r="T386" s="14">
        <v>2</v>
      </c>
      <c r="U386" s="14" t="s">
        <v>296</v>
      </c>
      <c r="V386" s="14">
        <v>24</v>
      </c>
      <c r="W386" s="14" t="s">
        <v>115</v>
      </c>
      <c r="X386" s="32">
        <f>L47</f>
        <v>51.116636636636628</v>
      </c>
      <c r="Y386" s="32">
        <f>V386*X386</f>
        <v>1226.7992792792791</v>
      </c>
      <c r="Z386" s="32"/>
      <c r="AA386" s="32"/>
    </row>
    <row r="387" spans="18:27" x14ac:dyDescent="0.25">
      <c r="R387" s="14"/>
      <c r="S387" s="14"/>
      <c r="T387" s="14">
        <v>3</v>
      </c>
      <c r="U387" s="14" t="s">
        <v>214</v>
      </c>
      <c r="V387" s="14">
        <v>24</v>
      </c>
      <c r="W387" s="14" t="s">
        <v>115</v>
      </c>
      <c r="X387" s="32">
        <f>L50</f>
        <v>178.61779279279278</v>
      </c>
      <c r="Y387" s="32">
        <f>V387*X387</f>
        <v>4286.8270270270268</v>
      </c>
      <c r="Z387" s="32"/>
      <c r="AA387" s="32"/>
    </row>
    <row r="388" spans="18:27" x14ac:dyDescent="0.25">
      <c r="R388" s="14"/>
      <c r="S388" s="14"/>
      <c r="T388" s="14">
        <v>4</v>
      </c>
      <c r="U388" s="14" t="s">
        <v>204</v>
      </c>
      <c r="V388" s="14">
        <v>24</v>
      </c>
      <c r="W388" s="14" t="s">
        <v>115</v>
      </c>
      <c r="X388" s="32">
        <f>L52</f>
        <v>187.33085585585584</v>
      </c>
      <c r="Y388" s="32">
        <f>V388*X388</f>
        <v>4495.9405405405405</v>
      </c>
      <c r="Z388" s="32"/>
      <c r="AA388" s="32"/>
    </row>
    <row r="389" spans="18:27" x14ac:dyDescent="0.25">
      <c r="R389" s="14"/>
      <c r="S389" s="14"/>
      <c r="T389" s="14">
        <v>5</v>
      </c>
      <c r="U389" s="14" t="s">
        <v>224</v>
      </c>
      <c r="V389" s="14">
        <v>24</v>
      </c>
      <c r="W389" s="14" t="s">
        <v>115</v>
      </c>
      <c r="X389" s="32">
        <f>54</f>
        <v>54</v>
      </c>
      <c r="Y389" s="32">
        <f>V389*X389</f>
        <v>1296</v>
      </c>
      <c r="Z389" s="32"/>
      <c r="AA389" s="32"/>
    </row>
    <row r="390" spans="18:27" x14ac:dyDescent="0.25">
      <c r="R390" s="14"/>
      <c r="S390" s="14">
        <v>6</v>
      </c>
      <c r="T390" s="14"/>
      <c r="U390" s="25" t="s">
        <v>301</v>
      </c>
      <c r="V390" s="14"/>
      <c r="W390" s="14"/>
      <c r="X390" s="32"/>
      <c r="Y390" s="32"/>
      <c r="Z390" s="32">
        <f>SUM(Y391:Y393)</f>
        <v>1226.7992792792791</v>
      </c>
      <c r="AA390" s="32"/>
    </row>
    <row r="391" spans="18:27" x14ac:dyDescent="0.25">
      <c r="R391" s="14"/>
      <c r="S391" s="14"/>
      <c r="T391" s="14">
        <v>1</v>
      </c>
      <c r="U391" s="14" t="s">
        <v>213</v>
      </c>
      <c r="V391" s="14">
        <v>24</v>
      </c>
      <c r="W391" s="14" t="s">
        <v>115</v>
      </c>
      <c r="X391" s="32">
        <f>L43</f>
        <v>0</v>
      </c>
      <c r="Y391" s="32">
        <f>V391*X391</f>
        <v>0</v>
      </c>
      <c r="Z391" s="32"/>
      <c r="AA391" s="32"/>
    </row>
    <row r="392" spans="18:27" x14ac:dyDescent="0.25">
      <c r="R392" s="14"/>
      <c r="S392" s="14"/>
      <c r="T392" s="14">
        <v>2</v>
      </c>
      <c r="U392" s="14" t="s">
        <v>302</v>
      </c>
      <c r="V392" s="14">
        <v>24</v>
      </c>
      <c r="W392" s="14" t="s">
        <v>115</v>
      </c>
      <c r="X392" s="32">
        <f>L45</f>
        <v>0</v>
      </c>
      <c r="Y392" s="32">
        <f>V392*X392</f>
        <v>0</v>
      </c>
      <c r="Z392" s="32"/>
      <c r="AA392" s="32"/>
    </row>
    <row r="393" spans="18:27" x14ac:dyDescent="0.25">
      <c r="R393" s="14"/>
      <c r="S393" s="14"/>
      <c r="T393" s="14">
        <v>3</v>
      </c>
      <c r="U393" s="14" t="s">
        <v>296</v>
      </c>
      <c r="V393" s="14">
        <v>24</v>
      </c>
      <c r="W393" s="14" t="s">
        <v>115</v>
      </c>
      <c r="X393" s="32">
        <f>L47</f>
        <v>51.116636636636628</v>
      </c>
      <c r="Y393" s="32">
        <f>V393*X393</f>
        <v>1226.7992792792791</v>
      </c>
      <c r="Z393" s="32"/>
      <c r="AA393" s="32"/>
    </row>
    <row r="394" spans="18:27" x14ac:dyDescent="0.25">
      <c r="R394" s="14">
        <v>2</v>
      </c>
      <c r="S394" s="14"/>
      <c r="T394" s="14"/>
      <c r="U394" s="11" t="s">
        <v>303</v>
      </c>
      <c r="V394" s="14"/>
      <c r="W394" s="14"/>
      <c r="X394" s="32"/>
      <c r="Y394" s="32"/>
      <c r="Z394" s="32"/>
      <c r="AA394" s="32">
        <f>Z395</f>
        <v>22653.963963963964</v>
      </c>
    </row>
    <row r="395" spans="18:27" x14ac:dyDescent="0.25">
      <c r="R395" s="14"/>
      <c r="S395" s="14">
        <v>1</v>
      </c>
      <c r="T395" s="14"/>
      <c r="U395" s="25" t="s">
        <v>304</v>
      </c>
      <c r="V395" s="14"/>
      <c r="W395" s="14"/>
      <c r="X395" s="32"/>
      <c r="Y395" s="32"/>
      <c r="Z395" s="32">
        <f>SUM(Y396:Y400)</f>
        <v>22653.963963963964</v>
      </c>
      <c r="AA395" s="32"/>
    </row>
    <row r="396" spans="18:27" x14ac:dyDescent="0.25">
      <c r="R396" s="14"/>
      <c r="S396" s="14"/>
      <c r="T396" s="14">
        <v>1</v>
      </c>
      <c r="U396" s="29" t="s">
        <v>213</v>
      </c>
      <c r="V396" s="29">
        <v>32</v>
      </c>
      <c r="W396" s="29" t="s">
        <v>115</v>
      </c>
      <c r="X396" s="33">
        <f>L66</f>
        <v>0</v>
      </c>
      <c r="Y396" s="33">
        <f>V396*X396</f>
        <v>0</v>
      </c>
      <c r="Z396" s="33"/>
      <c r="AA396" s="33"/>
    </row>
    <row r="397" spans="18:27" x14ac:dyDescent="0.25">
      <c r="R397" s="14"/>
      <c r="S397" s="14"/>
      <c r="T397" s="71">
        <v>2</v>
      </c>
      <c r="U397" s="14" t="s">
        <v>219</v>
      </c>
      <c r="V397" s="14">
        <v>32</v>
      </c>
      <c r="W397" s="14" t="s">
        <v>115</v>
      </c>
      <c r="X397" s="24">
        <f>L48</f>
        <v>159.01340090090088</v>
      </c>
      <c r="Y397" s="32">
        <f>V397*X397</f>
        <v>5088.428828828828</v>
      </c>
      <c r="Z397" s="14"/>
      <c r="AA397" s="14"/>
    </row>
    <row r="398" spans="18:27" x14ac:dyDescent="0.25">
      <c r="R398" s="14"/>
      <c r="S398" s="14"/>
      <c r="T398" s="71">
        <v>3</v>
      </c>
      <c r="U398" s="14" t="s">
        <v>305</v>
      </c>
      <c r="V398" s="14">
        <v>32</v>
      </c>
      <c r="W398" s="14" t="s">
        <v>115</v>
      </c>
      <c r="X398" s="24">
        <f>L50</f>
        <v>178.61779279279278</v>
      </c>
      <c r="Y398" s="32">
        <f>V398*X398</f>
        <v>5715.7693693693691</v>
      </c>
      <c r="Z398" s="14"/>
      <c r="AA398" s="14"/>
    </row>
    <row r="399" spans="18:27" x14ac:dyDescent="0.25">
      <c r="R399" s="14"/>
      <c r="S399" s="14"/>
      <c r="T399" s="71">
        <v>4</v>
      </c>
      <c r="U399" s="14" t="s">
        <v>306</v>
      </c>
      <c r="V399" s="14">
        <v>32</v>
      </c>
      <c r="W399" s="14" t="s">
        <v>115</v>
      </c>
      <c r="X399" s="24">
        <f>L52</f>
        <v>187.33085585585584</v>
      </c>
      <c r="Y399" s="32">
        <f>V399*X399</f>
        <v>5994.587387387387</v>
      </c>
      <c r="Z399" s="14"/>
      <c r="AA399" s="14"/>
    </row>
    <row r="400" spans="18:27" x14ac:dyDescent="0.25">
      <c r="R400" s="14"/>
      <c r="S400" s="14"/>
      <c r="T400" s="71">
        <v>5</v>
      </c>
      <c r="U400" s="14" t="s">
        <v>200</v>
      </c>
      <c r="V400" s="14">
        <v>32</v>
      </c>
      <c r="W400" s="14" t="s">
        <v>115</v>
      </c>
      <c r="X400" s="24">
        <f>L55</f>
        <v>182.97432432432433</v>
      </c>
      <c r="Y400" s="32">
        <f>V400*X400</f>
        <v>5855.1783783783785</v>
      </c>
      <c r="Z400" s="14"/>
      <c r="AA400" s="14"/>
    </row>
    <row r="401" spans="18:27" x14ac:dyDescent="0.25">
      <c r="X401" s="70"/>
      <c r="Y401" s="70"/>
      <c r="Z401" s="70"/>
      <c r="AA401" s="70"/>
    </row>
    <row r="402" spans="18:27" x14ac:dyDescent="0.25">
      <c r="X402" s="70"/>
      <c r="Y402" s="70"/>
      <c r="Z402" s="70"/>
      <c r="AA402" s="70"/>
    </row>
    <row r="403" spans="18:27" x14ac:dyDescent="0.25">
      <c r="X403" s="70"/>
      <c r="Y403" s="70"/>
      <c r="Z403" s="70"/>
      <c r="AA403" s="70"/>
    </row>
    <row r="404" spans="18:27" x14ac:dyDescent="0.25">
      <c r="X404" s="70"/>
      <c r="Y404" s="70"/>
      <c r="Z404" s="70"/>
      <c r="AA404" s="70"/>
    </row>
    <row r="407" spans="18:27" x14ac:dyDescent="0.25">
      <c r="R407" s="87" t="s">
        <v>307</v>
      </c>
      <c r="S407" s="87"/>
      <c r="T407" s="87"/>
      <c r="U407" s="87"/>
      <c r="V407" s="87"/>
      <c r="W407" s="87"/>
      <c r="X407" s="87"/>
      <c r="Y407" s="87"/>
      <c r="Z407" s="87"/>
      <c r="AA407" s="87"/>
    </row>
    <row r="408" spans="18:27" x14ac:dyDescent="0.25">
      <c r="R408" s="26" t="s">
        <v>103</v>
      </c>
      <c r="S408" s="26" t="s">
        <v>104</v>
      </c>
      <c r="T408" s="26" t="s">
        <v>105</v>
      </c>
      <c r="U408" s="26" t="s">
        <v>106</v>
      </c>
      <c r="V408" s="26" t="s">
        <v>107</v>
      </c>
      <c r="W408" s="26" t="s">
        <v>44</v>
      </c>
      <c r="X408" s="26" t="s">
        <v>45</v>
      </c>
      <c r="Y408" s="26" t="s">
        <v>108</v>
      </c>
      <c r="Z408" s="26" t="s">
        <v>109</v>
      </c>
      <c r="AA408" s="26" t="s">
        <v>5</v>
      </c>
    </row>
    <row r="409" spans="18:27" x14ac:dyDescent="0.25">
      <c r="R409" s="14">
        <v>1</v>
      </c>
      <c r="S409" s="14"/>
      <c r="T409" s="14"/>
      <c r="U409" s="11" t="s">
        <v>308</v>
      </c>
      <c r="V409" s="14"/>
      <c r="W409" s="14"/>
      <c r="X409" s="32"/>
      <c r="Y409" s="32"/>
      <c r="Z409" s="32"/>
      <c r="AA409" s="32">
        <f>Z410+Z421</f>
        <v>4787.6400000000003</v>
      </c>
    </row>
    <row r="410" spans="18:27" x14ac:dyDescent="0.25">
      <c r="R410" s="14"/>
      <c r="S410" s="14">
        <v>1</v>
      </c>
      <c r="T410" s="14"/>
      <c r="U410" s="25" t="s">
        <v>309</v>
      </c>
      <c r="V410" s="14"/>
      <c r="W410" s="14"/>
      <c r="X410" s="32"/>
      <c r="Y410" s="32"/>
      <c r="Z410" s="32">
        <f>SUM(Y411:Y420)</f>
        <v>1267.2</v>
      </c>
      <c r="AA410" s="32"/>
    </row>
    <row r="411" spans="18:27" x14ac:dyDescent="0.25">
      <c r="R411" s="14"/>
      <c r="S411" s="14"/>
      <c r="T411" s="14">
        <v>1</v>
      </c>
      <c r="U411" s="14" t="s">
        <v>310</v>
      </c>
      <c r="V411" s="14">
        <f>22*4</f>
        <v>88</v>
      </c>
      <c r="W411" s="14" t="s">
        <v>311</v>
      </c>
      <c r="X411" s="32">
        <v>0.2</v>
      </c>
      <c r="Y411" s="32">
        <f>V411*X411</f>
        <v>17.600000000000001</v>
      </c>
      <c r="Z411" s="32"/>
      <c r="AA411" s="32"/>
    </row>
    <row r="412" spans="18:27" x14ac:dyDescent="0.25">
      <c r="R412" s="14"/>
      <c r="S412" s="14"/>
      <c r="T412" s="14">
        <v>2</v>
      </c>
      <c r="U412" s="14" t="s">
        <v>312</v>
      </c>
      <c r="V412" s="14">
        <f>22*2</f>
        <v>44</v>
      </c>
      <c r="W412" s="14" t="s">
        <v>311</v>
      </c>
      <c r="X412" s="32">
        <v>0.2</v>
      </c>
      <c r="Y412" s="32">
        <f t="shared" ref="Y412:Y424" si="26">V412*X412</f>
        <v>8.8000000000000007</v>
      </c>
      <c r="Z412" s="32"/>
      <c r="AA412" s="32"/>
    </row>
    <row r="413" spans="18:27" x14ac:dyDescent="0.25">
      <c r="R413" s="14"/>
      <c r="S413" s="14"/>
      <c r="T413" s="14">
        <v>3</v>
      </c>
      <c r="U413" s="14" t="s">
        <v>313</v>
      </c>
      <c r="V413" s="14">
        <f>22*9*14</f>
        <v>2772</v>
      </c>
      <c r="W413" s="14" t="s">
        <v>311</v>
      </c>
      <c r="X413" s="32">
        <v>0.2</v>
      </c>
      <c r="Y413" s="32">
        <f t="shared" si="26"/>
        <v>554.4</v>
      </c>
      <c r="Z413" s="32"/>
      <c r="AA413" s="32"/>
    </row>
    <row r="414" spans="18:27" x14ac:dyDescent="0.25">
      <c r="R414" s="14"/>
      <c r="S414" s="14"/>
      <c r="T414" s="14">
        <v>4</v>
      </c>
      <c r="U414" s="14" t="s">
        <v>314</v>
      </c>
      <c r="V414" s="14">
        <f>22*3*6</f>
        <v>396</v>
      </c>
      <c r="W414" s="14" t="s">
        <v>311</v>
      </c>
      <c r="X414" s="32">
        <v>0.2</v>
      </c>
      <c r="Y414" s="32">
        <f t="shared" ref="Y414:Y420" si="27">V414*X414</f>
        <v>79.2</v>
      </c>
      <c r="Z414" s="32"/>
      <c r="AA414" s="32"/>
    </row>
    <row r="415" spans="18:27" x14ac:dyDescent="0.25">
      <c r="R415" s="14"/>
      <c r="S415" s="14"/>
      <c r="T415" s="14">
        <v>5</v>
      </c>
      <c r="U415" s="14" t="s">
        <v>315</v>
      </c>
      <c r="V415" s="14">
        <f>22*6*5</f>
        <v>660</v>
      </c>
      <c r="W415" s="14" t="s">
        <v>311</v>
      </c>
      <c r="X415" s="32">
        <v>0.2</v>
      </c>
      <c r="Y415" s="32">
        <f t="shared" si="27"/>
        <v>132</v>
      </c>
      <c r="Z415" s="32"/>
      <c r="AA415" s="32"/>
    </row>
    <row r="416" spans="18:27" x14ac:dyDescent="0.25">
      <c r="R416" s="14"/>
      <c r="S416" s="14"/>
      <c r="T416" s="14">
        <v>6</v>
      </c>
      <c r="U416" s="14" t="s">
        <v>316</v>
      </c>
      <c r="V416" s="14">
        <f>22*1*1</f>
        <v>22</v>
      </c>
      <c r="W416" s="14" t="s">
        <v>311</v>
      </c>
      <c r="X416" s="32">
        <v>0.2</v>
      </c>
      <c r="Y416" s="32">
        <f t="shared" si="27"/>
        <v>4.4000000000000004</v>
      </c>
      <c r="Z416" s="32"/>
      <c r="AA416" s="32"/>
    </row>
    <row r="417" spans="18:27" x14ac:dyDescent="0.25">
      <c r="R417" s="14"/>
      <c r="S417" s="14"/>
      <c r="T417" s="14">
        <v>7</v>
      </c>
      <c r="U417" s="14" t="s">
        <v>317</v>
      </c>
      <c r="V417" s="14">
        <f>22*2*4</f>
        <v>176</v>
      </c>
      <c r="W417" s="14" t="s">
        <v>311</v>
      </c>
      <c r="X417" s="32">
        <v>0.2</v>
      </c>
      <c r="Y417" s="32">
        <f t="shared" si="27"/>
        <v>35.200000000000003</v>
      </c>
      <c r="Z417" s="32"/>
      <c r="AA417" s="32"/>
    </row>
    <row r="418" spans="18:27" x14ac:dyDescent="0.25">
      <c r="R418" s="14"/>
      <c r="S418" s="14"/>
      <c r="T418" s="14">
        <v>8</v>
      </c>
      <c r="U418" s="14" t="s">
        <v>318</v>
      </c>
      <c r="V418" s="14">
        <f>22*1*7</f>
        <v>154</v>
      </c>
      <c r="W418" s="14" t="s">
        <v>311</v>
      </c>
      <c r="X418" s="32">
        <v>0.2</v>
      </c>
      <c r="Y418" s="32">
        <f t="shared" si="27"/>
        <v>30.8</v>
      </c>
      <c r="Z418" s="32"/>
      <c r="AA418" s="32"/>
    </row>
    <row r="419" spans="18:27" x14ac:dyDescent="0.25">
      <c r="R419" s="14"/>
      <c r="S419" s="14"/>
      <c r="T419" s="14">
        <v>9</v>
      </c>
      <c r="U419" s="14" t="s">
        <v>319</v>
      </c>
      <c r="V419" s="14">
        <f>22*2*14</f>
        <v>616</v>
      </c>
      <c r="W419" s="14" t="s">
        <v>311</v>
      </c>
      <c r="X419" s="32">
        <v>0.2</v>
      </c>
      <c r="Y419" s="32">
        <f t="shared" si="27"/>
        <v>123.2</v>
      </c>
      <c r="Z419" s="32"/>
      <c r="AA419" s="32"/>
    </row>
    <row r="420" spans="18:27" x14ac:dyDescent="0.25">
      <c r="R420" s="14"/>
      <c r="S420" s="14"/>
      <c r="T420" s="14">
        <v>10</v>
      </c>
      <c r="U420" s="14" t="s">
        <v>320</v>
      </c>
      <c r="V420" s="14">
        <f>22*4*16</f>
        <v>1408</v>
      </c>
      <c r="W420" s="14" t="s">
        <v>311</v>
      </c>
      <c r="X420" s="32">
        <v>0.2</v>
      </c>
      <c r="Y420" s="32">
        <f t="shared" si="27"/>
        <v>281.60000000000002</v>
      </c>
      <c r="Z420" s="32"/>
      <c r="AA420" s="32"/>
    </row>
    <row r="421" spans="18:27" x14ac:dyDescent="0.25">
      <c r="R421" s="14"/>
      <c r="S421" s="14">
        <v>2</v>
      </c>
      <c r="T421" s="14"/>
      <c r="U421" s="25" t="s">
        <v>321</v>
      </c>
      <c r="V421" s="14"/>
      <c r="W421" s="14"/>
      <c r="X421" s="32"/>
      <c r="Y421" s="32"/>
      <c r="Z421" s="32">
        <f>SUM(Y422:Y424)</f>
        <v>3520.44</v>
      </c>
      <c r="AA421" s="32"/>
    </row>
    <row r="422" spans="18:27" x14ac:dyDescent="0.25">
      <c r="R422" s="14"/>
      <c r="S422" s="14"/>
      <c r="T422" s="14">
        <v>1</v>
      </c>
      <c r="U422" s="14" t="s">
        <v>322</v>
      </c>
      <c r="V422" s="14">
        <f>4</f>
        <v>4</v>
      </c>
      <c r="W422" s="14" t="s">
        <v>323</v>
      </c>
      <c r="X422" s="32">
        <v>26.67</v>
      </c>
      <c r="Y422" s="32">
        <f t="shared" si="26"/>
        <v>106.68</v>
      </c>
      <c r="Z422" s="32"/>
      <c r="AA422" s="32"/>
    </row>
    <row r="423" spans="18:27" x14ac:dyDescent="0.25">
      <c r="R423" s="14"/>
      <c r="S423" s="14"/>
      <c r="T423" s="14">
        <v>2</v>
      </c>
      <c r="U423" s="14" t="s">
        <v>324</v>
      </c>
      <c r="V423" s="14">
        <f>2</f>
        <v>2</v>
      </c>
      <c r="W423" s="14" t="s">
        <v>323</v>
      </c>
      <c r="X423" s="32">
        <v>26.67</v>
      </c>
      <c r="Y423" s="32">
        <f t="shared" si="26"/>
        <v>53.34</v>
      </c>
      <c r="Z423" s="32"/>
      <c r="AA423" s="32"/>
    </row>
    <row r="424" spans="18:27" x14ac:dyDescent="0.25">
      <c r="R424" s="14"/>
      <c r="S424" s="14"/>
      <c r="T424" s="14">
        <v>3</v>
      </c>
      <c r="U424" s="14" t="s">
        <v>325</v>
      </c>
      <c r="V424" s="14">
        <f>9*14</f>
        <v>126</v>
      </c>
      <c r="W424" s="14" t="s">
        <v>323</v>
      </c>
      <c r="X424" s="32">
        <v>26.67</v>
      </c>
      <c r="Y424" s="32">
        <f t="shared" si="26"/>
        <v>3360.42</v>
      </c>
      <c r="Z424" s="32"/>
      <c r="AA424" s="32"/>
    </row>
    <row r="432" spans="18:27" x14ac:dyDescent="0.25">
      <c r="T432" s="102" t="s">
        <v>326</v>
      </c>
      <c r="U432" s="103"/>
      <c r="V432" s="104"/>
    </row>
    <row r="433" spans="20:26" x14ac:dyDescent="0.25">
      <c r="T433" s="11" t="s">
        <v>327</v>
      </c>
      <c r="U433" s="11" t="s">
        <v>326</v>
      </c>
      <c r="V433" s="11" t="s">
        <v>5</v>
      </c>
    </row>
    <row r="434" spans="20:26" x14ac:dyDescent="0.25">
      <c r="T434" s="14">
        <v>1</v>
      </c>
      <c r="U434" s="14" t="s">
        <v>293</v>
      </c>
      <c r="V434" s="32">
        <f>AA375+AA394</f>
        <v>36822.062462462462</v>
      </c>
    </row>
    <row r="435" spans="20:26" x14ac:dyDescent="0.25">
      <c r="T435" s="14">
        <v>2</v>
      </c>
      <c r="U435" s="14" t="s">
        <v>101</v>
      </c>
      <c r="V435" s="32">
        <f>AA65+AA99+AA103</f>
        <v>167408.20371072501</v>
      </c>
    </row>
    <row r="436" spans="20:26" x14ac:dyDescent="0.25">
      <c r="T436" s="14">
        <v>3</v>
      </c>
      <c r="U436" s="14" t="s">
        <v>222</v>
      </c>
      <c r="V436" s="32">
        <f>AC230</f>
        <v>32762.183207913797</v>
      </c>
    </row>
    <row r="437" spans="20:26" x14ac:dyDescent="0.25">
      <c r="T437" s="14">
        <v>4</v>
      </c>
      <c r="U437" s="14" t="s">
        <v>150</v>
      </c>
      <c r="V437" s="32">
        <f>AC109+AC168+AC173+AC180</f>
        <v>81870.60571277159</v>
      </c>
    </row>
    <row r="438" spans="20:26" x14ac:dyDescent="0.25">
      <c r="T438" s="14">
        <v>5</v>
      </c>
      <c r="U438" s="14" t="s">
        <v>257</v>
      </c>
      <c r="V438" s="32">
        <f>AC287</f>
        <v>107347.0688387968</v>
      </c>
    </row>
    <row r="439" spans="20:26" x14ac:dyDescent="0.25">
      <c r="T439" s="14">
        <v>6</v>
      </c>
      <c r="U439" s="14" t="s">
        <v>207</v>
      </c>
      <c r="V439" s="32">
        <f>AA195+AA208</f>
        <v>50691.439268680442</v>
      </c>
    </row>
    <row r="440" spans="20:26" x14ac:dyDescent="0.25">
      <c r="T440" s="14">
        <v>7</v>
      </c>
      <c r="U440" s="14" t="s">
        <v>307</v>
      </c>
      <c r="V440" s="32">
        <f>AA409</f>
        <v>4787.6400000000003</v>
      </c>
    </row>
    <row r="442" spans="20:26" x14ac:dyDescent="0.25">
      <c r="T442" s="105" t="s">
        <v>328</v>
      </c>
      <c r="U442" s="106"/>
      <c r="V442" s="47">
        <f>SUM(V434:V440)</f>
        <v>481689.20320135012</v>
      </c>
    </row>
    <row r="446" spans="20:26" x14ac:dyDescent="0.25">
      <c r="U446" s="26" t="s">
        <v>329</v>
      </c>
    </row>
    <row r="447" spans="20:26" x14ac:dyDescent="0.25">
      <c r="Y447" s="78"/>
      <c r="Z447" s="85">
        <f>SUM(Y448:Y474)</f>
        <v>602111.50400168751</v>
      </c>
    </row>
    <row r="448" spans="20:26" x14ac:dyDescent="0.25">
      <c r="T448" s="107" t="s">
        <v>330</v>
      </c>
      <c r="U448" s="74" t="s">
        <v>111</v>
      </c>
      <c r="V448" s="32">
        <f>AA65</f>
        <v>25197.403710725008</v>
      </c>
      <c r="Y448" s="81">
        <f>V448+ (V448*$Y$485)</f>
        <v>37893.79778570724</v>
      </c>
      <c r="Z448" s="14"/>
    </row>
    <row r="449" spans="17:30" x14ac:dyDescent="0.25">
      <c r="T449" s="107"/>
      <c r="U449" s="75" t="s">
        <v>145</v>
      </c>
      <c r="V449" s="55">
        <f>AA99</f>
        <v>118509</v>
      </c>
      <c r="Y449" s="55">
        <f>V449</f>
        <v>118509</v>
      </c>
      <c r="Z449" s="14"/>
    </row>
    <row r="450" spans="17:30" x14ac:dyDescent="0.25">
      <c r="T450" s="108"/>
      <c r="U450" s="76" t="s">
        <v>149</v>
      </c>
      <c r="V450" s="33">
        <f>AA103</f>
        <v>23701.800000000003</v>
      </c>
      <c r="Y450" s="32">
        <f>V450+ (V450*$Y$485)</f>
        <v>35644.593652122479</v>
      </c>
      <c r="Z450" s="29"/>
    </row>
    <row r="451" spans="17:30" x14ac:dyDescent="0.25">
      <c r="T451" s="79"/>
      <c r="U451" s="79"/>
      <c r="V451" s="79"/>
      <c r="Y451" s="82"/>
      <c r="Z451" s="79"/>
    </row>
    <row r="452" spans="17:30" x14ac:dyDescent="0.25">
      <c r="T452" s="101" t="s">
        <v>331</v>
      </c>
      <c r="U452" s="78" t="s">
        <v>223</v>
      </c>
      <c r="V452" s="80">
        <f>AB231</f>
        <v>9218.02027027027</v>
      </c>
      <c r="Y452" s="32">
        <f>V452+ (V452*$Y$485)</f>
        <v>13862.769359745334</v>
      </c>
      <c r="Z452" s="53"/>
      <c r="AC452" s="70"/>
      <c r="AD452" s="70"/>
    </row>
    <row r="453" spans="17:30" x14ac:dyDescent="0.25">
      <c r="T453" s="98"/>
      <c r="U453" s="74" t="s">
        <v>225</v>
      </c>
      <c r="V453" s="38">
        <f>AB235</f>
        <v>2972.0060060060059</v>
      </c>
      <c r="Y453" s="32">
        <f>V453+ (V453*$Y$485)</f>
        <v>4469.5316986790685</v>
      </c>
      <c r="Z453" s="14"/>
    </row>
    <row r="454" spans="17:30" x14ac:dyDescent="0.25">
      <c r="T454" s="98"/>
      <c r="U454" s="74" t="s">
        <v>227</v>
      </c>
      <c r="V454" s="38">
        <f>AB238</f>
        <v>16445.650264970856</v>
      </c>
      <c r="Y454" s="32">
        <f>V454+ (V454*$Y$485)</f>
        <v>24732.236414103842</v>
      </c>
      <c r="Z454" s="14"/>
    </row>
    <row r="455" spans="17:30" x14ac:dyDescent="0.25">
      <c r="T455" s="98"/>
      <c r="U455" s="76" t="s">
        <v>256</v>
      </c>
      <c r="V455" s="77">
        <f>AB279</f>
        <v>4126.5066666666662</v>
      </c>
      <c r="Y455" s="33">
        <f>V455+ (V455*$Y$485)</f>
        <v>6205.7587751186711</v>
      </c>
      <c r="Z455" s="29"/>
    </row>
    <row r="456" spans="17:30" x14ac:dyDescent="0.25">
      <c r="U456" s="79"/>
      <c r="V456" s="79"/>
      <c r="Y456" s="79"/>
      <c r="Z456" s="79"/>
    </row>
    <row r="457" spans="17:30" x14ac:dyDescent="0.25">
      <c r="Q457" s="57" t="s">
        <v>332</v>
      </c>
      <c r="R457" s="32">
        <f>AC109+AC168+AC173+AC180</f>
        <v>81870.60571277159</v>
      </c>
      <c r="T457" s="98" t="s">
        <v>333</v>
      </c>
      <c r="U457" s="78" t="s">
        <v>156</v>
      </c>
      <c r="V457" s="81">
        <f>AB110+(AB110*$R$460)</f>
        <v>8106.0005656209487</v>
      </c>
      <c r="Y457" s="81">
        <f t="shared" ref="Y457:Y463" si="28">V457+ (V457*$Y$485)</f>
        <v>12190.428419167896</v>
      </c>
      <c r="Z457" s="53"/>
    </row>
    <row r="458" spans="17:30" x14ac:dyDescent="0.25">
      <c r="Q458" s="57" t="s">
        <v>334</v>
      </c>
      <c r="R458" s="32">
        <f>AB110+AB113+AB116+AB119+AB122+AB129+AB140</f>
        <v>54354.13751987282</v>
      </c>
      <c r="T458" s="98"/>
      <c r="U458" s="74" t="s">
        <v>159</v>
      </c>
      <c r="V458" s="32">
        <f>AB113+(AB113*$R$460)</f>
        <v>2702.0001885403162</v>
      </c>
      <c r="Y458" s="32">
        <f t="shared" si="28"/>
        <v>4063.4761397226321</v>
      </c>
      <c r="Z458" s="14"/>
    </row>
    <row r="459" spans="17:30" x14ac:dyDescent="0.25">
      <c r="Q459" s="57" t="s">
        <v>335</v>
      </c>
      <c r="R459" s="32">
        <f>R457-R458</f>
        <v>27516.46819289877</v>
      </c>
      <c r="T459" s="98"/>
      <c r="U459" s="74" t="s">
        <v>160</v>
      </c>
      <c r="V459" s="32">
        <f>AB116+(AB116*$R$460)</f>
        <v>3242.4002262483796</v>
      </c>
      <c r="Y459" s="32">
        <f t="shared" si="28"/>
        <v>4876.1713676671588</v>
      </c>
      <c r="Z459" s="14"/>
    </row>
    <row r="460" spans="17:30" x14ac:dyDescent="0.25">
      <c r="Q460" s="57" t="s">
        <v>336</v>
      </c>
      <c r="R460" s="14">
        <f>R459/R458</f>
        <v>0.50624422442244199</v>
      </c>
      <c r="T460" s="98"/>
      <c r="U460" s="74" t="s">
        <v>161</v>
      </c>
      <c r="V460" s="32">
        <f>AB119+(AB119*$R$460)</f>
        <v>2431.8001696862848</v>
      </c>
      <c r="Y460" s="32">
        <f t="shared" si="28"/>
        <v>3657.1285257503696</v>
      </c>
      <c r="Z460" s="14"/>
    </row>
    <row r="461" spans="17:30" x14ac:dyDescent="0.25">
      <c r="T461" s="98"/>
      <c r="U461" s="74" t="s">
        <v>162</v>
      </c>
      <c r="V461" s="32">
        <f>AB122+(AB122*$R$460)</f>
        <v>8646.4006033290134</v>
      </c>
      <c r="Y461" s="32">
        <f t="shared" si="28"/>
        <v>13003.123647112425</v>
      </c>
      <c r="Z461" s="14"/>
      <c r="AA461" s="70"/>
      <c r="AB461" s="70"/>
    </row>
    <row r="462" spans="17:30" x14ac:dyDescent="0.25">
      <c r="T462" s="98"/>
      <c r="U462" s="74" t="s">
        <v>167</v>
      </c>
      <c r="V462" s="32">
        <f>AB129+(AB129*$R$460)</f>
        <v>7565.6005279128849</v>
      </c>
      <c r="Y462" s="32">
        <f t="shared" si="28"/>
        <v>11377.733191223369</v>
      </c>
      <c r="Z462" s="14"/>
    </row>
    <row r="463" spans="17:30" x14ac:dyDescent="0.25">
      <c r="T463" s="98"/>
      <c r="U463" s="76" t="s">
        <v>174</v>
      </c>
      <c r="V463" s="33">
        <f>AB140+(AB140*$R$460)</f>
        <v>49176.403431433762</v>
      </c>
      <c r="Y463" s="33">
        <f t="shared" si="28"/>
        <v>73955.265742951917</v>
      </c>
      <c r="Z463" s="29"/>
    </row>
    <row r="464" spans="17:30" x14ac:dyDescent="0.25">
      <c r="U464" s="79"/>
      <c r="V464" s="82"/>
      <c r="Y464" s="82"/>
      <c r="Z464" s="79"/>
    </row>
    <row r="465" spans="17:27" x14ac:dyDescent="0.25">
      <c r="Q465" s="57" t="s">
        <v>337</v>
      </c>
      <c r="R465" s="32">
        <f>AC287</f>
        <v>107347.0688387968</v>
      </c>
      <c r="T465" s="98" t="s">
        <v>338</v>
      </c>
      <c r="U465" s="78" t="s">
        <v>258</v>
      </c>
      <c r="V465" s="81">
        <f>AB288+(AB288*$R$468)</f>
        <v>65833.210758182278</v>
      </c>
      <c r="Y465" s="81">
        <f t="shared" ref="Y465:Y470" si="29">V465+ (V465*$Y$485)</f>
        <v>99005.056421450907</v>
      </c>
      <c r="Z465" s="53"/>
    </row>
    <row r="466" spans="17:27" x14ac:dyDescent="0.25">
      <c r="Q466" s="57" t="s">
        <v>339</v>
      </c>
      <c r="R466" s="32">
        <f>AB288+AA309+AA314+AB360</f>
        <v>77877.67175347617</v>
      </c>
      <c r="T466" s="98"/>
      <c r="U466" s="74" t="s">
        <v>340</v>
      </c>
      <c r="V466" s="32">
        <f>AA309+(AA309*R468)</f>
        <v>7912.5631601765926</v>
      </c>
      <c r="Y466" s="32">
        <f t="shared" si="29"/>
        <v>11899.522339706213</v>
      </c>
      <c r="Z466" s="14"/>
    </row>
    <row r="467" spans="17:27" x14ac:dyDescent="0.25">
      <c r="Q467" s="57" t="s">
        <v>341</v>
      </c>
      <c r="R467" s="32">
        <f>R465-R466</f>
        <v>29469.397085320627</v>
      </c>
      <c r="T467" s="98"/>
      <c r="U467" s="74" t="s">
        <v>342</v>
      </c>
      <c r="V467" s="32">
        <f>AA314+(AA314*R468)</f>
        <v>23710.590970217181</v>
      </c>
      <c r="Y467" s="32">
        <f t="shared" si="29"/>
        <v>35657.81419069758</v>
      </c>
      <c r="Z467" s="14"/>
    </row>
    <row r="468" spans="17:27" x14ac:dyDescent="0.25">
      <c r="Q468" s="57" t="s">
        <v>336</v>
      </c>
      <c r="R468" s="14">
        <f>R467/R466</f>
        <v>0.37840624176088344</v>
      </c>
      <c r="T468" s="98"/>
      <c r="U468" s="76" t="s">
        <v>289</v>
      </c>
      <c r="V468" s="32">
        <f>AB360+(AB360*R468)</f>
        <v>9890.7039502207408</v>
      </c>
      <c r="Y468" s="33">
        <f t="shared" si="29"/>
        <v>14874.402924632766</v>
      </c>
      <c r="Z468" s="29"/>
    </row>
    <row r="469" spans="17:27" x14ac:dyDescent="0.25">
      <c r="U469" s="83"/>
      <c r="V469" s="84"/>
      <c r="Y469" s="82"/>
      <c r="Z469" s="79"/>
    </row>
    <row r="470" spans="17:27" x14ac:dyDescent="0.25">
      <c r="T470" s="99" t="s">
        <v>343</v>
      </c>
      <c r="U470" s="74" t="s">
        <v>344</v>
      </c>
      <c r="V470" s="38">
        <f>Z196</f>
        <v>400</v>
      </c>
      <c r="Y470" s="81">
        <f t="shared" si="29"/>
        <v>601.55082993059557</v>
      </c>
      <c r="Z470" s="53"/>
    </row>
    <row r="471" spans="17:27" x14ac:dyDescent="0.25">
      <c r="T471" s="100"/>
      <c r="U471" s="74" t="s">
        <v>345</v>
      </c>
      <c r="V471" s="38">
        <f>Z198</f>
        <v>200</v>
      </c>
      <c r="Y471" s="32">
        <f>V471+ (V471*$Y$485)</f>
        <v>300.77541496529778</v>
      </c>
      <c r="Z471" s="14"/>
    </row>
    <row r="472" spans="17:27" x14ac:dyDescent="0.25">
      <c r="T472" s="100"/>
      <c r="U472" s="74" t="s">
        <v>346</v>
      </c>
      <c r="V472" s="38">
        <f>Z200</f>
        <v>300</v>
      </c>
      <c r="Y472" s="32">
        <f>V472+ (V472*$Y$485)</f>
        <v>451.16312244794665</v>
      </c>
      <c r="Z472" s="14"/>
    </row>
    <row r="473" spans="17:27" x14ac:dyDescent="0.25">
      <c r="T473" s="100"/>
      <c r="U473" s="76" t="s">
        <v>347</v>
      </c>
      <c r="V473" s="77">
        <f>Z202</f>
        <v>13474.151351351351</v>
      </c>
      <c r="Y473" s="32">
        <f>V473+ (V473*$Y$485)</f>
        <v>20263.46732003965</v>
      </c>
      <c r="Z473" s="14"/>
    </row>
    <row r="474" spans="17:27" x14ac:dyDescent="0.25">
      <c r="T474" s="101"/>
      <c r="U474" s="14" t="s">
        <v>215</v>
      </c>
      <c r="V474" s="38">
        <f>AA208</f>
        <v>36317.287917329093</v>
      </c>
      <c r="Y474" s="32">
        <f>V474+ (V474*$Y$485)</f>
        <v>54616.736718744265</v>
      </c>
      <c r="Z474" s="14"/>
    </row>
    <row r="478" spans="17:27" x14ac:dyDescent="0.25">
      <c r="V478" s="27" t="s">
        <v>348</v>
      </c>
      <c r="Y478" s="27" t="s">
        <v>335</v>
      </c>
    </row>
    <row r="479" spans="17:27" x14ac:dyDescent="0.25">
      <c r="V479" s="32">
        <f>V442</f>
        <v>481689.20320135012</v>
      </c>
      <c r="Y479" s="32">
        <f>V482+V485</f>
        <v>162032.00326279999</v>
      </c>
      <c r="AA479" s="70"/>
    </row>
    <row r="480" spans="17:27" x14ac:dyDescent="0.25">
      <c r="Z480" s="70"/>
      <c r="AA480" s="70"/>
    </row>
    <row r="481" spans="22:27" x14ac:dyDescent="0.25">
      <c r="V481" s="27" t="s">
        <v>307</v>
      </c>
      <c r="Y481" s="27" t="s">
        <v>349</v>
      </c>
      <c r="AA481" s="70"/>
    </row>
    <row r="482" spans="22:27" x14ac:dyDescent="0.25">
      <c r="V482" s="32">
        <f>V440+V434</f>
        <v>41609.702462462461</v>
      </c>
      <c r="Y482" s="32">
        <f>V448+SUM(V450:V474)</f>
        <v>321570.50073888764</v>
      </c>
    </row>
    <row r="484" spans="22:27" x14ac:dyDescent="0.25">
      <c r="V484" s="27" t="s">
        <v>350</v>
      </c>
      <c r="Y484" s="27" t="s">
        <v>336</v>
      </c>
    </row>
    <row r="485" spans="22:27" x14ac:dyDescent="0.25">
      <c r="V485" s="32">
        <f>V479*0.25</f>
        <v>120422.30080033753</v>
      </c>
      <c r="Y485" s="14">
        <f>Y479/Y482</f>
        <v>0.50387707482648891</v>
      </c>
    </row>
    <row r="488" spans="22:27" x14ac:dyDescent="0.25">
      <c r="V488" s="70"/>
    </row>
  </sheetData>
  <mergeCells count="24">
    <mergeCell ref="T465:T468"/>
    <mergeCell ref="T470:T474"/>
    <mergeCell ref="T432:V432"/>
    <mergeCell ref="T442:U442"/>
    <mergeCell ref="T448:T450"/>
    <mergeCell ref="T452:T455"/>
    <mergeCell ref="T457:T463"/>
    <mergeCell ref="AF52:AN52"/>
    <mergeCell ref="R407:AA407"/>
    <mergeCell ref="P228:AC228"/>
    <mergeCell ref="R193:AA193"/>
    <mergeCell ref="R63:AA63"/>
    <mergeCell ref="P107:AC107"/>
    <mergeCell ref="AF72:AM72"/>
    <mergeCell ref="AF82:AI82"/>
    <mergeCell ref="AF89:AH89"/>
    <mergeCell ref="P285:AC285"/>
    <mergeCell ref="R373:AA373"/>
    <mergeCell ref="F1:I1"/>
    <mergeCell ref="A1:E1"/>
    <mergeCell ref="A21:C21"/>
    <mergeCell ref="F21:L21"/>
    <mergeCell ref="F41:J41"/>
    <mergeCell ref="K41:M41"/>
  </mergeCells>
  <pageMargins left="0.7" right="0.7" top="0.75" bottom="0.75" header="0.3" footer="0.3"/>
  <pageSetup paperSize="9" orientation="portrait" horizontalDpi="0" verticalDpi="0" r:id="rId1"/>
  <ignoredErrors>
    <ignoredError sqref="P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3D6C-89B9-4C57-A9FC-E61F55CFD14A}">
  <dimension ref="B3:L35"/>
  <sheetViews>
    <sheetView zoomScale="115" zoomScaleNormal="115" workbookViewId="0">
      <selection activeCell="J19" sqref="J19"/>
    </sheetView>
  </sheetViews>
  <sheetFormatPr baseColWidth="10" defaultColWidth="9.140625" defaultRowHeight="15" x14ac:dyDescent="0.25"/>
  <cols>
    <col min="4" max="4" width="44.85546875" bestFit="1" customWidth="1"/>
    <col min="5" max="5" width="15.28515625" customWidth="1"/>
    <col min="6" max="6" width="16" customWidth="1"/>
    <col min="11" max="11" width="35.140625" bestFit="1" customWidth="1"/>
    <col min="12" max="12" width="14.85546875" customWidth="1"/>
  </cols>
  <sheetData>
    <row r="3" spans="2:12" x14ac:dyDescent="0.25">
      <c r="B3" s="110" t="s">
        <v>351</v>
      </c>
      <c r="C3" s="110"/>
      <c r="D3" s="110"/>
      <c r="E3" s="110"/>
      <c r="F3" s="110"/>
      <c r="J3" s="110" t="s">
        <v>352</v>
      </c>
      <c r="K3" s="110"/>
      <c r="L3" s="110"/>
    </row>
    <row r="4" spans="2:12" x14ac:dyDescent="0.25">
      <c r="B4" s="56" t="s">
        <v>353</v>
      </c>
      <c r="C4" s="56" t="s">
        <v>354</v>
      </c>
      <c r="D4" s="56" t="s">
        <v>353</v>
      </c>
      <c r="E4" s="56" t="s">
        <v>355</v>
      </c>
      <c r="F4" s="56" t="s">
        <v>5</v>
      </c>
      <c r="J4" s="56" t="s">
        <v>356</v>
      </c>
      <c r="K4" s="56" t="s">
        <v>353</v>
      </c>
      <c r="L4" s="56" t="s">
        <v>5</v>
      </c>
    </row>
    <row r="5" spans="2:12" x14ac:dyDescent="0.25">
      <c r="B5" s="14">
        <v>1</v>
      </c>
      <c r="C5" s="14"/>
      <c r="D5" s="25" t="s">
        <v>101</v>
      </c>
      <c r="E5" s="32"/>
      <c r="F5" s="35">
        <f>SUM(E6:E8)</f>
        <v>192047.3914378297</v>
      </c>
      <c r="J5" s="14">
        <v>1</v>
      </c>
      <c r="K5" s="14" t="s">
        <v>101</v>
      </c>
      <c r="L5" s="32">
        <f>F5</f>
        <v>192047.3914378297</v>
      </c>
    </row>
    <row r="6" spans="2:12" x14ac:dyDescent="0.25">
      <c r="B6" s="14"/>
      <c r="C6" s="14">
        <v>1</v>
      </c>
      <c r="D6" s="14" t="s">
        <v>111</v>
      </c>
      <c r="E6" s="32">
        <f>Costes!Y448</f>
        <v>37893.79778570724</v>
      </c>
      <c r="F6" s="14"/>
      <c r="J6" s="14">
        <v>2</v>
      </c>
      <c r="K6" s="14" t="s">
        <v>222</v>
      </c>
      <c r="L6" s="32">
        <f>F9</f>
        <v>49270.296247646918</v>
      </c>
    </row>
    <row r="7" spans="2:12" x14ac:dyDescent="0.25">
      <c r="B7" s="14"/>
      <c r="C7" s="14">
        <v>2</v>
      </c>
      <c r="D7" s="14" t="s">
        <v>145</v>
      </c>
      <c r="E7" s="32">
        <f>Costes!Y449</f>
        <v>118509</v>
      </c>
      <c r="F7" s="14"/>
      <c r="J7" s="14">
        <v>3</v>
      </c>
      <c r="K7" s="14" t="s">
        <v>150</v>
      </c>
      <c r="L7" s="32">
        <f>F14</f>
        <v>123123.32703359576</v>
      </c>
    </row>
    <row r="8" spans="2:12" x14ac:dyDescent="0.25">
      <c r="B8" s="14"/>
      <c r="C8" s="14">
        <v>3</v>
      </c>
      <c r="D8" s="76" t="s">
        <v>149</v>
      </c>
      <c r="E8" s="32">
        <f>Costes!Y450</f>
        <v>35644.593652122479</v>
      </c>
      <c r="F8" s="14"/>
      <c r="J8" s="14">
        <v>4</v>
      </c>
      <c r="K8" s="14" t="s">
        <v>257</v>
      </c>
      <c r="L8" s="32">
        <f>F22</f>
        <v>161436.79587648745</v>
      </c>
    </row>
    <row r="9" spans="2:12" x14ac:dyDescent="0.25">
      <c r="B9" s="14">
        <v>2</v>
      </c>
      <c r="C9" s="14"/>
      <c r="D9" s="25" t="s">
        <v>222</v>
      </c>
      <c r="E9" s="32"/>
      <c r="F9" s="35">
        <f>SUM(E10:E13)</f>
        <v>49270.296247646918</v>
      </c>
      <c r="J9" s="14">
        <v>5</v>
      </c>
      <c r="K9" s="14" t="s">
        <v>207</v>
      </c>
      <c r="L9" s="32">
        <f>F27</f>
        <v>76233.693406127757</v>
      </c>
    </row>
    <row r="10" spans="2:12" x14ac:dyDescent="0.25">
      <c r="B10" s="14"/>
      <c r="C10" s="14">
        <v>1</v>
      </c>
      <c r="D10" s="14" t="s">
        <v>223</v>
      </c>
      <c r="E10" s="32">
        <f>Costes!Y452</f>
        <v>13862.769359745334</v>
      </c>
      <c r="F10" s="14"/>
    </row>
    <row r="11" spans="2:12" x14ac:dyDescent="0.25">
      <c r="B11" s="14"/>
      <c r="C11" s="14">
        <v>2</v>
      </c>
      <c r="D11" s="14" t="s">
        <v>225</v>
      </c>
      <c r="E11" s="32">
        <f>Costes!Y453</f>
        <v>4469.5316986790685</v>
      </c>
      <c r="F11" s="14"/>
      <c r="J11" s="111" t="s">
        <v>357</v>
      </c>
      <c r="K11" s="111"/>
      <c r="L11" s="47">
        <f>SUM(L5:L9)</f>
        <v>602111.50400168763</v>
      </c>
    </row>
    <row r="12" spans="2:12" x14ac:dyDescent="0.25">
      <c r="B12" s="14"/>
      <c r="C12" s="14">
        <v>3</v>
      </c>
      <c r="D12" s="14" t="s">
        <v>227</v>
      </c>
      <c r="E12" s="32">
        <f>Costes!Y454</f>
        <v>24732.236414103842</v>
      </c>
      <c r="F12" s="14"/>
    </row>
    <row r="13" spans="2:12" x14ac:dyDescent="0.25">
      <c r="B13" s="14"/>
      <c r="C13" s="14">
        <v>4</v>
      </c>
      <c r="D13" s="14" t="s">
        <v>256</v>
      </c>
      <c r="E13" s="32">
        <f>Costes!Y455</f>
        <v>6205.7587751186711</v>
      </c>
      <c r="F13" s="14"/>
    </row>
    <row r="14" spans="2:12" x14ac:dyDescent="0.25">
      <c r="B14" s="14">
        <v>3</v>
      </c>
      <c r="C14" s="14"/>
      <c r="D14" s="25" t="s">
        <v>150</v>
      </c>
      <c r="E14" s="32"/>
      <c r="F14" s="35">
        <f>SUM(E15:E21)</f>
        <v>123123.32703359576</v>
      </c>
    </row>
    <row r="15" spans="2:12" x14ac:dyDescent="0.25">
      <c r="B15" s="14"/>
      <c r="C15" s="14">
        <v>1</v>
      </c>
      <c r="D15" s="14" t="s">
        <v>156</v>
      </c>
      <c r="E15" s="32">
        <f>Costes!Y457</f>
        <v>12190.428419167896</v>
      </c>
      <c r="F15" s="14"/>
    </row>
    <row r="16" spans="2:12" x14ac:dyDescent="0.25">
      <c r="B16" s="14"/>
      <c r="C16" s="14">
        <v>2</v>
      </c>
      <c r="D16" s="14" t="s">
        <v>159</v>
      </c>
      <c r="E16" s="32">
        <f>Costes!Y458</f>
        <v>4063.4761397226321</v>
      </c>
      <c r="F16" s="14"/>
    </row>
    <row r="17" spans="2:12" x14ac:dyDescent="0.25">
      <c r="B17" s="14"/>
      <c r="C17" s="14">
        <v>3</v>
      </c>
      <c r="D17" s="14" t="s">
        <v>160</v>
      </c>
      <c r="E17" s="32">
        <f>Costes!Y459</f>
        <v>4876.1713676671588</v>
      </c>
      <c r="F17" s="14"/>
    </row>
    <row r="18" spans="2:12" x14ac:dyDescent="0.25">
      <c r="B18" s="14"/>
      <c r="C18" s="14">
        <v>4</v>
      </c>
      <c r="D18" s="14" t="s">
        <v>161</v>
      </c>
      <c r="E18" s="32">
        <f>Costes!Y460</f>
        <v>3657.1285257503696</v>
      </c>
      <c r="F18" s="14"/>
      <c r="L18" s="70"/>
    </row>
    <row r="19" spans="2:12" x14ac:dyDescent="0.25">
      <c r="B19" s="14"/>
      <c r="C19" s="14">
        <v>5</v>
      </c>
      <c r="D19" s="14" t="s">
        <v>162</v>
      </c>
      <c r="E19" s="32">
        <f>Costes!Y461</f>
        <v>13003.123647112425</v>
      </c>
      <c r="F19" s="14"/>
      <c r="L19" s="70"/>
    </row>
    <row r="20" spans="2:12" x14ac:dyDescent="0.25">
      <c r="B20" s="14"/>
      <c r="C20" s="14">
        <v>6</v>
      </c>
      <c r="D20" s="14" t="s">
        <v>167</v>
      </c>
      <c r="E20" s="32">
        <f>Costes!Y462</f>
        <v>11377.733191223369</v>
      </c>
      <c r="F20" s="14"/>
      <c r="L20" s="70"/>
    </row>
    <row r="21" spans="2:12" x14ac:dyDescent="0.25">
      <c r="B21" s="14"/>
      <c r="C21" s="14">
        <v>7</v>
      </c>
      <c r="D21" s="14" t="s">
        <v>174</v>
      </c>
      <c r="E21" s="32">
        <f>Costes!Y463</f>
        <v>73955.265742951917</v>
      </c>
      <c r="F21" s="14"/>
    </row>
    <row r="22" spans="2:12" x14ac:dyDescent="0.25">
      <c r="B22" s="14">
        <v>4</v>
      </c>
      <c r="C22" s="14"/>
      <c r="D22" s="63" t="s">
        <v>257</v>
      </c>
      <c r="E22" s="32"/>
      <c r="F22" s="35">
        <f>SUM(E23:E26)</f>
        <v>161436.79587648745</v>
      </c>
    </row>
    <row r="23" spans="2:12" x14ac:dyDescent="0.25">
      <c r="B23" s="14"/>
      <c r="C23" s="14">
        <v>1</v>
      </c>
      <c r="D23" s="14" t="s">
        <v>258</v>
      </c>
      <c r="E23" s="32">
        <f>Costes!Y465</f>
        <v>99005.056421450907</v>
      </c>
      <c r="F23" s="32"/>
    </row>
    <row r="24" spans="2:12" x14ac:dyDescent="0.25">
      <c r="B24" s="14"/>
      <c r="C24" s="14">
        <v>2</v>
      </c>
      <c r="D24" s="14" t="s">
        <v>340</v>
      </c>
      <c r="E24" s="32">
        <f>Costes!Y466</f>
        <v>11899.522339706213</v>
      </c>
      <c r="F24" s="32"/>
    </row>
    <row r="25" spans="2:12" x14ac:dyDescent="0.25">
      <c r="B25" s="14"/>
      <c r="C25" s="14">
        <v>3</v>
      </c>
      <c r="D25" s="14" t="s">
        <v>342</v>
      </c>
      <c r="E25" s="32">
        <f>Costes!Y467</f>
        <v>35657.81419069758</v>
      </c>
      <c r="F25" s="32"/>
    </row>
    <row r="26" spans="2:12" x14ac:dyDescent="0.25">
      <c r="B26" s="14"/>
      <c r="C26" s="14">
        <v>4</v>
      </c>
      <c r="D26" s="14" t="s">
        <v>289</v>
      </c>
      <c r="E26" s="32">
        <f>Costes!Y468</f>
        <v>14874.402924632766</v>
      </c>
      <c r="F26" s="32"/>
    </row>
    <row r="27" spans="2:12" x14ac:dyDescent="0.25">
      <c r="B27" s="14">
        <v>5</v>
      </c>
      <c r="C27" s="14"/>
      <c r="D27" s="25" t="s">
        <v>207</v>
      </c>
      <c r="E27" s="32"/>
      <c r="F27" s="35">
        <f>SUM(E28:E32)</f>
        <v>76233.693406127757</v>
      </c>
    </row>
    <row r="28" spans="2:12" x14ac:dyDescent="0.25">
      <c r="B28" s="14"/>
      <c r="C28" s="14">
        <v>1</v>
      </c>
      <c r="D28" s="14" t="s">
        <v>344</v>
      </c>
      <c r="E28" s="32">
        <f>Costes!Y470</f>
        <v>601.55082993059557</v>
      </c>
      <c r="F28" s="14"/>
    </row>
    <row r="29" spans="2:12" x14ac:dyDescent="0.25">
      <c r="B29" s="14"/>
      <c r="C29" s="14">
        <v>2</v>
      </c>
      <c r="D29" s="14" t="s">
        <v>345</v>
      </c>
      <c r="E29" s="32">
        <f>Costes!Y471</f>
        <v>300.77541496529778</v>
      </c>
      <c r="F29" s="14"/>
    </row>
    <row r="30" spans="2:12" x14ac:dyDescent="0.25">
      <c r="B30" s="14"/>
      <c r="C30" s="14">
        <v>3</v>
      </c>
      <c r="D30" s="14" t="s">
        <v>346</v>
      </c>
      <c r="E30" s="32">
        <f>Costes!Y472</f>
        <v>451.16312244794665</v>
      </c>
      <c r="F30" s="14"/>
    </row>
    <row r="31" spans="2:12" x14ac:dyDescent="0.25">
      <c r="B31" s="14"/>
      <c r="C31" s="14">
        <v>4</v>
      </c>
      <c r="D31" s="14" t="s">
        <v>347</v>
      </c>
      <c r="E31" s="32">
        <f>Costes!Y473</f>
        <v>20263.46732003965</v>
      </c>
      <c r="F31" s="14"/>
    </row>
    <row r="32" spans="2:12" x14ac:dyDescent="0.25">
      <c r="B32" s="14"/>
      <c r="C32" s="14">
        <v>5</v>
      </c>
      <c r="D32" s="14" t="s">
        <v>215</v>
      </c>
      <c r="E32" s="32">
        <f>Costes!Y474</f>
        <v>54616.736718744265</v>
      </c>
      <c r="F32" s="14"/>
    </row>
    <row r="35" spans="2:6" x14ac:dyDescent="0.25">
      <c r="B35" s="105" t="s">
        <v>357</v>
      </c>
      <c r="C35" s="109"/>
      <c r="D35" s="109"/>
      <c r="E35" s="106"/>
      <c r="F35" s="47">
        <f>SUM(F5:F31)</f>
        <v>602111.50400168763</v>
      </c>
    </row>
  </sheetData>
  <mergeCells count="4">
    <mergeCell ref="B35:E35"/>
    <mergeCell ref="B3:F3"/>
    <mergeCell ref="J11:K11"/>
    <mergeCell ref="J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784572C475948A767254301C1B0A8" ma:contentTypeVersion="4" ma:contentTypeDescription="Create a new document." ma:contentTypeScope="" ma:versionID="b072010c8e93b476f56c3ecb463cd4d5">
  <xsd:schema xmlns:xsd="http://www.w3.org/2001/XMLSchema" xmlns:xs="http://www.w3.org/2001/XMLSchema" xmlns:p="http://schemas.microsoft.com/office/2006/metadata/properties" xmlns:ns2="fab0c7d8-f626-4a06-bbf1-5d8e4da4f9bf" xmlns:ns3="35131604-19f0-42c6-830f-b9d41daf0d38" targetNamespace="http://schemas.microsoft.com/office/2006/metadata/properties" ma:root="true" ma:fieldsID="d02c02d24f71304fdc0a76e97a264344" ns2:_="" ns3:_="">
    <xsd:import namespace="fab0c7d8-f626-4a06-bbf1-5d8e4da4f9bf"/>
    <xsd:import namespace="35131604-19f0-42c6-830f-b9d41daf0d3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b0c7d8-f626-4a06-bbf1-5d8e4da4f9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31604-19f0-42c6-830f-b9d41daf0d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AE51DF-91FD-4AA3-B430-B4DF6175738C}">
  <ds:schemaRefs>
    <ds:schemaRef ds:uri="http://schemas.microsoft.com/office/2006/metadata/properties"/>
    <ds:schemaRef ds:uri="35131604-19f0-42c6-830f-b9d41daf0d38"/>
    <ds:schemaRef ds:uri="fab0c7d8-f626-4a06-bbf1-5d8e4da4f9bf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3217248-39E8-4120-9E95-11B952917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C813EC-DE57-458A-ACB3-48EE950370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Costes</vt:lpstr>
      <vt:lpstr>Cliente</vt:lpstr>
    </vt:vector>
  </TitlesOfParts>
  <Manager/>
  <Company>Universidad de Oviedo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Sistema de Venta on Line de Sidra</dc:title>
  <dc:subject>DPPI</dc:subject>
  <dc:creator>​Sara María Ramírez Pérez; Celia Melendi Lavandera; Mikel Fernández Esparta; Diego Martín Fernández</dc:creator>
  <cp:keywords/>
  <dc:description/>
  <cp:lastModifiedBy>Celia Melendi Lavandera</cp:lastModifiedBy>
  <cp:revision/>
  <dcterms:created xsi:type="dcterms:W3CDTF">2023-04-11T14:22:16Z</dcterms:created>
  <dcterms:modified xsi:type="dcterms:W3CDTF">2023-04-28T22:32:30Z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0x010100EB2784572C475948A767254301C1B0A8</vt:lpwstr>
  </property>
  <property fmtid="{D5CDD505-2E9C-101B-9397-08002B2CF9AE}" pid="3" name="Equipo">
    <vt:lpwstr>DPPI23-E13</vt:lpwstr>
  </property>
  <property fmtid="{D5CDD505-2E9C-101B-9397-08002B2CF9AE}" pid="4" name="Version">
    <vt:lpwstr>1.0</vt:lpwstr>
  </property>
</Properties>
</file>